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3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DACF-Website\dacf\php\pesticides\documents2\bd_mtgs\Dec-23\"/>
    </mc:Choice>
  </mc:AlternateContent>
  <xr:revisionPtr revIDLastSave="0" documentId="13_ncr:1_{034332D3-4D08-4014-ABB9-59E9198E47F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ared with BPC on 9-29-23" sheetId="63" r:id="rId1"/>
    <sheet name="Account Summary" sheetId="1" state="hidden" r:id="rId2"/>
    <sheet name="Change Package effects of Pay" sheetId="62" state="hidden" r:id="rId3"/>
    <sheet name="MEPERLS Monthly cost" sheetId="58" state="hidden" r:id="rId4"/>
    <sheet name="Cube" sheetId="57" state="hidden" r:id="rId5"/>
    <sheet name="Historical Summary Cube" sheetId="2" state="hidden" r:id="rId6"/>
    <sheet name="General Operating Exp" sheetId="61" state="hidden" r:id="rId7"/>
    <sheet name="Temp Services" sheetId="59" state="hidden" r:id="rId8"/>
    <sheet name="ytd 2008-2023" sheetId="56" state="hidden" r:id="rId9"/>
    <sheet name="Payroll" sheetId="60" state="hidden" r:id="rId10"/>
    <sheet name="Sheet1" sheetId="64" state="hidden" r:id="rId11"/>
    <sheet name="4003 Cube" sheetId="42" state="hidden" r:id="rId12"/>
    <sheet name="4302 Cube" sheetId="44" state="hidden" r:id="rId13"/>
    <sheet name="4343 Cube" sheetId="46" state="hidden" r:id="rId14"/>
    <sheet name="4373 Cube" sheetId="48" state="hidden" r:id="rId15"/>
    <sheet name="4403 Cube" sheetId="54" state="hidden" r:id="rId16"/>
    <sheet name="MOSQ Cube" sheetId="52" state="hidden" r:id="rId17"/>
    <sheet name="0287 Cube" sheetId="55" state="hidden" r:id="rId18"/>
  </sheets>
  <externalReferences>
    <externalReference r:id="rId19"/>
  </externalReferences>
  <definedNames>
    <definedName name="_xlnm._FilterDatabase" localSheetId="4" hidden="1">Cube!$J$10:$L$10</definedName>
    <definedName name="_xlnm._FilterDatabase" localSheetId="6" hidden="1">'General Operating Exp'!$J$10:$K$10</definedName>
    <definedName name="_xlnm._FilterDatabase" localSheetId="9" hidden="1">Payroll!$I$1:$I$56</definedName>
    <definedName name="_xlnm._FilterDatabase" localSheetId="7" hidden="1">'Temp Services'!$J$10:$L$10</definedName>
    <definedName name="_xlnm.Print_Area" localSheetId="1">'Account Summary'!$A$1:$S$74</definedName>
    <definedName name="_xlnm.Print_Area" localSheetId="0">'Shared with BPC on 9-29-23'!$A$1:$U$79</definedName>
    <definedName name="_xlnm.Print_Area" localSheetId="8">'ytd 2008-2023'!$A$1:$B$69</definedName>
  </definedNames>
  <calcPr calcId="191029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  <pivotCache cacheId="7" r:id="rId27"/>
    <pivotCache cacheId="8" r:id="rId28"/>
    <pivotCache cacheId="9" r:id="rId29"/>
    <pivotCache cacheId="10" r:id="rId30"/>
    <pivotCache cacheId="11" r:id="rId31"/>
    <pivotCache cacheId="12" r:id="rId32"/>
    <pivotCache cacheId="13" r:id="rId33"/>
    <pivotCache cacheId="14" r:id="rId34"/>
    <pivotCache cacheId="15" r:id="rId35"/>
    <pivotCache cacheId="16" r:id="rId36"/>
    <pivotCache cacheId="17" r:id="rId37"/>
    <pivotCache cacheId="18" r:id="rId38"/>
    <pivotCache cacheId="19" r:id="rId39"/>
    <pivotCache cacheId="20" r:id="rId40"/>
    <pivotCache cacheId="21" r:id="rId41"/>
    <pivotCache cacheId="22" r:id="rId42"/>
    <pivotCache cacheId="23" r:id="rId43"/>
    <pivotCache cacheId="24" r:id="rId44"/>
    <pivotCache cacheId="25" r:id="rId45"/>
    <pivotCache cacheId="26" r:id="rId46"/>
    <pivotCache cacheId="27" r:id="rId47"/>
    <pivotCache cacheId="28" r:id="rId48"/>
    <pivotCache cacheId="29" r:id="rId49"/>
    <pivotCache cacheId="30" r:id="rId50"/>
    <pivotCache cacheId="31" r:id="rId51"/>
    <pivotCache cacheId="32" r:id="rId52"/>
    <pivotCache cacheId="33" r:id="rId53"/>
    <pivotCache cacheId="34" r:id="rId54"/>
    <pivotCache cacheId="35" r:id="rId5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92" i="63" l="1"/>
  <c r="S92" i="63" s="1"/>
  <c r="R94" i="63"/>
  <c r="S94" i="63"/>
  <c r="R95" i="63"/>
  <c r="S95" i="63" s="1"/>
  <c r="Q96" i="63"/>
  <c r="Q98" i="63" s="1"/>
  <c r="R96" i="63"/>
  <c r="S96" i="63"/>
  <c r="Q97" i="63"/>
  <c r="R97" i="63"/>
  <c r="S97" i="63"/>
  <c r="Q103" i="63"/>
  <c r="R103" i="63"/>
  <c r="S103" i="63"/>
  <c r="O27" i="63"/>
  <c r="S44" i="63"/>
  <c r="R44" i="63"/>
  <c r="Q44" i="63"/>
  <c r="S11" i="63"/>
  <c r="R11" i="63"/>
  <c r="Q11" i="63"/>
  <c r="R98" i="63" l="1"/>
  <c r="S98" i="63"/>
  <c r="AU23" i="64"/>
  <c r="AV23" i="64"/>
  <c r="AW23" i="64"/>
  <c r="AX23" i="64"/>
  <c r="AY23" i="64"/>
  <c r="AU22" i="64"/>
  <c r="AV22" i="64"/>
  <c r="AW22" i="64"/>
  <c r="AX22" i="64"/>
  <c r="AY22" i="64"/>
  <c r="AV20" i="64"/>
  <c r="AX20" i="64"/>
  <c r="AU58" i="60"/>
  <c r="AV58" i="60"/>
  <c r="AW58" i="60"/>
  <c r="AX58" i="60"/>
  <c r="AY58" i="60"/>
  <c r="AT58" i="60"/>
  <c r="AT23" i="64"/>
  <c r="AV29" i="64"/>
  <c r="AW29" i="64"/>
  <c r="AX29" i="64"/>
  <c r="AT29" i="64"/>
  <c r="AT22" i="64"/>
  <c r="AT20" i="64"/>
  <c r="AU16" i="64"/>
  <c r="AV16" i="64"/>
  <c r="AW16" i="64"/>
  <c r="AX16" i="64"/>
  <c r="AT16" i="64"/>
  <c r="AX28" i="64"/>
  <c r="AS12" i="64" l="1"/>
  <c r="AT12" i="64"/>
  <c r="AU12" i="64"/>
  <c r="AV12" i="64"/>
  <c r="AV13" i="64" s="1"/>
  <c r="AW12" i="64"/>
  <c r="AX12" i="64"/>
  <c r="AY12" i="64"/>
  <c r="AR12" i="64"/>
  <c r="AR13" i="64" s="1"/>
  <c r="AT13" i="64" l="1"/>
  <c r="AX13" i="64"/>
  <c r="S23" i="58"/>
  <c r="S24" i="58"/>
  <c r="T24" i="58"/>
  <c r="U24" i="58"/>
  <c r="S25" i="58"/>
  <c r="AQ58" i="60" l="1"/>
  <c r="AR58" i="60"/>
  <c r="AS58" i="60"/>
  <c r="AP58" i="60"/>
  <c r="R56" i="63" l="1"/>
  <c r="Q53" i="63"/>
  <c r="Q81" i="63"/>
  <c r="S80" i="63"/>
  <c r="R59" i="63"/>
  <c r="S59" i="63" s="1"/>
  <c r="O59" i="63"/>
  <c r="R58" i="63"/>
  <c r="S58" i="63" s="1"/>
  <c r="O58" i="63"/>
  <c r="S56" i="63"/>
  <c r="Q56" i="63"/>
  <c r="O56" i="63"/>
  <c r="S55" i="63"/>
  <c r="R55" i="63"/>
  <c r="Q55" i="63"/>
  <c r="O55" i="63"/>
  <c r="O53" i="63"/>
  <c r="R52" i="63"/>
  <c r="R50" i="63"/>
  <c r="S50" i="63" s="1"/>
  <c r="O50" i="63"/>
  <c r="O47" i="63"/>
  <c r="O44" i="63"/>
  <c r="M43" i="63"/>
  <c r="M66" i="63" s="1"/>
  <c r="L43" i="63"/>
  <c r="L68" i="63" s="1"/>
  <c r="K43" i="63"/>
  <c r="K68" i="63" s="1"/>
  <c r="J43" i="63"/>
  <c r="J68" i="63" s="1"/>
  <c r="I43" i="63"/>
  <c r="I68" i="63" s="1"/>
  <c r="H43" i="63"/>
  <c r="H68" i="63" s="1"/>
  <c r="G43" i="63"/>
  <c r="G68" i="63" s="1"/>
  <c r="F43" i="63"/>
  <c r="F68" i="63" s="1"/>
  <c r="E43" i="63"/>
  <c r="E68" i="63" s="1"/>
  <c r="D43" i="63"/>
  <c r="D68" i="63" s="1"/>
  <c r="C43" i="63"/>
  <c r="C68" i="63" s="1"/>
  <c r="M31" i="63"/>
  <c r="L31" i="63"/>
  <c r="K31" i="63"/>
  <c r="J31" i="63"/>
  <c r="I31" i="63"/>
  <c r="H31" i="63"/>
  <c r="G31" i="63"/>
  <c r="F31" i="63"/>
  <c r="E31" i="63"/>
  <c r="D31" i="63"/>
  <c r="C31" i="63"/>
  <c r="O30" i="63"/>
  <c r="O29" i="63"/>
  <c r="O26" i="63"/>
  <c r="O25" i="63"/>
  <c r="O24" i="63"/>
  <c r="O23" i="63"/>
  <c r="O22" i="63"/>
  <c r="O21" i="63"/>
  <c r="O20" i="63"/>
  <c r="O19" i="63"/>
  <c r="O18" i="63"/>
  <c r="O17" i="63"/>
  <c r="O16" i="63"/>
  <c r="O15" i="63"/>
  <c r="O14" i="63"/>
  <c r="O13" i="63"/>
  <c r="O12" i="63"/>
  <c r="O11" i="63"/>
  <c r="N39" i="63"/>
  <c r="N52" i="63"/>
  <c r="N60" i="63"/>
  <c r="N49" i="63"/>
  <c r="N67" i="63"/>
  <c r="N61" i="63"/>
  <c r="N57" i="63"/>
  <c r="N62" i="63"/>
  <c r="N48" i="63"/>
  <c r="N36" i="63"/>
  <c r="N54" i="63"/>
  <c r="N63" i="63"/>
  <c r="N45" i="63"/>
  <c r="N51" i="63"/>
  <c r="N64" i="63"/>
  <c r="N46" i="63"/>
  <c r="R53" i="63" l="1"/>
  <c r="C72" i="63"/>
  <c r="D8" i="63" s="1"/>
  <c r="D72" i="63" s="1"/>
  <c r="E8" i="63" s="1"/>
  <c r="E72" i="63" s="1"/>
  <c r="F8" i="63" s="1"/>
  <c r="F72" i="63" s="1"/>
  <c r="G8" i="63" s="1"/>
  <c r="G72" i="63" s="1"/>
  <c r="H8" i="63" s="1"/>
  <c r="H72" i="63" s="1"/>
  <c r="I8" i="63" s="1"/>
  <c r="I72" i="63" s="1"/>
  <c r="J8" i="63" s="1"/>
  <c r="J72" i="63" s="1"/>
  <c r="K8" i="63" s="1"/>
  <c r="K72" i="63" s="1"/>
  <c r="L8" i="63" s="1"/>
  <c r="L72" i="63" s="1"/>
  <c r="M8" i="63" s="1"/>
  <c r="N43" i="63"/>
  <c r="N66" i="63" s="1"/>
  <c r="M68" i="63"/>
  <c r="N28" i="63"/>
  <c r="O57" i="63"/>
  <c r="O46" i="63"/>
  <c r="O38" i="63"/>
  <c r="O42" i="63"/>
  <c r="O61" i="63"/>
  <c r="O65" i="63"/>
  <c r="O67" i="63"/>
  <c r="O41" i="63"/>
  <c r="O60" i="63"/>
  <c r="O39" i="63"/>
  <c r="O51" i="63"/>
  <c r="O62" i="63"/>
  <c r="O37" i="63"/>
  <c r="O64" i="63"/>
  <c r="O48" i="63"/>
  <c r="O36" i="63"/>
  <c r="O40" i="63"/>
  <c r="O52" i="63"/>
  <c r="O54" i="63"/>
  <c r="O63" i="63"/>
  <c r="O45" i="63"/>
  <c r="O49" i="63"/>
  <c r="S52" i="63"/>
  <c r="S53" i="63"/>
  <c r="N68" i="63" l="1"/>
  <c r="O68" i="63" s="1"/>
  <c r="O43" i="63"/>
  <c r="M72" i="63"/>
  <c r="N8" i="63" s="1"/>
  <c r="O66" i="63"/>
  <c r="O28" i="63"/>
  <c r="O31" i="63" s="1"/>
  <c r="N31" i="63"/>
  <c r="N72" i="63" l="1"/>
  <c r="O72" i="63"/>
  <c r="Q8" i="63" s="1"/>
  <c r="E8" i="1"/>
  <c r="E72" i="1"/>
  <c r="F8" i="1" s="1"/>
  <c r="F72" i="1" s="1"/>
  <c r="G8" i="1" s="1"/>
  <c r="G72" i="1" s="1"/>
  <c r="H8" i="1" s="1"/>
  <c r="H72" i="1" s="1"/>
  <c r="I8" i="1" s="1"/>
  <c r="I72" i="1" s="1"/>
  <c r="J8" i="1" s="1"/>
  <c r="J72" i="1" s="1"/>
  <c r="K8" i="1" s="1"/>
  <c r="K72" i="1" s="1"/>
  <c r="L8" i="1" s="1"/>
  <c r="L72" i="1" s="1"/>
  <c r="M8" i="1" s="1"/>
  <c r="M72" i="1" s="1"/>
  <c r="D72" i="1"/>
  <c r="D8" i="1"/>
  <c r="D7" i="1"/>
  <c r="O8" i="1"/>
  <c r="S56" i="1"/>
  <c r="R56" i="1"/>
  <c r="Q56" i="1"/>
  <c r="M14" i="61" l="1"/>
  <c r="N14" i="61"/>
  <c r="L14" i="61"/>
  <c r="Q81" i="1"/>
  <c r="AX62" i="60"/>
  <c r="AU62" i="60"/>
  <c r="AV62" i="60"/>
  <c r="AW62" i="60"/>
  <c r="AY62" i="60"/>
  <c r="AT62" i="60"/>
  <c r="AT63" i="60" s="1"/>
  <c r="S81" i="1"/>
  <c r="R81" i="1"/>
  <c r="R59" i="1"/>
  <c r="S59" i="1" s="1"/>
  <c r="R58" i="1"/>
  <c r="S58" i="1" s="1"/>
  <c r="O11" i="1"/>
  <c r="R52" i="1"/>
  <c r="S52" i="1" s="1"/>
  <c r="R50" i="1"/>
  <c r="S50" i="1" s="1"/>
  <c r="AQ60" i="60"/>
  <c r="Q27" i="59"/>
  <c r="Q44" i="1"/>
  <c r="L15" i="61"/>
  <c r="M15" i="61" s="1"/>
  <c r="N15" i="61" s="1"/>
  <c r="M13" i="61"/>
  <c r="N13" i="61" s="1"/>
  <c r="M12" i="61"/>
  <c r="N12" i="61" s="1"/>
  <c r="M10" i="61"/>
  <c r="S25" i="56"/>
  <c r="AX63" i="60" l="1"/>
  <c r="AX64" i="60" s="1"/>
  <c r="AX65" i="60" s="1"/>
  <c r="AV63" i="60"/>
  <c r="AV64" i="60" s="1"/>
  <c r="AV65" i="60" s="1"/>
  <c r="AT64" i="60"/>
  <c r="AT65" i="60" s="1"/>
  <c r="L16" i="61"/>
  <c r="M16" i="61"/>
  <c r="N10" i="61"/>
  <c r="N16" i="61" s="1"/>
  <c r="AS49" i="60"/>
  <c r="AT49" i="60"/>
  <c r="AU49" i="60"/>
  <c r="AV49" i="60"/>
  <c r="AW49" i="60"/>
  <c r="AX49" i="60"/>
  <c r="AY49" i="60"/>
  <c r="AT53" i="60"/>
  <c r="AU53" i="60"/>
  <c r="AV53" i="60"/>
  <c r="AW53" i="60"/>
  <c r="AX53" i="60"/>
  <c r="AY53" i="60"/>
  <c r="R55" i="1"/>
  <c r="S55" i="1"/>
  <c r="Q55" i="1"/>
  <c r="N47" i="1"/>
  <c r="N44" i="1"/>
  <c r="AT60" i="60" l="1"/>
  <c r="AS50" i="60"/>
  <c r="AV51" i="60"/>
  <c r="AV60" i="60" s="1"/>
  <c r="AT55" i="60"/>
  <c r="AX55" i="60"/>
  <c r="AX60" i="60" s="1"/>
  <c r="AV55" i="60"/>
  <c r="AX51" i="60"/>
  <c r="AT51" i="60"/>
  <c r="D43" i="1"/>
  <c r="D68" i="1" s="1"/>
  <c r="E43" i="1"/>
  <c r="E68" i="1" s="1"/>
  <c r="F43" i="1"/>
  <c r="F68" i="1" s="1"/>
  <c r="G43" i="1"/>
  <c r="G68" i="1" s="1"/>
  <c r="H43" i="1"/>
  <c r="H68" i="1" s="1"/>
  <c r="I43" i="1"/>
  <c r="I68" i="1" s="1"/>
  <c r="J43" i="1"/>
  <c r="J68" i="1" s="1"/>
  <c r="K43" i="1"/>
  <c r="K68" i="1" s="1"/>
  <c r="L43" i="1"/>
  <c r="L68" i="1" s="1"/>
  <c r="M43" i="1"/>
  <c r="M66" i="1" s="1"/>
  <c r="C43" i="1"/>
  <c r="C68" i="1" s="1"/>
  <c r="T62" i="56"/>
  <c r="T58" i="56"/>
  <c r="T54" i="56"/>
  <c r="T50" i="56"/>
  <c r="T46" i="56"/>
  <c r="T42" i="56"/>
  <c r="T38" i="56"/>
  <c r="T34" i="56"/>
  <c r="P25" i="56"/>
  <c r="T21" i="56"/>
  <c r="P17" i="56"/>
  <c r="T13" i="56"/>
  <c r="P9" i="56"/>
  <c r="M61" i="56"/>
  <c r="M57" i="56"/>
  <c r="M53" i="56"/>
  <c r="M49" i="56"/>
  <c r="M45" i="56"/>
  <c r="M41" i="56"/>
  <c r="M37" i="56"/>
  <c r="T28" i="56"/>
  <c r="P24" i="56"/>
  <c r="T20" i="56"/>
  <c r="P16" i="56"/>
  <c r="T12" i="56"/>
  <c r="F64" i="56"/>
  <c r="F60" i="56"/>
  <c r="F56" i="56"/>
  <c r="F52" i="56"/>
  <c r="F48" i="56"/>
  <c r="F44" i="56"/>
  <c r="F40" i="56"/>
  <c r="F36" i="56"/>
  <c r="L27" i="56"/>
  <c r="H23" i="56"/>
  <c r="L19" i="56"/>
  <c r="H15" i="56"/>
  <c r="L11" i="56"/>
  <c r="Q62" i="56"/>
  <c r="Q58" i="56"/>
  <c r="Q54" i="56"/>
  <c r="Q50" i="56"/>
  <c r="Q46" i="56"/>
  <c r="Q42" i="56"/>
  <c r="Q38" i="56"/>
  <c r="Q34" i="56"/>
  <c r="M25" i="56"/>
  <c r="Q21" i="56"/>
  <c r="M17" i="56"/>
  <c r="Q13" i="56"/>
  <c r="L64" i="56"/>
  <c r="L60" i="56"/>
  <c r="L56" i="56"/>
  <c r="L52" i="56"/>
  <c r="L48" i="56"/>
  <c r="L44" i="56"/>
  <c r="L40" i="56"/>
  <c r="L36" i="56"/>
  <c r="J27" i="56"/>
  <c r="F23" i="56"/>
  <c r="J19" i="56"/>
  <c r="F15" i="56"/>
  <c r="J11" i="56"/>
  <c r="G62" i="56"/>
  <c r="G58" i="56"/>
  <c r="G54" i="56"/>
  <c r="G50" i="56"/>
  <c r="G46" i="56"/>
  <c r="G42" i="56"/>
  <c r="G38" i="56"/>
  <c r="G34" i="56"/>
  <c r="K25" i="56"/>
  <c r="G21" i="56"/>
  <c r="K17" i="56"/>
  <c r="G13" i="56"/>
  <c r="K9" i="56"/>
  <c r="M50" i="56"/>
  <c r="M34" i="56"/>
  <c r="F13" i="56"/>
  <c r="K63" i="56"/>
  <c r="P53" i="56"/>
  <c r="P37" i="56"/>
  <c r="Q18" i="56"/>
  <c r="K55" i="56"/>
  <c r="K39" i="56"/>
  <c r="H19" i="56"/>
  <c r="N58" i="56"/>
  <c r="F58" i="56"/>
  <c r="F20" i="56"/>
  <c r="E14" i="56"/>
  <c r="K23" i="56"/>
  <c r="N53" i="56"/>
  <c r="M20" i="56"/>
  <c r="O56" i="56"/>
  <c r="O36" i="56"/>
  <c r="Q15" i="56"/>
  <c r="H55" i="56"/>
  <c r="H35" i="56"/>
  <c r="I14" i="56"/>
  <c r="S53" i="56"/>
  <c r="R28" i="56"/>
  <c r="R12" i="56"/>
  <c r="F51" i="56"/>
  <c r="K26" i="56"/>
  <c r="L62" i="56"/>
  <c r="L58" i="56"/>
  <c r="L54" i="56"/>
  <c r="L50" i="56"/>
  <c r="L46" i="56"/>
  <c r="L42" i="56"/>
  <c r="L38" i="56"/>
  <c r="L34" i="56"/>
  <c r="H25" i="56"/>
  <c r="L21" i="56"/>
  <c r="H17" i="56"/>
  <c r="L13" i="56"/>
  <c r="H9" i="56"/>
  <c r="E61" i="56"/>
  <c r="E57" i="56"/>
  <c r="E53" i="56"/>
  <c r="E49" i="56"/>
  <c r="E45" i="56"/>
  <c r="E41" i="56"/>
  <c r="E37" i="56"/>
  <c r="L28" i="56"/>
  <c r="H24" i="56"/>
  <c r="L20" i="56"/>
  <c r="H16" i="56"/>
  <c r="L12" i="56"/>
  <c r="P63" i="56"/>
  <c r="P59" i="56"/>
  <c r="P55" i="56"/>
  <c r="P51" i="56"/>
  <c r="P47" i="56"/>
  <c r="P43" i="56"/>
  <c r="P39" i="56"/>
  <c r="P35" i="56"/>
  <c r="M26" i="56"/>
  <c r="Q22" i="56"/>
  <c r="M18" i="56"/>
  <c r="Q14" i="56"/>
  <c r="M10" i="56"/>
  <c r="I62" i="56"/>
  <c r="I58" i="56"/>
  <c r="I54" i="56"/>
  <c r="I50" i="56"/>
  <c r="I46" i="56"/>
  <c r="I42" i="56"/>
  <c r="I38" i="56"/>
  <c r="I34" i="56"/>
  <c r="E25" i="56"/>
  <c r="I21" i="56"/>
  <c r="E17" i="56"/>
  <c r="I13" i="56"/>
  <c r="N63" i="56"/>
  <c r="N59" i="56"/>
  <c r="N55" i="56"/>
  <c r="N51" i="56"/>
  <c r="N47" i="56"/>
  <c r="N43" i="56"/>
  <c r="N39" i="56"/>
  <c r="N35" i="56"/>
  <c r="S26" i="56"/>
  <c r="O22" i="56"/>
  <c r="S18" i="56"/>
  <c r="O14" i="56"/>
  <c r="S10" i="56"/>
  <c r="Q61" i="56"/>
  <c r="Q57" i="56"/>
  <c r="Q53" i="56"/>
  <c r="Q49" i="56"/>
  <c r="Q45" i="56"/>
  <c r="Q41" i="56"/>
  <c r="Q37" i="56"/>
  <c r="P28" i="56"/>
  <c r="T24" i="56"/>
  <c r="P20" i="56"/>
  <c r="T16" i="56"/>
  <c r="P12" i="56"/>
  <c r="Q64" i="56"/>
  <c r="Q48" i="56"/>
  <c r="P27" i="56"/>
  <c r="P11" i="56"/>
  <c r="S43" i="56"/>
  <c r="T51" i="56"/>
  <c r="T35" i="56"/>
  <c r="T14" i="56"/>
  <c r="E58" i="56"/>
  <c r="O53" i="56"/>
  <c r="O37" i="56"/>
  <c r="R17" i="56"/>
  <c r="S59" i="56"/>
  <c r="R56" i="56"/>
  <c r="R40" i="56"/>
  <c r="G19" i="56"/>
  <c r="P45" i="56"/>
  <c r="M9" i="56"/>
  <c r="O49" i="56"/>
  <c r="N28" i="56"/>
  <c r="N12" i="56"/>
  <c r="Q52" i="56"/>
  <c r="P57" i="56"/>
  <c r="P41" i="56"/>
  <c r="M21" i="56"/>
  <c r="J56" i="56"/>
  <c r="Q36" i="56"/>
  <c r="N57" i="56"/>
  <c r="N41" i="56"/>
  <c r="N37" i="56"/>
  <c r="M28" i="56"/>
  <c r="M12" i="56"/>
  <c r="O60" i="56"/>
  <c r="O44" i="56"/>
  <c r="M27" i="56"/>
  <c r="M11" i="56"/>
  <c r="H51" i="56"/>
  <c r="H39" i="56"/>
  <c r="E18" i="56"/>
  <c r="S57" i="56"/>
  <c r="S41" i="56"/>
  <c r="N16" i="56"/>
  <c r="F55" i="56"/>
  <c r="F39" i="56"/>
  <c r="K18" i="56"/>
  <c r="N61" i="56"/>
  <c r="F61" i="56"/>
  <c r="F57" i="56"/>
  <c r="F53" i="56"/>
  <c r="F49" i="56"/>
  <c r="F45" i="56"/>
  <c r="F41" i="56"/>
  <c r="F37" i="56"/>
  <c r="E28" i="56"/>
  <c r="I24" i="56"/>
  <c r="E20" i="56"/>
  <c r="I16" i="56"/>
  <c r="E12" i="56"/>
  <c r="G64" i="56"/>
  <c r="G60" i="56"/>
  <c r="G56" i="56"/>
  <c r="G52" i="56"/>
  <c r="G48" i="56"/>
  <c r="G44" i="56"/>
  <c r="G40" i="56"/>
  <c r="G36" i="56"/>
  <c r="E27" i="56"/>
  <c r="I23" i="56"/>
  <c r="E19" i="56"/>
  <c r="I15" i="56"/>
  <c r="E11" i="56"/>
  <c r="R62" i="56"/>
  <c r="R58" i="56"/>
  <c r="R54" i="56"/>
  <c r="R50" i="56"/>
  <c r="R46" i="56"/>
  <c r="R42" i="56"/>
  <c r="R38" i="56"/>
  <c r="R34" i="56"/>
  <c r="N25" i="56"/>
  <c r="R21" i="56"/>
  <c r="N17" i="56"/>
  <c r="R13" i="56"/>
  <c r="N9" i="56"/>
  <c r="K61" i="56"/>
  <c r="K57" i="56"/>
  <c r="K53" i="56"/>
  <c r="K49" i="56"/>
  <c r="K45" i="56"/>
  <c r="K41" i="56"/>
  <c r="K37" i="56"/>
  <c r="J28" i="56"/>
  <c r="F24" i="56"/>
  <c r="J20" i="56"/>
  <c r="F16" i="56"/>
  <c r="J12" i="56"/>
  <c r="P62" i="56"/>
  <c r="P58" i="56"/>
  <c r="P54" i="56"/>
  <c r="P50" i="56"/>
  <c r="P46" i="56"/>
  <c r="P42" i="56"/>
  <c r="P38" i="56"/>
  <c r="P34" i="56"/>
  <c r="T25" i="56"/>
  <c r="P21" i="56"/>
  <c r="T17" i="56"/>
  <c r="P13" i="56"/>
  <c r="S64" i="56"/>
  <c r="S60" i="56"/>
  <c r="S56" i="56"/>
  <c r="S52" i="56"/>
  <c r="S48" i="56"/>
  <c r="S44" i="56"/>
  <c r="S40" i="56"/>
  <c r="S36" i="56"/>
  <c r="Q27" i="56"/>
  <c r="M23" i="56"/>
  <c r="Q19" i="56"/>
  <c r="M15" i="56"/>
  <c r="Q11" i="56"/>
  <c r="K59" i="56"/>
  <c r="K43" i="56"/>
  <c r="R24" i="56"/>
  <c r="J9" i="56"/>
  <c r="J64" i="56"/>
  <c r="J48" i="56"/>
  <c r="O27" i="56"/>
  <c r="O11" i="56"/>
  <c r="P10" i="56"/>
  <c r="E50" i="56"/>
  <c r="E34" i="56"/>
  <c r="M14" i="56"/>
  <c r="F28" i="56"/>
  <c r="L51" i="56"/>
  <c r="L35" i="56"/>
  <c r="L14" i="56"/>
  <c r="I17" i="56"/>
  <c r="E62" i="56"/>
  <c r="E46" i="56"/>
  <c r="T23" i="56"/>
  <c r="E9" i="56"/>
  <c r="E42" i="56"/>
  <c r="F54" i="56"/>
  <c r="F38" i="56"/>
  <c r="S16" i="56"/>
  <c r="J40" i="56"/>
  <c r="L15" i="56"/>
  <c r="I44" i="56"/>
  <c r="R52" i="56"/>
  <c r="J52" i="56"/>
  <c r="K15" i="56"/>
  <c r="H60" i="56"/>
  <c r="H52" i="56"/>
  <c r="H40" i="56"/>
  <c r="F27" i="56"/>
  <c r="F19" i="56"/>
  <c r="F11" i="56"/>
  <c r="I59" i="56"/>
  <c r="I51" i="56"/>
  <c r="I43" i="56"/>
  <c r="I35" i="56"/>
  <c r="F18" i="56"/>
  <c r="F10" i="56"/>
  <c r="T57" i="56"/>
  <c r="T49" i="56"/>
  <c r="T41" i="56"/>
  <c r="T37" i="56"/>
  <c r="O24" i="56"/>
  <c r="O16" i="56"/>
  <c r="E64" i="56"/>
  <c r="E56" i="56"/>
  <c r="P64" i="56"/>
  <c r="P60" i="56"/>
  <c r="P56" i="56"/>
  <c r="P52" i="56"/>
  <c r="P48" i="56"/>
  <c r="P44" i="56"/>
  <c r="P40" i="56"/>
  <c r="P36" i="56"/>
  <c r="N27" i="56"/>
  <c r="R23" i="56"/>
  <c r="N19" i="56"/>
  <c r="R15" i="56"/>
  <c r="N11" i="56"/>
  <c r="Q63" i="56"/>
  <c r="Q59" i="56"/>
  <c r="Q55" i="56"/>
  <c r="Q51" i="56"/>
  <c r="Q47" i="56"/>
  <c r="Q43" i="56"/>
  <c r="Q39" i="56"/>
  <c r="Q35" i="56"/>
  <c r="N26" i="56"/>
  <c r="R22" i="56"/>
  <c r="N18" i="56"/>
  <c r="R14" i="56"/>
  <c r="N10" i="56"/>
  <c r="J62" i="56"/>
  <c r="J58" i="56"/>
  <c r="J54" i="56"/>
  <c r="J50" i="56"/>
  <c r="J46" i="56"/>
  <c r="J42" i="56"/>
  <c r="J38" i="56"/>
  <c r="J34" i="56"/>
  <c r="F25" i="56"/>
  <c r="J21" i="56"/>
  <c r="F17" i="56"/>
  <c r="J13" i="56"/>
  <c r="M64" i="56"/>
  <c r="M60" i="56"/>
  <c r="M56" i="56"/>
  <c r="M52" i="56"/>
  <c r="M48" i="56"/>
  <c r="M44" i="56"/>
  <c r="M40" i="56"/>
  <c r="M36" i="56"/>
  <c r="S27" i="56"/>
  <c r="O23" i="56"/>
  <c r="S19" i="56"/>
  <c r="O15" i="56"/>
  <c r="S11" i="56"/>
  <c r="H62" i="56"/>
  <c r="H58" i="56"/>
  <c r="H54" i="56"/>
  <c r="H50" i="56"/>
  <c r="H46" i="56"/>
  <c r="H42" i="56"/>
  <c r="H38" i="56"/>
  <c r="H34" i="56"/>
  <c r="L25" i="56"/>
  <c r="H21" i="56"/>
  <c r="L17" i="56"/>
  <c r="H13" i="56"/>
  <c r="K64" i="56"/>
  <c r="K60" i="56"/>
  <c r="K56" i="56"/>
  <c r="K52" i="56"/>
  <c r="K48" i="56"/>
  <c r="K44" i="56"/>
  <c r="K40" i="56"/>
  <c r="K36" i="56"/>
  <c r="I27" i="56"/>
  <c r="E23" i="56"/>
  <c r="I19" i="56"/>
  <c r="E15" i="56"/>
  <c r="I11" i="56"/>
  <c r="O57" i="56"/>
  <c r="O41" i="56"/>
  <c r="F21" i="56"/>
  <c r="L63" i="56"/>
  <c r="N62" i="56"/>
  <c r="N46" i="56"/>
  <c r="K24" i="56"/>
  <c r="H10" i="56"/>
  <c r="I64" i="56"/>
  <c r="I48" i="56"/>
  <c r="H27" i="56"/>
  <c r="H11" i="56"/>
  <c r="N13" i="56"/>
  <c r="P49" i="56"/>
  <c r="O28" i="56"/>
  <c r="O12" i="56"/>
  <c r="Q10" i="56"/>
  <c r="I60" i="56"/>
  <c r="E22" i="56"/>
  <c r="N21" i="56"/>
  <c r="J36" i="56"/>
  <c r="G28" i="56"/>
  <c r="H56" i="56"/>
  <c r="H48" i="56"/>
  <c r="H44" i="56"/>
  <c r="H36" i="56"/>
  <c r="J23" i="56"/>
  <c r="J15" i="56"/>
  <c r="I63" i="56"/>
  <c r="I55" i="56"/>
  <c r="I47" i="56"/>
  <c r="I39" i="56"/>
  <c r="F26" i="56"/>
  <c r="J22" i="56"/>
  <c r="J14" i="56"/>
  <c r="T61" i="56"/>
  <c r="T53" i="56"/>
  <c r="T45" i="56"/>
  <c r="S28" i="56"/>
  <c r="S20" i="56"/>
  <c r="S12" i="56"/>
  <c r="E60" i="56"/>
  <c r="E52" i="56"/>
  <c r="H64" i="56"/>
  <c r="R63" i="56"/>
  <c r="R59" i="56"/>
  <c r="R55" i="56"/>
  <c r="R51" i="56"/>
  <c r="R47" i="56"/>
  <c r="R43" i="56"/>
  <c r="R39" i="56"/>
  <c r="R35" i="56"/>
  <c r="O26" i="56"/>
  <c r="S22" i="56"/>
  <c r="O18" i="56"/>
  <c r="S14" i="56"/>
  <c r="O10" i="56"/>
  <c r="S62" i="56"/>
  <c r="S58" i="56"/>
  <c r="S54" i="56"/>
  <c r="S50" i="56"/>
  <c r="S46" i="56"/>
  <c r="S42" i="56"/>
  <c r="S38" i="56"/>
  <c r="S34" i="56"/>
  <c r="O25" i="56"/>
  <c r="S21" i="56"/>
  <c r="O17" i="56"/>
  <c r="S13" i="56"/>
  <c r="O9" i="56"/>
  <c r="L61" i="56"/>
  <c r="L57" i="56"/>
  <c r="L53" i="56"/>
  <c r="L49" i="56"/>
  <c r="L45" i="56"/>
  <c r="L41" i="56"/>
  <c r="L37" i="56"/>
  <c r="K28" i="56"/>
  <c r="G24" i="56"/>
  <c r="K20" i="56"/>
  <c r="G16" i="56"/>
  <c r="K12" i="56"/>
  <c r="O63" i="56"/>
  <c r="O59" i="56"/>
  <c r="O55" i="56"/>
  <c r="O51" i="56"/>
  <c r="O47" i="56"/>
  <c r="O43" i="56"/>
  <c r="O39" i="56"/>
  <c r="O35" i="56"/>
  <c r="T26" i="56"/>
  <c r="P22" i="56"/>
  <c r="T18" i="56"/>
  <c r="P14" i="56"/>
  <c r="T10" i="56"/>
  <c r="J61" i="56"/>
  <c r="J57" i="56"/>
  <c r="J53" i="56"/>
  <c r="J49" i="56"/>
  <c r="J45" i="56"/>
  <c r="J41" i="56"/>
  <c r="J37" i="56"/>
  <c r="I28" i="56"/>
  <c r="E24" i="56"/>
  <c r="I20" i="56"/>
  <c r="E16" i="56"/>
  <c r="I12" i="56"/>
  <c r="E63" i="56"/>
  <c r="E59" i="56"/>
  <c r="E55" i="56"/>
  <c r="E51" i="56"/>
  <c r="E47" i="56"/>
  <c r="E43" i="56"/>
  <c r="E39" i="56"/>
  <c r="E35" i="56"/>
  <c r="J26" i="56"/>
  <c r="F22" i="56"/>
  <c r="J18" i="56"/>
  <c r="F14" i="56"/>
  <c r="J10" i="56"/>
  <c r="E54" i="56"/>
  <c r="E38" i="56"/>
  <c r="H18" i="56"/>
  <c r="R36" i="56"/>
  <c r="H57" i="56"/>
  <c r="H41" i="56"/>
  <c r="E21" i="56"/>
  <c r="P61" i="56"/>
  <c r="Q60" i="56"/>
  <c r="Q44" i="56"/>
  <c r="J24" i="56"/>
  <c r="N54" i="56"/>
  <c r="F62" i="56"/>
  <c r="F46" i="56"/>
  <c r="Q25" i="56"/>
  <c r="T9" i="56"/>
  <c r="K47" i="56"/>
  <c r="Q56" i="56"/>
  <c r="Q40" i="56"/>
  <c r="J17" i="56"/>
  <c r="S23" i="56"/>
  <c r="R64" i="56"/>
  <c r="R48" i="56"/>
  <c r="I26" i="56"/>
  <c r="L10" i="56"/>
  <c r="Q9" i="56"/>
  <c r="N42" i="56"/>
  <c r="K35" i="56"/>
  <c r="L59" i="56"/>
  <c r="T59" i="56"/>
  <c r="N49" i="56"/>
  <c r="Q16" i="56"/>
  <c r="O52" i="56"/>
  <c r="O40" i="56"/>
  <c r="M19" i="56"/>
  <c r="H59" i="56"/>
  <c r="H43" i="56"/>
  <c r="I22" i="56"/>
  <c r="E10" i="56"/>
  <c r="S49" i="56"/>
  <c r="N24" i="56"/>
  <c r="F63" i="56"/>
  <c r="F47" i="56"/>
  <c r="F35" i="56"/>
  <c r="G14" i="56"/>
  <c r="J63" i="56"/>
  <c r="J59" i="56"/>
  <c r="J55" i="56"/>
  <c r="J51" i="56"/>
  <c r="J47" i="56"/>
  <c r="J43" i="56"/>
  <c r="J39" i="56"/>
  <c r="J35" i="56"/>
  <c r="G26" i="56"/>
  <c r="K22" i="56"/>
  <c r="G18" i="56"/>
  <c r="K14" i="56"/>
  <c r="G10" i="56"/>
  <c r="K62" i="56"/>
  <c r="K58" i="56"/>
  <c r="K54" i="56"/>
  <c r="K50" i="56"/>
  <c r="K46" i="56"/>
  <c r="K42" i="56"/>
  <c r="K38" i="56"/>
  <c r="K34" i="56"/>
  <c r="G25" i="56"/>
  <c r="K21" i="56"/>
  <c r="G17" i="56"/>
  <c r="K13" i="56"/>
  <c r="N64" i="56"/>
  <c r="N60" i="56"/>
  <c r="N56" i="56"/>
  <c r="N52" i="56"/>
  <c r="N48" i="56"/>
  <c r="N44" i="56"/>
  <c r="N40" i="56"/>
  <c r="N36" i="56"/>
  <c r="T27" i="56"/>
  <c r="P23" i="56"/>
  <c r="T19" i="56"/>
  <c r="P15" i="56"/>
  <c r="T11" i="56"/>
  <c r="G63" i="56"/>
  <c r="G59" i="56"/>
  <c r="G55" i="56"/>
  <c r="G51" i="56"/>
  <c r="G47" i="56"/>
  <c r="G43" i="56"/>
  <c r="G39" i="56"/>
  <c r="G35" i="56"/>
  <c r="L26" i="56"/>
  <c r="H22" i="56"/>
  <c r="L18" i="56"/>
  <c r="H14" i="56"/>
  <c r="T64" i="56"/>
  <c r="T60" i="56"/>
  <c r="T56" i="56"/>
  <c r="T52" i="56"/>
  <c r="T48" i="56"/>
  <c r="T44" i="56"/>
  <c r="T40" i="56"/>
  <c r="T36" i="56"/>
  <c r="R27" i="56"/>
  <c r="N23" i="56"/>
  <c r="R19" i="56"/>
  <c r="N15" i="56"/>
  <c r="R11" i="56"/>
  <c r="O62" i="56"/>
  <c r="O58" i="56"/>
  <c r="O54" i="56"/>
  <c r="O50" i="56"/>
  <c r="O46" i="56"/>
  <c r="O42" i="56"/>
  <c r="O38" i="56"/>
  <c r="O34" i="56"/>
  <c r="O21" i="56"/>
  <c r="S17" i="56"/>
  <c r="O13" i="56"/>
  <c r="S9" i="56"/>
  <c r="I52" i="56"/>
  <c r="I36" i="56"/>
  <c r="R16" i="56"/>
  <c r="I25" i="56"/>
  <c r="L55" i="56"/>
  <c r="L39" i="56"/>
  <c r="O19" i="56"/>
  <c r="L47" i="56"/>
  <c r="G57" i="56"/>
  <c r="G41" i="56"/>
  <c r="M22" i="56"/>
  <c r="N38" i="56"/>
  <c r="J60" i="56"/>
  <c r="J44" i="56"/>
  <c r="L22" i="56"/>
  <c r="F9" i="56"/>
  <c r="I40" i="56"/>
  <c r="G53" i="56"/>
  <c r="G37" i="56"/>
  <c r="T15" i="56"/>
  <c r="S15" i="56"/>
  <c r="H61" i="56"/>
  <c r="H45" i="56"/>
  <c r="S24" i="56"/>
  <c r="L9" i="56"/>
  <c r="M54" i="56"/>
  <c r="K16" i="56"/>
  <c r="G12" i="56"/>
  <c r="O20" i="56"/>
  <c r="K51" i="56"/>
  <c r="O61" i="56"/>
  <c r="L43" i="56"/>
  <c r="O45" i="56"/>
  <c r="N45" i="56"/>
  <c r="Q24" i="56"/>
  <c r="O64" i="56"/>
  <c r="O48" i="56"/>
  <c r="Q23" i="56"/>
  <c r="H63" i="56"/>
  <c r="H47" i="56"/>
  <c r="E26" i="56"/>
  <c r="S61" i="56"/>
  <c r="S37" i="56"/>
  <c r="R20" i="56"/>
  <c r="F59" i="56"/>
  <c r="F43" i="56"/>
  <c r="G22" i="56"/>
  <c r="K19" i="56"/>
  <c r="R41" i="56"/>
  <c r="M63" i="56"/>
  <c r="M47" i="56"/>
  <c r="R26" i="56"/>
  <c r="R10" i="56"/>
  <c r="T43" i="56"/>
  <c r="I9" i="56"/>
  <c r="G9" i="56"/>
  <c r="G11" i="56"/>
  <c r="N20" i="56"/>
  <c r="N34" i="56"/>
  <c r="L24" i="56"/>
  <c r="P18" i="56"/>
  <c r="M38" i="56"/>
  <c r="R9" i="56"/>
  <c r="I56" i="56"/>
  <c r="H49" i="56"/>
  <c r="M35" i="56"/>
  <c r="G27" i="56"/>
  <c r="T39" i="56"/>
  <c r="E48" i="56"/>
  <c r="G15" i="56"/>
  <c r="R37" i="56"/>
  <c r="I61" i="56"/>
  <c r="I45" i="56"/>
  <c r="G61" i="56"/>
  <c r="P26" i="56"/>
  <c r="Q26" i="56"/>
  <c r="I18" i="56"/>
  <c r="M13" i="56"/>
  <c r="L23" i="56"/>
  <c r="M51" i="56"/>
  <c r="N50" i="56"/>
  <c r="S45" i="56"/>
  <c r="K11" i="56"/>
  <c r="Q28" i="56"/>
  <c r="M59" i="56"/>
  <c r="M43" i="56"/>
  <c r="N22" i="56"/>
  <c r="S55" i="56"/>
  <c r="R60" i="56"/>
  <c r="M62" i="56"/>
  <c r="T63" i="56"/>
  <c r="F42" i="56"/>
  <c r="G20" i="56"/>
  <c r="Q12" i="56"/>
  <c r="T22" i="56"/>
  <c r="E44" i="56"/>
  <c r="R61" i="56"/>
  <c r="M24" i="56"/>
  <c r="I57" i="56"/>
  <c r="I41" i="56"/>
  <c r="H20" i="56"/>
  <c r="G45" i="56"/>
  <c r="F50" i="56"/>
  <c r="S51" i="56"/>
  <c r="H53" i="56"/>
  <c r="S63" i="56"/>
  <c r="G49" i="56"/>
  <c r="R49" i="56"/>
  <c r="P19" i="56"/>
  <c r="E40" i="56"/>
  <c r="R57" i="56"/>
  <c r="Q20" i="56"/>
  <c r="M55" i="56"/>
  <c r="M39" i="56"/>
  <c r="R18" i="56"/>
  <c r="S39" i="56"/>
  <c r="R44" i="56"/>
  <c r="M46" i="56"/>
  <c r="T47" i="56"/>
  <c r="M58" i="56"/>
  <c r="F12" i="56"/>
  <c r="K27" i="56"/>
  <c r="R25" i="56"/>
  <c r="E36" i="56"/>
  <c r="R53" i="56"/>
  <c r="M16" i="56"/>
  <c r="I53" i="56"/>
  <c r="I37" i="56"/>
  <c r="L16" i="56"/>
  <c r="H26" i="56"/>
  <c r="F34" i="56"/>
  <c r="S35" i="56"/>
  <c r="H37" i="56"/>
  <c r="S47" i="56"/>
  <c r="T55" i="56"/>
  <c r="N14" i="56"/>
  <c r="M42" i="56"/>
  <c r="G23" i="56"/>
  <c r="R45" i="56"/>
  <c r="K10" i="56"/>
  <c r="I49" i="56"/>
  <c r="H28" i="56"/>
  <c r="H12" i="56"/>
  <c r="I10" i="56"/>
  <c r="E13" i="56"/>
  <c r="J16" i="56"/>
  <c r="Q17" i="56"/>
  <c r="J25" i="56"/>
  <c r="S43" i="1" l="1"/>
  <c r="S66" i="1" s="1"/>
  <c r="S68" i="1" s="1"/>
  <c r="S43" i="63"/>
  <c r="R43" i="1"/>
  <c r="R28" i="1" s="1"/>
  <c r="R31" i="1" s="1"/>
  <c r="R43" i="63"/>
  <c r="Q43" i="1"/>
  <c r="Q28" i="1" s="1"/>
  <c r="Q31" i="1" s="1"/>
  <c r="Q43" i="63"/>
  <c r="AR60" i="60"/>
  <c r="AS59" i="60"/>
  <c r="AQ61" i="60" s="1"/>
  <c r="N43" i="1" s="1"/>
  <c r="S28" i="1"/>
  <c r="S31" i="1" s="1"/>
  <c r="M68" i="1"/>
  <c r="N28" i="1"/>
  <c r="Q29" i="56"/>
  <c r="L29" i="56"/>
  <c r="N65" i="56"/>
  <c r="E29" i="56"/>
  <c r="R29" i="56"/>
  <c r="M29" i="56"/>
  <c r="F29" i="56"/>
  <c r="T29" i="56"/>
  <c r="G29" i="56"/>
  <c r="E65" i="56"/>
  <c r="I29" i="56"/>
  <c r="F65" i="56"/>
  <c r="J29" i="56"/>
  <c r="M65" i="56"/>
  <c r="K29" i="56"/>
  <c r="S29" i="56"/>
  <c r="G65" i="56"/>
  <c r="O65" i="56"/>
  <c r="H65" i="56"/>
  <c r="P65" i="56"/>
  <c r="I65" i="56"/>
  <c r="Q65" i="56"/>
  <c r="N29" i="56"/>
  <c r="J65" i="56"/>
  <c r="R65" i="56"/>
  <c r="O29" i="56"/>
  <c r="K65" i="56"/>
  <c r="S65" i="56"/>
  <c r="H29" i="56"/>
  <c r="P29" i="56"/>
  <c r="L65" i="56"/>
  <c r="T65" i="56"/>
  <c r="C30" i="56"/>
  <c r="C66" i="56"/>
  <c r="N42" i="1"/>
  <c r="N57" i="1"/>
  <c r="N63" i="1"/>
  <c r="N67" i="1"/>
  <c r="N62" i="1"/>
  <c r="N37" i="1"/>
  <c r="N65" i="1"/>
  <c r="N54" i="1"/>
  <c r="N45" i="1"/>
  <c r="N38" i="1"/>
  <c r="N41" i="1"/>
  <c r="N51" i="1"/>
  <c r="N49" i="1"/>
  <c r="N48" i="1"/>
  <c r="N60" i="1"/>
  <c r="N46" i="1"/>
  <c r="N61" i="1"/>
  <c r="N52" i="1"/>
  <c r="N39" i="1"/>
  <c r="N64" i="1"/>
  <c r="N36" i="1"/>
  <c r="N40" i="1"/>
  <c r="Q66" i="1" l="1"/>
  <c r="Q68" i="1" s="1"/>
  <c r="R66" i="1"/>
  <c r="R68" i="1" s="1"/>
  <c r="R28" i="63"/>
  <c r="R31" i="63" s="1"/>
  <c r="R66" i="63"/>
  <c r="R68" i="63" s="1"/>
  <c r="R83" i="63" s="1"/>
  <c r="S66" i="63"/>
  <c r="S68" i="63" s="1"/>
  <c r="S83" i="63" s="1"/>
  <c r="S28" i="63"/>
  <c r="S31" i="63" s="1"/>
  <c r="Q28" i="63"/>
  <c r="Q31" i="63" s="1"/>
  <c r="Q66" i="63"/>
  <c r="Q68" i="63" s="1"/>
  <c r="Q83" i="63" s="1"/>
  <c r="N66" i="1"/>
  <c r="O66" i="1" s="1"/>
  <c r="E69" i="56"/>
  <c r="F6" i="56" s="1"/>
  <c r="F69" i="56" s="1"/>
  <c r="G6" i="56" s="1"/>
  <c r="G69" i="56" s="1"/>
  <c r="H6" i="56" s="1"/>
  <c r="H69" i="56" s="1"/>
  <c r="I6" i="56" s="1"/>
  <c r="I69" i="56" s="1"/>
  <c r="J6" i="56" s="1"/>
  <c r="J69" i="56" s="1"/>
  <c r="K6" i="56" s="1"/>
  <c r="K69" i="56" s="1"/>
  <c r="L6" i="56" s="1"/>
  <c r="L69" i="56" s="1"/>
  <c r="M6" i="56" s="1"/>
  <c r="M69" i="56" s="1"/>
  <c r="N6" i="56" s="1"/>
  <c r="N69" i="56" s="1"/>
  <c r="O6" i="56" s="1"/>
  <c r="O69" i="56" s="1"/>
  <c r="P6" i="56" s="1"/>
  <c r="P69" i="56" s="1"/>
  <c r="Q6" i="56" s="1"/>
  <c r="Q69" i="56" s="1"/>
  <c r="R6" i="56" s="1"/>
  <c r="R69" i="56" s="1"/>
  <c r="S6" i="56" s="1"/>
  <c r="S69" i="56" s="1"/>
  <c r="T6" i="56" s="1"/>
  <c r="T69" i="56" s="1"/>
  <c r="J31" i="1"/>
  <c r="O40" i="1"/>
  <c r="O64" i="1"/>
  <c r="G31" i="1"/>
  <c r="D31" i="1"/>
  <c r="O46" i="1"/>
  <c r="O47" i="1"/>
  <c r="O57" i="1"/>
  <c r="O27" i="1"/>
  <c r="O17" i="1"/>
  <c r="O67" i="1"/>
  <c r="O50" i="1"/>
  <c r="O18" i="1"/>
  <c r="O60" i="1"/>
  <c r="O38" i="1"/>
  <c r="O26" i="1"/>
  <c r="O23" i="1"/>
  <c r="O12" i="1"/>
  <c r="O54" i="1"/>
  <c r="O45" i="1"/>
  <c r="O19" i="1"/>
  <c r="O39" i="1"/>
  <c r="O44" i="1"/>
  <c r="O58" i="1"/>
  <c r="L31" i="1"/>
  <c r="C31" i="1"/>
  <c r="O49" i="1"/>
  <c r="O30" i="1"/>
  <c r="O63" i="1"/>
  <c r="M31" i="1"/>
  <c r="K31" i="1"/>
  <c r="H31" i="1"/>
  <c r="O51" i="1"/>
  <c r="N31" i="1"/>
  <c r="O36" i="1"/>
  <c r="O65" i="1"/>
  <c r="O48" i="1"/>
  <c r="O13" i="1"/>
  <c r="E31" i="1"/>
  <c r="O52" i="1"/>
  <c r="O56" i="1"/>
  <c r="O21" i="1"/>
  <c r="O29" i="1"/>
  <c r="O16" i="1"/>
  <c r="O14" i="1"/>
  <c r="O15" i="1"/>
  <c r="O41" i="1"/>
  <c r="O28" i="1"/>
  <c r="O37" i="1"/>
  <c r="O22" i="1"/>
  <c r="O61" i="1"/>
  <c r="O20" i="1"/>
  <c r="I31" i="1"/>
  <c r="F31" i="1"/>
  <c r="O25" i="1"/>
  <c r="O55" i="1"/>
  <c r="O24" i="1"/>
  <c r="O42" i="1"/>
  <c r="O53" i="1"/>
  <c r="O62" i="1"/>
  <c r="O59" i="1"/>
  <c r="U30" i="56"/>
  <c r="U66" i="56"/>
  <c r="S9" i="63" l="1"/>
  <c r="R9" i="63"/>
  <c r="Q9" i="63"/>
  <c r="Q72" i="63"/>
  <c r="R8" i="63" s="1"/>
  <c r="R72" i="63" s="1"/>
  <c r="S8" i="63" s="1"/>
  <c r="S72" i="63" s="1"/>
  <c r="O43" i="1"/>
  <c r="N68" i="1"/>
  <c r="O31" i="1"/>
  <c r="O68" i="1" l="1"/>
  <c r="O72" i="1" s="1"/>
  <c r="Q8" i="1" s="1"/>
  <c r="N72" i="1"/>
  <c r="C72" i="1"/>
  <c r="E7" i="1" s="1"/>
  <c r="F7" i="1" s="1"/>
  <c r="G7" i="1" s="1"/>
  <c r="H7" i="1" s="1"/>
  <c r="Q72" i="1" l="1"/>
  <c r="R8" i="1" s="1"/>
  <c r="R72" i="1" s="1"/>
  <c r="S8" i="1" s="1"/>
  <c r="S72" i="1" s="1"/>
  <c r="I7" i="1"/>
  <c r="J7" i="1" s="1"/>
  <c r="K7" i="1" s="1"/>
  <c r="L7" i="1" s="1"/>
  <c r="M7" i="1" s="1"/>
  <c r="N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cory.m.daigneault\Documents\My Data Sources\Ssas-services.lbw.state.me.us_2683 SC_Finance.odc" keepAlive="1" name="SC_Finance" description="Advantage Financial Data" type="5" refreshedVersion="8" background="1" saveData="1">
    <dbPr connection="Provider=MSOLAP.8;Integrated Security=SSPI;Persist Security Info=True;Initial Catalog=SC_Finance;Data Source=Ssas-services.lbw.state.me.us:2683;MDX Compatibility=1;Safety Options=2;MDX Missing Member Mode=Error;Update Isolation Level=2" command="SC_Finance" commandType="1"/>
    <olapPr sendLocale="1" rowDrillCount="1000"/>
  </connection>
  <connection id="2" xr16:uid="{00000000-0015-0000-FFFF-FFFF01000000}" odcFile="C:\Users\cory.m.daigneault\Documents\My Data Sources\Ssas-services.lbw.state.me.us_2683 SC_Finance.odc" keepAlive="1" name="SC_Finance1" description="Advantage Financial Data" type="5" refreshedVersion="4" background="1">
    <dbPr connection="Provider=MSOLAP.4;Integrated Security=SSPI;Persist Security Info=True;Initial Catalog=SC_Finance;Data Source=Ssas-services.lbw.state.me.us:2683;MDX Compatibility=1;Safety Options=2;MDX Missing Member Mode=Error" command="SC_Finance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9">
    <s v="SC_Finance"/>
    <s v="{[Fund].[Fund].&amp;[014]}"/>
    <s v="{[Posting Code].[Bucket].&amp;[0],[Posting Code].[Bucket].&amp;[1],[Posting Code].[Bucket].&amp;[2],[Posting Code].[Bucket].&amp;[3],[Posting Code].[Bucket].&amp;[4],[Posting Code].[Bucket].&amp;[8],[Posting Code].[Bucket].&amp;[9],[Posting Code].[Bucket].&amp;[10],[Posting Code].[Bucket].&amp;[12],[Posting Code].[Bucket].&amp;[13],[Posting Code].[Bucket].&amp;[14],[Posting Code].[Bucket].&amp;[15],[Posting Code].[Bucket].&amp;[18],[Posting Code].[Bucket].&amp;[19],[Posting Code].[Bucket].&amp;[20],[Posting Code].[Bucket].&amp;[21],[Posting Code].[Bucket].&amp;[23],[Posting Code].[Bucket].&amp;[24],[Posting Code].[Bucket].&amp;[25],[Posting Code].[Bucket].&amp;[26],[Posting Code].[Bucket].&amp;[28],[Posting Code].[Bucket].&amp;[29],[Posting Code].[Bucket].&amp;[30],[Posting Code].[Bucket].&amp;[31],[Posting Code].[Bucket].&amp;[32],[Posting Code].[Bucket].&amp;[35],[Posting Code].[Bucket].&amp;[36],[Posting Code].[Bucket].&amp;[37],[Posting Code].[Bucket].&amp;[45],[Posting Code].[Bucket].&amp;[90],[Posting Code].[Bucket].[All].UNKNOWNMEMBER}"/>
    <s v="{[Approp].[Approp].&amp;[028701]}"/>
    <s v="{[Unit].[Unit].&amp;[4003]}"/>
    <s v="{[Unit].[Unit].&amp;[4302]}"/>
    <s v="{[Unit].[Unit].&amp;[4343]}"/>
    <s v="{[Unit].[Unit].&amp;[4373]}"/>
    <s v="{[Unit].[Unit].&amp;[MOSQ]}"/>
    <s v="{[Posting Code].[Financial Category].&amp;[EXPENSE]}"/>
    <s v="{[Posting Code].[Financial Category].&amp;[REVENUE]}"/>
    <s v="{[Unit].[Unit].&amp;[4403]}"/>
    <s v="{[Accounting Period].[Fisc Yr].&amp;[2023]}"/>
    <s v="{[Unit].[Unit].&amp;[0287]}"/>
    <s v="{[Dept].[Dept].&amp;[01A]}"/>
    <s v="{[Accounting Period].[Acct Period Hierarchy].[Fisc Yr].&amp;[2023]}"/>
    <s v="{[Object].[Object Class].&amp;[2]}"/>
    <s v="{[Object].[Object Group].&amp;[40]}"/>
    <s v="{[Object].[Object Group].&amp;[49]}"/>
  </metadataStrings>
  <mdxMetadata count="1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  <mdx n="0" f="s">
      <ms ns="14" c="0"/>
    </mdx>
    <mdx n="0" f="s">
      <ms ns="15" c="0"/>
    </mdx>
    <mdx n="0" f="s">
      <ms ns="16" c="0"/>
    </mdx>
    <mdx n="0" f="s">
      <ms ns="17" c="0"/>
    </mdx>
    <mdx n="0" f="s">
      <ms ns="18" c="0"/>
    </mdx>
  </mdxMetadata>
  <valueMetadata count="1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</valueMetadata>
</metadata>
</file>

<file path=xl/sharedStrings.xml><?xml version="1.0" encoding="utf-8"?>
<sst xmlns="http://schemas.openxmlformats.org/spreadsheetml/2006/main" count="4870" uniqueCount="705">
  <si>
    <t>Revenues:</t>
  </si>
  <si>
    <t>Financial Category</t>
  </si>
  <si>
    <t>Approp</t>
  </si>
  <si>
    <t>Fund</t>
  </si>
  <si>
    <t>014</t>
  </si>
  <si>
    <t>Column Labels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</si>
  <si>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</si>
  <si>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</si>
  <si>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</si>
  <si>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</si>
  <si>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</si>
  <si>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</si>
  <si>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</si>
  <si>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</si>
  <si>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</si>
  <si>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</si>
  <si>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Grand Total</t>
  </si>
  <si>
    <t>Row Labels</t>
  </si>
  <si>
    <t>1448</t>
  </si>
  <si>
    <t>2637</t>
  </si>
  <si>
    <t>2671</t>
  </si>
  <si>
    <t>2681</t>
  </si>
  <si>
    <t>2686</t>
  </si>
  <si>
    <t>2689</t>
  </si>
  <si>
    <t>2934</t>
  </si>
  <si>
    <t>2952</t>
  </si>
  <si>
    <t>2953</t>
  </si>
  <si>
    <t>2964</t>
  </si>
  <si>
    <t>2968</t>
  </si>
  <si>
    <t>2978</t>
  </si>
  <si>
    <t>2979</t>
  </si>
  <si>
    <t>2981</t>
  </si>
  <si>
    <t>SPECIAL LICENSES &amp; LEASES</t>
  </si>
  <si>
    <t>REGISTRATION FEES</t>
  </si>
  <si>
    <t>MISC SERVICES &amp; FEES</t>
  </si>
  <si>
    <t>SALE OF PROMOTIONAL ITEMS</t>
  </si>
  <si>
    <t>OVERPAYMENTS TO BE REFUNDED</t>
  </si>
  <si>
    <t>MISC-INCOME</t>
  </si>
  <si>
    <t>CASH OVER SHORT FOREIGN EX</t>
  </si>
  <si>
    <t>TRANS FROM GENERAL FD SURPLUS</t>
  </si>
  <si>
    <t>ADJ TO PRIOR YEAR BAL/UNALLOCT</t>
  </si>
  <si>
    <t>ADJ OF ALL OTHER BALANCE FWD</t>
  </si>
  <si>
    <t>REG TRANSFER ALL OTHER</t>
  </si>
  <si>
    <t>REG TRANSFER UNALLOCATED</t>
  </si>
  <si>
    <t>DICAP TRANSFER</t>
  </si>
  <si>
    <t>TRANSFER FOR INDIRECT COST</t>
  </si>
  <si>
    <t>LEGIS TRANSFER OF REVENUE</t>
  </si>
  <si>
    <t>Rev Src Nm</t>
  </si>
  <si>
    <t>Jrnl Posting Am</t>
  </si>
  <si>
    <t>BALANCE FORWARD</t>
  </si>
  <si>
    <t>31</t>
  </si>
  <si>
    <t>32</t>
  </si>
  <si>
    <t>34</t>
  </si>
  <si>
    <t>36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</si>
  <si>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</si>
  <si>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</si>
  <si>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</si>
  <si>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</si>
  <si>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</si>
  <si>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</si>
  <si>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</si>
  <si>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</si>
  <si>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</si>
  <si>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</si>
  <si>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</si>
  <si>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</si>
  <si>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</si>
  <si>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</si>
  <si>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53</t>
  </si>
  <si>
    <t>54</t>
  </si>
  <si>
    <t>55</t>
  </si>
  <si>
    <t>56</t>
  </si>
  <si>
    <t>58</t>
  </si>
  <si>
    <t>64</t>
  </si>
  <si>
    <t>67</t>
  </si>
  <si>
    <t>72</t>
  </si>
  <si>
    <t>82</t>
  </si>
  <si>
    <t>85</t>
  </si>
  <si>
    <t>90</t>
  </si>
  <si>
    <t>SALARIES AND WAGES</t>
  </si>
  <si>
    <t>FRINGE BENEFITS</t>
  </si>
  <si>
    <t>PROF. SERVICES, NOT BY STATE</t>
  </si>
  <si>
    <t>PROF. SERVICES, BY STATE</t>
  </si>
  <si>
    <t>TRAVEL EXPENSES, IN STATE</t>
  </si>
  <si>
    <t>TRAVEL EXPENSES, OUT OF STATE</t>
  </si>
  <si>
    <t>STATE VEHICLES OPERATION</t>
  </si>
  <si>
    <t>UTILITY SERVICES</t>
  </si>
  <si>
    <t>RENTS</t>
  </si>
  <si>
    <t>REPAIRS</t>
  </si>
  <si>
    <t>INSURANCE</t>
  </si>
  <si>
    <t>GENERAL OPERATIONS</t>
  </si>
  <si>
    <t>EMPLOYEE TRAINING</t>
  </si>
  <si>
    <t>COMMODITIES - FOOD</t>
  </si>
  <si>
    <t>TECHNOLOGY</t>
  </si>
  <si>
    <t>CLOTHING</t>
  </si>
  <si>
    <t>EQUIPMENT</t>
  </si>
  <si>
    <t>OFFICE &amp; OTHER SUPPLIES</t>
  </si>
  <si>
    <t>HIGHWAY MATERIALS</t>
  </si>
  <si>
    <t>GRANTS TO PUB AND PRIV ORGNS</t>
  </si>
  <si>
    <t>ASSISTANCE AND RELIEF GRANT</t>
  </si>
  <si>
    <t>ADMINISTRATIVE CHARGES AND FEE</t>
  </si>
  <si>
    <t>TRANSFERS</t>
  </si>
  <si>
    <t>CHARGES TO ASSETS AND LIAB.</t>
  </si>
  <si>
    <t>Obj Group Nm</t>
  </si>
  <si>
    <t>Expenditures:</t>
  </si>
  <si>
    <t>CURRENT CASH BALANCE</t>
  </si>
  <si>
    <t>Bucket</t>
  </si>
  <si>
    <t>(Multiple Items)</t>
  </si>
  <si>
    <t>TOTAL REVENUES</t>
  </si>
  <si>
    <t>TOTAL EXPENDITURES</t>
  </si>
  <si>
    <t>Unit</t>
  </si>
  <si>
    <t>HISTORICAL (BY FISCAL YEAR)</t>
  </si>
  <si>
    <t>1</t>
  </si>
  <si>
    <t>Fisc Yr</t>
  </si>
  <si>
    <t>ADJ OF PERS SERV BALANCE FWD</t>
  </si>
  <si>
    <t>1407</t>
  </si>
  <si>
    <t>REG INSECT &amp; FUNGICIDES</t>
  </si>
  <si>
    <t>2226</t>
  </si>
  <si>
    <t>FED GRANTS FOR OTHER PURP</t>
  </si>
  <si>
    <t>2631</t>
  </si>
  <si>
    <t>2651</t>
  </si>
  <si>
    <t>SALE LABELS CARTONS</t>
  </si>
  <si>
    <t>2669</t>
  </si>
  <si>
    <t>SALE MAILING LISTS</t>
  </si>
  <si>
    <t>2955</t>
  </si>
  <si>
    <t>028701</t>
  </si>
  <si>
    <t>33</t>
  </si>
  <si>
    <t>63</t>
  </si>
  <si>
    <t>GRANTS TO CITIES AND TOWNS</t>
  </si>
  <si>
    <t>69</t>
  </si>
  <si>
    <t>PENSIONS</t>
  </si>
  <si>
    <t>BOARD OF PESTICIDES CONTROL - SUMMARY</t>
  </si>
  <si>
    <t>014-01A-0287-01 CASH REPORT</t>
  </si>
  <si>
    <t>4003</t>
  </si>
  <si>
    <t>4302</t>
  </si>
  <si>
    <t>4343</t>
  </si>
  <si>
    <t>4373</t>
  </si>
  <si>
    <t>2018</t>
  </si>
  <si>
    <t>2690</t>
  </si>
  <si>
    <t>RECOVERED COST</t>
  </si>
  <si>
    <t>2206</t>
  </si>
  <si>
    <t>FED GRANTS FOR PUB HEALTH</t>
  </si>
  <si>
    <t>EQUIPMENT AND TECHNOLOGY</t>
  </si>
  <si>
    <t>MOSQ</t>
  </si>
  <si>
    <t>2019</t>
  </si>
  <si>
    <t>2020</t>
  </si>
  <si>
    <t>1959</t>
  </si>
  <si>
    <t>REGISTRATION FEE</t>
  </si>
  <si>
    <t>2021</t>
  </si>
  <si>
    <t>2</t>
  </si>
  <si>
    <t>2022</t>
  </si>
  <si>
    <t>EXPENSE</t>
  </si>
  <si>
    <t>REVENUE</t>
  </si>
  <si>
    <t>4403</t>
  </si>
  <si>
    <t>3</t>
  </si>
  <si>
    <t>2023</t>
  </si>
  <si>
    <t>0287</t>
  </si>
  <si>
    <t>4</t>
  </si>
  <si>
    <t>5</t>
  </si>
  <si>
    <t>6</t>
  </si>
  <si>
    <t>7</t>
  </si>
  <si>
    <t>8</t>
  </si>
  <si>
    <t>9</t>
  </si>
  <si>
    <t>10</t>
  </si>
  <si>
    <t>11</t>
  </si>
  <si>
    <t>TOTAL SALARY &amp; FRINGE</t>
  </si>
  <si>
    <t>Sta-Cap Rate</t>
  </si>
  <si>
    <t>Savings if 5 Positions moved to GF</t>
  </si>
  <si>
    <t>Dept</t>
  </si>
  <si>
    <t>01A</t>
  </si>
  <si>
    <t>Acct Period Hierarchy</t>
  </si>
  <si>
    <t>Unknown</t>
  </si>
  <si>
    <t>Object Class</t>
  </si>
  <si>
    <t>Object Group</t>
  </si>
  <si>
    <t>4073</t>
  </si>
  <si>
    <t>4099</t>
  </si>
  <si>
    <t>4901</t>
  </si>
  <si>
    <t>4908</t>
  </si>
  <si>
    <t>4909</t>
  </si>
  <si>
    <t>4911</t>
  </si>
  <si>
    <t>4913</t>
  </si>
  <si>
    <t>4926</t>
  </si>
  <si>
    <t>4929</t>
  </si>
  <si>
    <t>4946</t>
  </si>
  <si>
    <t>4955</t>
  </si>
  <si>
    <t>4970</t>
  </si>
  <si>
    <t>4974</t>
  </si>
  <si>
    <t>4980</t>
  </si>
  <si>
    <t>4983</t>
  </si>
  <si>
    <t>07/28/2022</t>
  </si>
  <si>
    <t>08/15/2022</t>
  </si>
  <si>
    <t>08/22/2022</t>
  </si>
  <si>
    <t>08/23/2022</t>
  </si>
  <si>
    <t>08/25/2022</t>
  </si>
  <si>
    <t>08/31/2022</t>
  </si>
  <si>
    <t>09/09/2022</t>
  </si>
  <si>
    <t>09/26/2022</t>
  </si>
  <si>
    <t>10/14/2022</t>
  </si>
  <si>
    <t>10/19/2022</t>
  </si>
  <si>
    <t>10/21/2022</t>
  </si>
  <si>
    <t>11/03/2022</t>
  </si>
  <si>
    <t>11/09/2022</t>
  </si>
  <si>
    <t>11/15/2022</t>
  </si>
  <si>
    <t>11/22/2022</t>
  </si>
  <si>
    <t>12/06/2022</t>
  </si>
  <si>
    <t>12/09/2022</t>
  </si>
  <si>
    <t>12/22/2022</t>
  </si>
  <si>
    <t>12/30/2022</t>
  </si>
  <si>
    <t>01/12/2023</t>
  </si>
  <si>
    <t>02/07/2023</t>
  </si>
  <si>
    <t>02/15/2023</t>
  </si>
  <si>
    <t>02/28/2023</t>
  </si>
  <si>
    <t>03/21/2023</t>
  </si>
  <si>
    <t>03/30/2023</t>
  </si>
  <si>
    <t>04/05/2023</t>
  </si>
  <si>
    <t>05/01/2023</t>
  </si>
  <si>
    <t>05/22/2023</t>
  </si>
  <si>
    <t>07/25/2022</t>
  </si>
  <si>
    <t>08/01/2022</t>
  </si>
  <si>
    <t>08/05/2022</t>
  </si>
  <si>
    <t>08/19/2022</t>
  </si>
  <si>
    <t>09/20/2022</t>
  </si>
  <si>
    <t>09/21/2022</t>
  </si>
  <si>
    <t>09/22/2022</t>
  </si>
  <si>
    <t>10/03/2022</t>
  </si>
  <si>
    <t>10/07/2022</t>
  </si>
  <si>
    <t>10/13/2022</t>
  </si>
  <si>
    <t>10/17/2022</t>
  </si>
  <si>
    <t>11/01/2022</t>
  </si>
  <si>
    <t>11/02/2022</t>
  </si>
  <si>
    <t>11/08/2022</t>
  </si>
  <si>
    <t>11/17/2022</t>
  </si>
  <si>
    <t>11/21/2022</t>
  </si>
  <si>
    <t>11/23/2022</t>
  </si>
  <si>
    <t>12/12/2022</t>
  </si>
  <si>
    <t>01/24/2023</t>
  </si>
  <si>
    <t>02/22/2023</t>
  </si>
  <si>
    <t>03/06/2023</t>
  </si>
  <si>
    <t>03/24/2023</t>
  </si>
  <si>
    <t>04/03/2023</t>
  </si>
  <si>
    <t>04/07/2023</t>
  </si>
  <si>
    <t>04/12/2023</t>
  </si>
  <si>
    <t>04/28/2023</t>
  </si>
  <si>
    <t>05/23/2023</t>
  </si>
  <si>
    <t>05/31/2023</t>
  </si>
  <si>
    <t>02/02/2023</t>
  </si>
  <si>
    <t>01/19/2023</t>
  </si>
  <si>
    <t>02/03/2023</t>
  </si>
  <si>
    <t>02/06/2023</t>
  </si>
  <si>
    <t>03/23/2023</t>
  </si>
  <si>
    <t>07/27/2022</t>
  </si>
  <si>
    <t>08/09/2022</t>
  </si>
  <si>
    <t>08/17/2022</t>
  </si>
  <si>
    <t>09/14/2022</t>
  </si>
  <si>
    <t>09/23/2022</t>
  </si>
  <si>
    <t>10/11/2022</t>
  </si>
  <si>
    <t>11/30/2022</t>
  </si>
  <si>
    <t>12/28/2022</t>
  </si>
  <si>
    <t>12/31/2022</t>
  </si>
  <si>
    <t>01/03/2023</t>
  </si>
  <si>
    <t>01/04/2023</t>
  </si>
  <si>
    <t>03/07/2023</t>
  </si>
  <si>
    <t>03/08/2023</t>
  </si>
  <si>
    <t>03/09/2023</t>
  </si>
  <si>
    <t>04/10/2023</t>
  </si>
  <si>
    <t>07/12/2022</t>
  </si>
  <si>
    <t>07/22/2022</t>
  </si>
  <si>
    <t>12/13/2022</t>
  </si>
  <si>
    <t>03/01/2023</t>
  </si>
  <si>
    <t>05/17/2023</t>
  </si>
  <si>
    <t>11/10/2022</t>
  </si>
  <si>
    <t>12/07/2022</t>
  </si>
  <si>
    <t>03/22/2023</t>
  </si>
  <si>
    <t>03/29/2023</t>
  </si>
  <si>
    <t>DO</t>
  </si>
  <si>
    <t>PRC</t>
  </si>
  <si>
    <t>IETM</t>
  </si>
  <si>
    <t>GAX</t>
  </si>
  <si>
    <t>IET</t>
  </si>
  <si>
    <t>CT</t>
  </si>
  <si>
    <t>CRCC</t>
  </si>
  <si>
    <t>20220603000000011498</t>
  </si>
  <si>
    <t>MPY07272210000478181</t>
  </si>
  <si>
    <t>MPY07272210000478180</t>
  </si>
  <si>
    <t>MPY08122210000484603</t>
  </si>
  <si>
    <t>MPY08192210000490098</t>
  </si>
  <si>
    <t>MPY08222210000489621</t>
  </si>
  <si>
    <t>MPY08242210000493488</t>
  </si>
  <si>
    <t>MPY08302210000495827</t>
  </si>
  <si>
    <t>MPY09082210000499319</t>
  </si>
  <si>
    <t>MPY09232210000503669</t>
  </si>
  <si>
    <t>MPY09232210000501092</t>
  </si>
  <si>
    <t>MPY10132210000511801</t>
  </si>
  <si>
    <t>MPY10182210000515181</t>
  </si>
  <si>
    <t>MPY10132210000511675</t>
  </si>
  <si>
    <t>MPY11022210000518772</t>
  </si>
  <si>
    <t>MPY11082210000527789</t>
  </si>
  <si>
    <t>MPY11142210000531480</t>
  </si>
  <si>
    <t>MPY11212210000533085</t>
  </si>
  <si>
    <t>MPY12052210000538802</t>
  </si>
  <si>
    <t>MPY12082210000542901</t>
  </si>
  <si>
    <t>MPY12212210000542467</t>
  </si>
  <si>
    <t>MPY12292210000551799</t>
  </si>
  <si>
    <t>MPY01112310000555753</t>
  </si>
  <si>
    <t>MPY01112310000555158</t>
  </si>
  <si>
    <t>MPY01112310000555759</t>
  </si>
  <si>
    <t>MPY01112310000555849</t>
  </si>
  <si>
    <t>MPY02062310000563861</t>
  </si>
  <si>
    <t>MPY02142310000570702</t>
  </si>
  <si>
    <t>MPY02142310000570677</t>
  </si>
  <si>
    <t>MPY02272310000575420</t>
  </si>
  <si>
    <t>MPY02272310000575429</t>
  </si>
  <si>
    <t>MPY03202310000586666</t>
  </si>
  <si>
    <t>MPY03202310000586799</t>
  </si>
  <si>
    <t>MPY03292310000589229</t>
  </si>
  <si>
    <t>MPY03292310000591673</t>
  </si>
  <si>
    <t>MPY04042310000593355</t>
  </si>
  <si>
    <t>MPY04282310000605693</t>
  </si>
  <si>
    <t>MPY05192310000616777</t>
  </si>
  <si>
    <t>20210706000000000071</t>
  </si>
  <si>
    <t>20211004000000002681</t>
  </si>
  <si>
    <t>20220310000000008332</t>
  </si>
  <si>
    <t>MPY07222210000474825</t>
  </si>
  <si>
    <t>MPY07222210000474827</t>
  </si>
  <si>
    <t>MPY07272210000478183</t>
  </si>
  <si>
    <t>MPY07272210000478188</t>
  </si>
  <si>
    <t>MPY07272210000478208</t>
  </si>
  <si>
    <t>MPY07272210000478206</t>
  </si>
  <si>
    <t>MPY07292210000483825</t>
  </si>
  <si>
    <t>MPY08012210000483827</t>
  </si>
  <si>
    <t>MPY08122210000484605</t>
  </si>
  <si>
    <t>MPY08182210000484602</t>
  </si>
  <si>
    <t>MPY08192210000490080</t>
  </si>
  <si>
    <t>MPY08192210000490113</t>
  </si>
  <si>
    <t>MPY08192210000489615</t>
  </si>
  <si>
    <t>MPY08192210000489616</t>
  </si>
  <si>
    <t>MPY09082210000499322</t>
  </si>
  <si>
    <t>20220908000000002160</t>
  </si>
  <si>
    <t>MPY09192210000498910</t>
  </si>
  <si>
    <t>MPY09202210000498315</t>
  </si>
  <si>
    <t>MPY09202210000498318</t>
  </si>
  <si>
    <t>MPY09202210000498319</t>
  </si>
  <si>
    <t>MPY09202210000498316</t>
  </si>
  <si>
    <t>MPY09212210000503668</t>
  </si>
  <si>
    <t>MPY09212210000501085</t>
  </si>
  <si>
    <t>MPY09302210000506520</t>
  </si>
  <si>
    <t>MPY09302210000506536</t>
  </si>
  <si>
    <t>MPY09302210000506556</t>
  </si>
  <si>
    <t>MPY10062210000508936</t>
  </si>
  <si>
    <t>MPY10072210000510305</t>
  </si>
  <si>
    <t>MPY10122210000511821</t>
  </si>
  <si>
    <t>MPY10132210000511802</t>
  </si>
  <si>
    <t>MPY10132210000511804</t>
  </si>
  <si>
    <t>MPY10142210000512791</t>
  </si>
  <si>
    <t>MPY10182210000515188</t>
  </si>
  <si>
    <t>MPY10202210000515189</t>
  </si>
  <si>
    <t>MPY10202210000515192</t>
  </si>
  <si>
    <t>MPY10312210000517998</t>
  </si>
  <si>
    <t>MPY11012210000518688</t>
  </si>
  <si>
    <t>MPY11072210000522289</t>
  </si>
  <si>
    <t>MPY11072210000527000</t>
  </si>
  <si>
    <t>MPY11142210000528506</t>
  </si>
  <si>
    <t>MPY11142210000527006</t>
  </si>
  <si>
    <t>MPY11162210000518691</t>
  </si>
  <si>
    <t>MPY11182210000527003</t>
  </si>
  <si>
    <t>MPY11182210000518002</t>
  </si>
  <si>
    <t>MPY11212210000533169</t>
  </si>
  <si>
    <t>MPY11222210000534007</t>
  </si>
  <si>
    <t>MPY12052210000540007</t>
  </si>
  <si>
    <t>MPY12082210000542468</t>
  </si>
  <si>
    <t>MPY12082210000542823</t>
  </si>
  <si>
    <t>MPY12092210000535125</t>
  </si>
  <si>
    <t>MPY12212210000547050</t>
  </si>
  <si>
    <t>MPY01112310000555244</t>
  </si>
  <si>
    <t>MPY01112310000555401</t>
  </si>
  <si>
    <t>MPY01112310000555402</t>
  </si>
  <si>
    <t>MPY01202310000560050</t>
  </si>
  <si>
    <t>MPY01202310000560059</t>
  </si>
  <si>
    <t>MPY01202310000560060</t>
  </si>
  <si>
    <t>MPY01202310000560058</t>
  </si>
  <si>
    <t>MPY02062310000563878</t>
  </si>
  <si>
    <t>MPY02142310000563165</t>
  </si>
  <si>
    <t>MPY02142310000570668</t>
  </si>
  <si>
    <t>MPY02212310000566858</t>
  </si>
  <si>
    <t>MPY02212310000566857</t>
  </si>
  <si>
    <t>MPY02272310000575323</t>
  </si>
  <si>
    <t>MPY02272310000575430</t>
  </si>
  <si>
    <t>MPY03032310000563169</t>
  </si>
  <si>
    <t>MPY03202310000586293</t>
  </si>
  <si>
    <t>MPY03202310000586302</t>
  </si>
  <si>
    <t>MPY03202310000586780</t>
  </si>
  <si>
    <t>MPY03202310000586776</t>
  </si>
  <si>
    <t>MPY03202310000586270</t>
  </si>
  <si>
    <t>MPY03072310000542340</t>
  </si>
  <si>
    <t>MPY03312310000589225</t>
  </si>
  <si>
    <t>MPY04042310000592905</t>
  </si>
  <si>
    <t>PCFEB23589106</t>
  </si>
  <si>
    <t>MPY04112310000596310</t>
  </si>
  <si>
    <t>MPY04112310000597553</t>
  </si>
  <si>
    <t>MPY04272310000603059</t>
  </si>
  <si>
    <t>MPY04282310000605581</t>
  </si>
  <si>
    <t>MPY04282310000605579</t>
  </si>
  <si>
    <t>MPY04282310000606157</t>
  </si>
  <si>
    <t>MPY04282310000605740</t>
  </si>
  <si>
    <t>MPY04282310000606158</t>
  </si>
  <si>
    <t>MPY05192310000616759</t>
  </si>
  <si>
    <t>MPY05192310000616770</t>
  </si>
  <si>
    <t>MPY05082310000610293</t>
  </si>
  <si>
    <t>MPY05052310000610207</t>
  </si>
  <si>
    <t>MPY05302310000619467</t>
  </si>
  <si>
    <t>MPY05302310000619468</t>
  </si>
  <si>
    <t>MPY08182210000484606</t>
  </si>
  <si>
    <t>MPY10132210000511811</t>
  </si>
  <si>
    <t>MPJ02062300000005172</t>
  </si>
  <si>
    <t>MPY02032310000564008</t>
  </si>
  <si>
    <t>MPY03222310000586801</t>
  </si>
  <si>
    <t>MPY04282310000605691</t>
  </si>
  <si>
    <t>MPJ07272200000000285</t>
  </si>
  <si>
    <t>MPJ08092200000000714</t>
  </si>
  <si>
    <t>MPJ08172200000001123</t>
  </si>
  <si>
    <t>MPJ08232200000001539</t>
  </si>
  <si>
    <t>MPJ09142200000001979</t>
  </si>
  <si>
    <t>MPJ09232200000002403</t>
  </si>
  <si>
    <t>MPJ10112200000002805</t>
  </si>
  <si>
    <t>MPY11142210000531482</t>
  </si>
  <si>
    <t>MPJ11302200000003180</t>
  </si>
  <si>
    <t>MPJ12282200000003594</t>
  </si>
  <si>
    <t>MPJ12302200000003987</t>
  </si>
  <si>
    <t>MPJ01032300000004376</t>
  </si>
  <si>
    <t>MPJ01042300000004796</t>
  </si>
  <si>
    <t>MPJ03062300000005547</t>
  </si>
  <si>
    <t>MPJ03072300000005924</t>
  </si>
  <si>
    <t>MPJ03082300000006341</t>
  </si>
  <si>
    <t>MPJ03092300000006747</t>
  </si>
  <si>
    <t>MPJ04052300000007196</t>
  </si>
  <si>
    <t>MPY04282310000605738</t>
  </si>
  <si>
    <t>20210921000000000761</t>
  </si>
  <si>
    <t>MPY01312310000563372</t>
  </si>
  <si>
    <t>MPY05192310000614378</t>
  </si>
  <si>
    <t>PCOCT22533177</t>
  </si>
  <si>
    <t>PCOCT22555789</t>
  </si>
  <si>
    <t>PCJAN23570706</t>
  </si>
  <si>
    <t>PCFEB23594512</t>
  </si>
  <si>
    <t>PCMAR23605735</t>
  </si>
  <si>
    <t>SOSMAY22490109</t>
  </si>
  <si>
    <t>22071200797</t>
  </si>
  <si>
    <t>22071200798</t>
  </si>
  <si>
    <t>22092008888</t>
  </si>
  <si>
    <t>22092008885</t>
  </si>
  <si>
    <t>22101411455</t>
  </si>
  <si>
    <t>22110814031</t>
  </si>
  <si>
    <t>22121317226</t>
  </si>
  <si>
    <t>23022823819</t>
  </si>
  <si>
    <t>23032225903</t>
  </si>
  <si>
    <t>23041328093</t>
  </si>
  <si>
    <t>23051731896</t>
  </si>
  <si>
    <t>23041828367</t>
  </si>
  <si>
    <t>MPY11092210000526704</t>
  </si>
  <si>
    <t>MPY11092210000526701</t>
  </si>
  <si>
    <t>MPY11092210000526696</t>
  </si>
  <si>
    <t>MPY11202210000533070</t>
  </si>
  <si>
    <t>MPY12062210000542856</t>
  </si>
  <si>
    <t>MPY12082210000542853</t>
  </si>
  <si>
    <t>MPY12082210000542855</t>
  </si>
  <si>
    <t>MPY12082210000542849</t>
  </si>
  <si>
    <t>MPY12092210000542850</t>
  </si>
  <si>
    <t>MPY02012310000564042</t>
  </si>
  <si>
    <t>MPY02012310000564029</t>
  </si>
  <si>
    <t>MPY02012310000564043</t>
  </si>
  <si>
    <t>MPY03212310000587394</t>
  </si>
  <si>
    <t>MPY03282310000587176</t>
  </si>
  <si>
    <t>MPY03282310000587393</t>
  </si>
  <si>
    <t>MPY04272310000602786</t>
  </si>
  <si>
    <t>MPY04272310000602761</t>
  </si>
  <si>
    <t>MPY04272310000602765</t>
  </si>
  <si>
    <t>MPY04272310000602793</t>
  </si>
  <si>
    <t>PCJUL22501062</t>
  </si>
  <si>
    <t>PCSEP22533174</t>
  </si>
  <si>
    <t>PCDEC22563160</t>
  </si>
  <si>
    <t>PCJAN23575424</t>
  </si>
  <si>
    <t>TRI-STATE STAFFING INC</t>
  </si>
  <si>
    <t>ATLANTIC STAFFING AND PAYROLL SERVICES</t>
  </si>
  <si>
    <t>HEIDI NELSON</t>
  </si>
  <si>
    <t>KEITH R BROWN</t>
  </si>
  <si>
    <t>FEDEX GROUND PACKAGE SYSTEM INC</t>
  </si>
  <si>
    <t>TRADEBE ENVIRONMENTAL SERVICES, LLC</t>
  </si>
  <si>
    <t>JOHN M JEMISON JR</t>
  </si>
  <si>
    <t>DAVID CHARLES ADAMS</t>
  </si>
  <si>
    <t>ROBERT CARLTON</t>
  </si>
  <si>
    <t>DOMINIC J LAJOIE</t>
  </si>
  <si>
    <t>CURTIS BOHLEN</t>
  </si>
  <si>
    <t>Object</t>
  </si>
  <si>
    <t>Accept Dt</t>
  </si>
  <si>
    <t>Doc Cd</t>
  </si>
  <si>
    <t>Doc ID</t>
  </si>
  <si>
    <t>Legal Name</t>
  </si>
  <si>
    <t>Total</t>
  </si>
  <si>
    <t>Ref Doc Id</t>
  </si>
  <si>
    <t>Ref Doc Cd</t>
  </si>
  <si>
    <t>4073 Total</t>
  </si>
  <si>
    <t>4099 Total</t>
  </si>
  <si>
    <t>4901 Total</t>
  </si>
  <si>
    <t>4908 Total</t>
  </si>
  <si>
    <t>4909 Total</t>
  </si>
  <si>
    <t>4911 Total</t>
  </si>
  <si>
    <t>4913 Total</t>
  </si>
  <si>
    <t>4926 Total</t>
  </si>
  <si>
    <t>4929 Total</t>
  </si>
  <si>
    <t>4946 Total</t>
  </si>
  <si>
    <t>4955 Total</t>
  </si>
  <si>
    <t>4970 Total</t>
  </si>
  <si>
    <t>4974 Total</t>
  </si>
  <si>
    <t>4980 Total</t>
  </si>
  <si>
    <t>4983 Total</t>
  </si>
  <si>
    <t>49-General Operations</t>
  </si>
  <si>
    <t xml:space="preserve">  Postage</t>
  </si>
  <si>
    <t xml:space="preserve">   Obsoletes</t>
  </si>
  <si>
    <t xml:space="preserve">    Misc </t>
  </si>
  <si>
    <t xml:space="preserve">    Secretary of State advertising</t>
  </si>
  <si>
    <t xml:space="preserve">   CC Fees</t>
  </si>
  <si>
    <t>Board members meeting  700/meeting</t>
  </si>
  <si>
    <t>Sum of Total</t>
  </si>
  <si>
    <t>Pcard</t>
  </si>
  <si>
    <t>Assume unemployment for FY24 - 26 @ 3% of first $12,000 earned each calendar year.</t>
  </si>
  <si>
    <t>Five positions rows 7-11 are part of discussion to be moved to GF, still assigned to BPC</t>
  </si>
  <si>
    <t>Three unestablished positions rows 2-4 are in FY24-25 currently GF account</t>
  </si>
  <si>
    <t>Assume all vacant positions at Step 3, 4 &amp; 5 beginning in FY24</t>
  </si>
  <si>
    <t xml:space="preserve">Assume 13 days Holiday pay for all Env Spec III positions </t>
  </si>
  <si>
    <t>00</t>
  </si>
  <si>
    <t>01401A028701</t>
  </si>
  <si>
    <t>PESTICIDES CONTROL-BOARD OF</t>
  </si>
  <si>
    <t>TOXICOLOGIST</t>
  </si>
  <si>
    <t>B</t>
  </si>
  <si>
    <t>4364</t>
  </si>
  <si>
    <t>BRYER             P J</t>
  </si>
  <si>
    <t>005000704</t>
  </si>
  <si>
    <t>AGR</t>
  </si>
  <si>
    <t>Vacant Assume Step 3, 4 &amp; 5 beginning FY24</t>
  </si>
  <si>
    <t>PEST CTRL BD DIR</t>
  </si>
  <si>
    <t>D</t>
  </si>
  <si>
    <t>9339</t>
  </si>
  <si>
    <t>PATTERSON/ currently vacant</t>
  </si>
  <si>
    <t>005000713</t>
  </si>
  <si>
    <t>OFFICE ASSOC II</t>
  </si>
  <si>
    <t>A</t>
  </si>
  <si>
    <t>6542</t>
  </si>
  <si>
    <t>Vacant proj Step 3,4 &amp; 5</t>
  </si>
  <si>
    <t>005001007</t>
  </si>
  <si>
    <t>Step 8 FY24</t>
  </si>
  <si>
    <t>LAMB              M L</t>
  </si>
  <si>
    <t>005000584</t>
  </si>
  <si>
    <t xml:space="preserve">Step 8 FY23 </t>
  </si>
  <si>
    <t>BETTS             J L</t>
  </si>
  <si>
    <t>005000206</t>
  </si>
  <si>
    <t>ENV SPEC IV</t>
  </si>
  <si>
    <t>9254</t>
  </si>
  <si>
    <t>PIETROSKI         J T</t>
  </si>
  <si>
    <t>005000688</t>
  </si>
  <si>
    <t>Connors left position filled by Peacock FY23</t>
  </si>
  <si>
    <t>PEACOCK           A R</t>
  </si>
  <si>
    <t>005000523</t>
  </si>
  <si>
    <t>CONNORS           R</t>
  </si>
  <si>
    <t>01301A028701</t>
  </si>
  <si>
    <t>ENV SPEC III</t>
  </si>
  <si>
    <t>9253</t>
  </si>
  <si>
    <t>COUTURE           A J</t>
  </si>
  <si>
    <t>005000747</t>
  </si>
  <si>
    <t>BOARD OF PESTICIDES CONTROL</t>
  </si>
  <si>
    <t>BOYD              K S</t>
  </si>
  <si>
    <t>005000703</t>
  </si>
  <si>
    <t>TOMLINSON         M E</t>
  </si>
  <si>
    <t>005000510</t>
  </si>
  <si>
    <t xml:space="preserve">Vacant position Assume Step 3/4 &amp; 5 &amp; 13 holiday pay days 8 hrs </t>
  </si>
  <si>
    <t>005000275</t>
  </si>
  <si>
    <t>04</t>
  </si>
  <si>
    <t>ENV SPEC II</t>
  </si>
  <si>
    <t>9252</t>
  </si>
  <si>
    <t>BROWN             K R</t>
  </si>
  <si>
    <t>005000753</t>
  </si>
  <si>
    <t>Vacant Assume Step 3 &amp; Step 4</t>
  </si>
  <si>
    <t>005000752</t>
  </si>
  <si>
    <t>005000751</t>
  </si>
  <si>
    <t>005000741</t>
  </si>
  <si>
    <t>Vacant - Assume Step 3 &amp; 4 will fam ins</t>
  </si>
  <si>
    <t>005000740</t>
  </si>
  <si>
    <t>Step 8 FY26</t>
  </si>
  <si>
    <t>03</t>
  </si>
  <si>
    <t>NELSON            H D</t>
  </si>
  <si>
    <t>005000738</t>
  </si>
  <si>
    <t>Position vacant for a portion of FY23</t>
  </si>
  <si>
    <t>Gustafson, Shannon</t>
  </si>
  <si>
    <t>005000682</t>
  </si>
  <si>
    <t>WEYENETH          A D</t>
  </si>
  <si>
    <t>Poisson, Jennie</t>
  </si>
  <si>
    <t>005000676</t>
  </si>
  <si>
    <t>SAUCIER           L R</t>
  </si>
  <si>
    <t>005000541</t>
  </si>
  <si>
    <t>Five positions potentially moved to GF?</t>
  </si>
  <si>
    <t>ST HORTICULTURIST</t>
  </si>
  <si>
    <t>9124</t>
  </si>
  <si>
    <t>FISH              G D</t>
  </si>
  <si>
    <t>005000052</t>
  </si>
  <si>
    <t>Step 8 FY25</t>
  </si>
  <si>
    <t>ENTOMOLOGIST III</t>
  </si>
  <si>
    <t>9413</t>
  </si>
  <si>
    <t>LUND              J L</t>
  </si>
  <si>
    <t>005000597</t>
  </si>
  <si>
    <t xml:space="preserve">Merit increases </t>
  </si>
  <si>
    <t>PETERSON          H M</t>
  </si>
  <si>
    <t>005000585</t>
  </si>
  <si>
    <t>Step 8 FY27</t>
  </si>
  <si>
    <t>ASST HORTICULTURIST</t>
  </si>
  <si>
    <t>9123</t>
  </si>
  <si>
    <t>SCALLY            S H</t>
  </si>
  <si>
    <t>005000868</t>
  </si>
  <si>
    <t>NEIL              C J</t>
  </si>
  <si>
    <t>005000053</t>
  </si>
  <si>
    <t>Three positions above moved to GF Chapter 17 FY24/25 budget</t>
  </si>
  <si>
    <t xml:space="preserve">Unestablished position assume Step 3 &amp; 4 </t>
  </si>
  <si>
    <t>01001A039301</t>
  </si>
  <si>
    <t>Bureau of Agriculture</t>
  </si>
  <si>
    <t>Unestablished</t>
  </si>
  <si>
    <t>18212</t>
  </si>
  <si>
    <t>18211</t>
  </si>
  <si>
    <t>Unestablished position assume Step 3, 4 &amp; 5</t>
  </si>
  <si>
    <t>18210</t>
  </si>
  <si>
    <t>FY26 Unemployment</t>
  </si>
  <si>
    <t>FY26 Payroll assume 1% increase from FY25</t>
  </si>
  <si>
    <t>FY25 Unemployment</t>
  </si>
  <si>
    <t xml:space="preserve">FY25 Payroll </t>
  </si>
  <si>
    <t>FY24 Unemployment @ 3%</t>
  </si>
  <si>
    <t>FY24 Payroll</t>
  </si>
  <si>
    <t>FY23 Unemploymnet</t>
  </si>
  <si>
    <t>Total  FY23 Payroll</t>
  </si>
  <si>
    <t>Seasonal begin month</t>
  </si>
  <si>
    <t>Hrs/bi-weekly</t>
  </si>
  <si>
    <t>Weeks/yr</t>
  </si>
  <si>
    <t>Position Allotment amt</t>
  </si>
  <si>
    <t>yr</t>
  </si>
  <si>
    <t>home_acct</t>
  </si>
  <si>
    <t>rptng_lvl_descr</t>
  </si>
  <si>
    <t>alloc_pct</t>
  </si>
  <si>
    <t>acctng_cost_ctr</t>
  </si>
  <si>
    <t>class_short_title</t>
  </si>
  <si>
    <t>admin_unit</t>
  </si>
  <si>
    <t>id_1</t>
  </si>
  <si>
    <t>class_cd</t>
  </si>
  <si>
    <t>pay_grade_no</t>
  </si>
  <si>
    <t>Name</t>
  </si>
  <si>
    <t>pos_no</t>
  </si>
  <si>
    <t>Bureau</t>
  </si>
  <si>
    <t>Mark Patterson</t>
  </si>
  <si>
    <t>Henry Jennings</t>
  </si>
  <si>
    <t>estimate open amount for 2024</t>
  </si>
  <si>
    <t>Mike Galli</t>
  </si>
  <si>
    <t>Caley Rentz Boomer</t>
  </si>
  <si>
    <t>5/15/23-12/31/23</t>
  </si>
  <si>
    <t>based on 10,635 licenses</t>
  </si>
  <si>
    <t>CDC MOU</t>
  </si>
  <si>
    <t>ESTIMATED FY2024</t>
  </si>
  <si>
    <t>ESTIMATED FY2025</t>
  </si>
  <si>
    <t>ESTIMATED FY2026</t>
  </si>
  <si>
    <t>ESTIMATED  6/1/2023</t>
  </si>
  <si>
    <t>Staying flat</t>
  </si>
  <si>
    <t>ESTIMATED FY2023</t>
  </si>
  <si>
    <t>5 POSITIONS THAT MAY MOVE TO THE GENERAL FUND</t>
  </si>
  <si>
    <t>ADMIN FEES (STA-CAP 6.265% &amp; DICAP 15% )</t>
  </si>
  <si>
    <t>TOTAL SAVINGS IF 5 POSITIONS ARE MOVED TO THE GENERAL FUND</t>
  </si>
  <si>
    <t>PROJECTIONS FOR FY 23, FY 24, FY 25, and FY 26</t>
  </si>
  <si>
    <t>AS OF:  MAY 30, 2023</t>
  </si>
  <si>
    <t>CURRENT FISCAL YEAR 2023 (BY MONTH)</t>
  </si>
  <si>
    <t xml:space="preserve">Staying flat for </t>
  </si>
  <si>
    <t>Option 1 Gov change package</t>
  </si>
  <si>
    <t>Swapping 5 H and 3 GF back  to BPC</t>
  </si>
  <si>
    <t>Option 2 ACF request</t>
  </si>
  <si>
    <t>MEPERLS</t>
  </si>
  <si>
    <t>STA-CAP</t>
  </si>
  <si>
    <t>ACTUAL FY2023</t>
  </si>
  <si>
    <t xml:space="preserve">Added 3 positions to BPC Funding, and moved 5 Plant Health positions to General Fund. </t>
  </si>
  <si>
    <t>ACTUAL FY2023; PROJECTIONS FOR FY2024, FY2025 AND FY2026</t>
  </si>
  <si>
    <t>31-39</t>
  </si>
  <si>
    <t>Moved 5 Plant Health positons to Sheet 1</t>
  </si>
  <si>
    <t>STA-CAP rate based on FY2024 Actual Rate.</t>
  </si>
  <si>
    <t>Item</t>
  </si>
  <si>
    <t>Obsoletes</t>
  </si>
  <si>
    <t>Year</t>
  </si>
  <si>
    <t>DACF Mosquito</t>
  </si>
  <si>
    <t>CDC Mosquito</t>
  </si>
  <si>
    <t>Maine Mobil Health</t>
  </si>
  <si>
    <t>DACF IPM</t>
  </si>
  <si>
    <t>???</t>
  </si>
  <si>
    <t>Expenditures</t>
  </si>
  <si>
    <t>Bernard funding</t>
  </si>
  <si>
    <t>UMCE Funding</t>
  </si>
  <si>
    <t>Education Outreach</t>
  </si>
  <si>
    <t>rev</t>
  </si>
  <si>
    <t>bernard/UMCE Funding</t>
  </si>
  <si>
    <t>Hillary</t>
  </si>
  <si>
    <t>Moved up to 40</t>
  </si>
  <si>
    <t>Hillary-DACF Mosquito</t>
  </si>
  <si>
    <t>Hillary- DACF IPM</t>
  </si>
  <si>
    <t xml:space="preserve"> Mosquito Unit so easier to keep track</t>
  </si>
  <si>
    <t>based on 11,459 Product registrations</t>
  </si>
  <si>
    <t>AS OF: November 27, 2023</t>
  </si>
  <si>
    <t>Revenues - Expenditures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</si>
</sst>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0;\-#,##0.00"/>
    <numFmt numFmtId="165" formatCode="0.000%"/>
    <numFmt numFmtId="166" formatCode="_(* #,##0_);_(* \(#,##0\);_(* &quot;-&quot;??_);_(@_)"/>
    <numFmt numFmtId="167" formatCode="&quot;$&quot;#,##0.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Arial Black"/>
      <family val="2"/>
    </font>
    <font>
      <b/>
      <sz val="16"/>
      <color theme="1"/>
      <name val="Arial Black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auto="1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20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pivotButton="1" applyFont="1"/>
    <xf numFmtId="0" fontId="1" fillId="0" borderId="0" xfId="0" applyFont="1"/>
    <xf numFmtId="43" fontId="0" fillId="0" borderId="0" xfId="0" applyNumberFormat="1"/>
    <xf numFmtId="43" fontId="0" fillId="0" borderId="0" xfId="0" pivotButton="1" applyNumberFormat="1"/>
    <xf numFmtId="49" fontId="2" fillId="2" borderId="0" xfId="0" applyNumberFormat="1" applyFont="1" applyFill="1" applyAlignment="1">
      <alignment horizontal="left"/>
    </xf>
    <xf numFmtId="49" fontId="2" fillId="3" borderId="0" xfId="0" applyNumberFormat="1" applyFont="1" applyFill="1" applyAlignment="1">
      <alignment horizontal="left"/>
    </xf>
    <xf numFmtId="49" fontId="0" fillId="0" borderId="0" xfId="0" applyNumberFormat="1" applyFont="1" applyAlignment="1">
      <alignment horizontal="center"/>
    </xf>
    <xf numFmtId="0" fontId="0" fillId="0" borderId="0" xfId="0" applyFont="1"/>
    <xf numFmtId="43" fontId="0" fillId="0" borderId="0" xfId="0" applyNumberFormat="1" applyFont="1"/>
    <xf numFmtId="43" fontId="1" fillId="0" borderId="0" xfId="0" applyNumberFormat="1" applyFont="1"/>
    <xf numFmtId="0" fontId="0" fillId="0" borderId="0" xfId="0" applyFont="1" applyBorder="1" applyAlignment="1"/>
    <xf numFmtId="43" fontId="2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 applyBorder="1" applyAlignment="1"/>
    <xf numFmtId="0" fontId="2" fillId="0" borderId="0" xfId="0" applyFont="1"/>
    <xf numFmtId="43" fontId="2" fillId="0" borderId="0" xfId="0" applyNumberFormat="1" applyFont="1"/>
    <xf numFmtId="0" fontId="4" fillId="0" borderId="0" xfId="0" applyFont="1"/>
    <xf numFmtId="0" fontId="4" fillId="0" borderId="0" xfId="0" applyNumberFormat="1" applyFont="1" applyBorder="1" applyAlignment="1"/>
    <xf numFmtId="0" fontId="2" fillId="4" borderId="2" xfId="0" applyNumberFormat="1" applyFont="1" applyFill="1" applyBorder="1" applyAlignment="1">
      <alignment horizontal="center"/>
    </xf>
    <xf numFmtId="0" fontId="4" fillId="0" borderId="0" xfId="0" applyNumberFormat="1" applyFont="1"/>
    <xf numFmtId="49" fontId="2" fillId="0" borderId="0" xfId="0" applyNumberFormat="1" applyFont="1" applyAlignment="1">
      <alignment horizontal="center"/>
    </xf>
    <xf numFmtId="43" fontId="4" fillId="0" borderId="0" xfId="0" applyNumberFormat="1" applyFont="1" applyBorder="1" applyAlignment="1">
      <alignment horizontal="center"/>
    </xf>
    <xf numFmtId="43" fontId="4" fillId="0" borderId="0" xfId="0" applyNumberFormat="1" applyFont="1"/>
    <xf numFmtId="43" fontId="4" fillId="0" borderId="0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3" xfId="0" applyFont="1" applyBorder="1" applyAlignment="1"/>
    <xf numFmtId="43" fontId="2" fillId="0" borderId="3" xfId="0" applyNumberFormat="1" applyFont="1" applyBorder="1"/>
    <xf numFmtId="0" fontId="4" fillId="0" borderId="0" xfId="0" applyFont="1" applyBorder="1" applyAlignment="1">
      <alignment horizontal="left"/>
    </xf>
    <xf numFmtId="40" fontId="2" fillId="0" borderId="0" xfId="0" applyNumberFormat="1" applyFont="1" applyAlignment="1">
      <alignment horizontal="center"/>
    </xf>
    <xf numFmtId="40" fontId="2" fillId="4" borderId="3" xfId="0" applyNumberFormat="1" applyFont="1" applyFill="1" applyBorder="1" applyAlignment="1"/>
    <xf numFmtId="40" fontId="2" fillId="4" borderId="3" xfId="0" applyNumberFormat="1" applyFont="1" applyFill="1" applyBorder="1"/>
    <xf numFmtId="40" fontId="2" fillId="0" borderId="0" xfId="0" applyNumberFormat="1" applyFont="1"/>
    <xf numFmtId="40" fontId="2" fillId="5" borderId="3" xfId="0" applyNumberFormat="1" applyFont="1" applyFill="1" applyBorder="1"/>
    <xf numFmtId="0" fontId="2" fillId="6" borderId="0" xfId="0" applyFont="1" applyFill="1"/>
    <xf numFmtId="43" fontId="2" fillId="6" borderId="0" xfId="0" applyNumberFormat="1" applyFont="1" applyFill="1"/>
    <xf numFmtId="40" fontId="2" fillId="6" borderId="0" xfId="0" applyNumberFormat="1" applyFont="1" applyFill="1"/>
    <xf numFmtId="49" fontId="6" fillId="0" borderId="0" xfId="0" applyNumberFormat="1" applyFont="1" applyAlignment="1">
      <alignment horizontal="center"/>
    </xf>
    <xf numFmtId="0" fontId="6" fillId="0" borderId="0" xfId="0" applyFont="1" applyBorder="1" applyAlignment="1"/>
    <xf numFmtId="43" fontId="6" fillId="0" borderId="0" xfId="0" applyNumberFormat="1" applyFont="1"/>
    <xf numFmtId="0" fontId="6" fillId="0" borderId="0" xfId="0" applyFont="1"/>
    <xf numFmtId="0" fontId="1" fillId="0" borderId="0" xfId="0" applyNumberFormat="1" applyFont="1" applyAlignment="1">
      <alignment horizontal="center"/>
    </xf>
    <xf numFmtId="0" fontId="2" fillId="4" borderId="0" xfId="0" applyNumberFormat="1" applyFont="1" applyFill="1" applyBorder="1" applyAlignment="1">
      <alignment horizontal="center"/>
    </xf>
    <xf numFmtId="43" fontId="2" fillId="0" borderId="0" xfId="0" applyNumberFormat="1" applyFont="1" applyBorder="1" applyAlignment="1"/>
    <xf numFmtId="43" fontId="2" fillId="0" borderId="0" xfId="0" applyNumberFormat="1" applyFont="1" applyBorder="1" applyAlignment="1">
      <alignment horizontal="center"/>
    </xf>
    <xf numFmtId="0" fontId="0" fillId="6" borderId="0" xfId="0" applyFont="1" applyFill="1"/>
    <xf numFmtId="0" fontId="6" fillId="6" borderId="0" xfId="0" applyFont="1" applyFill="1"/>
    <xf numFmtId="0" fontId="4" fillId="6" borderId="0" xfId="0" applyFont="1" applyFill="1"/>
    <xf numFmtId="0" fontId="4" fillId="6" borderId="0" xfId="0" applyNumberFormat="1" applyFont="1" applyFill="1"/>
    <xf numFmtId="43" fontId="3" fillId="0" borderId="0" xfId="0" applyNumberFormat="1" applyFont="1" applyFill="1" applyAlignment="1">
      <alignment horizontal="center"/>
    </xf>
    <xf numFmtId="0" fontId="5" fillId="0" borderId="0" xfId="0" applyFont="1" applyFill="1"/>
    <xf numFmtId="0" fontId="2" fillId="0" borderId="0" xfId="0" applyFont="1" applyFill="1"/>
    <xf numFmtId="0" fontId="2" fillId="0" borderId="0" xfId="0" applyNumberFormat="1" applyFont="1" applyFill="1"/>
    <xf numFmtId="43" fontId="2" fillId="0" borderId="0" xfId="0" applyNumberFormat="1" applyFont="1" applyFill="1"/>
    <xf numFmtId="0" fontId="2" fillId="0" borderId="0" xfId="0" applyFont="1" applyFill="1" applyAlignment="1">
      <alignment horizontal="center"/>
    </xf>
    <xf numFmtId="40" fontId="2" fillId="0" borderId="0" xfId="0" applyNumberFormat="1" applyFont="1" applyFill="1"/>
    <xf numFmtId="0" fontId="1" fillId="0" borderId="0" xfId="0" applyFont="1" applyFill="1"/>
    <xf numFmtId="43" fontId="0" fillId="0" borderId="0" xfId="1" applyFont="1"/>
    <xf numFmtId="43" fontId="3" fillId="0" borderId="0" xfId="0" applyNumberFormat="1" applyFont="1" applyAlignment="1">
      <alignment horizontal="center"/>
    </xf>
    <xf numFmtId="43" fontId="4" fillId="0" borderId="0" xfId="1" applyFont="1"/>
    <xf numFmtId="43" fontId="0" fillId="7" borderId="0" xfId="0" applyNumberFormat="1" applyFont="1" applyFill="1"/>
    <xf numFmtId="43" fontId="0" fillId="8" borderId="0" xfId="0" applyNumberFormat="1" applyFont="1" applyFill="1"/>
    <xf numFmtId="43" fontId="1" fillId="8" borderId="0" xfId="0" applyNumberFormat="1" applyFont="1" applyFill="1"/>
    <xf numFmtId="0" fontId="0" fillId="8" borderId="0" xfId="0" applyFont="1" applyFill="1"/>
    <xf numFmtId="0" fontId="0" fillId="0" borderId="0" xfId="0" applyAlignment="1">
      <alignment horizontal="left" indent="1"/>
    </xf>
    <xf numFmtId="164" fontId="0" fillId="0" borderId="0" xfId="0" applyNumberFormat="1"/>
    <xf numFmtId="0" fontId="0" fillId="8" borderId="0" xfId="0" applyFill="1"/>
    <xf numFmtId="164" fontId="0" fillId="8" borderId="0" xfId="0" applyNumberFormat="1" applyFill="1"/>
    <xf numFmtId="0" fontId="0" fillId="0" borderId="5" xfId="0" applyBorder="1"/>
    <xf numFmtId="0" fontId="0" fillId="0" borderId="0" xfId="0" applyAlignment="1">
      <alignment wrapText="1"/>
    </xf>
    <xf numFmtId="0" fontId="9" fillId="7" borderId="0" xfId="0" applyFont="1" applyFill="1"/>
    <xf numFmtId="0" fontId="7" fillId="0" borderId="0" xfId="0" applyFont="1"/>
    <xf numFmtId="0" fontId="7" fillId="0" borderId="5" xfId="0" applyFont="1" applyBorder="1" applyAlignment="1">
      <alignment wrapText="1"/>
    </xf>
    <xf numFmtId="43" fontId="7" fillId="0" borderId="5" xfId="1" applyFont="1" applyBorder="1"/>
    <xf numFmtId="43" fontId="7" fillId="0" borderId="5" xfId="1" applyFont="1" applyFill="1" applyBorder="1"/>
    <xf numFmtId="43" fontId="0" fillId="0" borderId="5" xfId="1" applyFont="1" applyBorder="1"/>
    <xf numFmtId="1" fontId="7" fillId="0" borderId="5" xfId="0" applyNumberFormat="1" applyFont="1" applyBorder="1"/>
    <xf numFmtId="43" fontId="9" fillId="7" borderId="0" xfId="1" applyFont="1" applyFill="1"/>
    <xf numFmtId="43" fontId="9" fillId="7" borderId="5" xfId="1" applyFont="1" applyFill="1" applyBorder="1" applyAlignment="1">
      <alignment wrapText="1"/>
    </xf>
    <xf numFmtId="43" fontId="9" fillId="7" borderId="5" xfId="1" applyFont="1" applyFill="1" applyBorder="1"/>
    <xf numFmtId="0" fontId="9" fillId="7" borderId="5" xfId="0" applyFont="1" applyFill="1" applyBorder="1"/>
    <xf numFmtId="0" fontId="0" fillId="0" borderId="5" xfId="0" quotePrefix="1" applyBorder="1"/>
    <xf numFmtId="0" fontId="0" fillId="0" borderId="5" xfId="0" applyBorder="1" applyAlignment="1">
      <alignment wrapText="1"/>
    </xf>
    <xf numFmtId="0" fontId="0" fillId="7" borderId="5" xfId="0" applyFill="1" applyBorder="1"/>
    <xf numFmtId="0" fontId="7" fillId="0" borderId="5" xfId="0" applyFont="1" applyBorder="1"/>
    <xf numFmtId="165" fontId="7" fillId="0" borderId="5" xfId="2" applyNumberFormat="1" applyFont="1" applyFill="1" applyBorder="1"/>
    <xf numFmtId="0" fontId="8" fillId="7" borderId="6" xfId="0" applyFont="1" applyFill="1" applyBorder="1"/>
    <xf numFmtId="0" fontId="9" fillId="7" borderId="6" xfId="0" applyFont="1" applyFill="1" applyBorder="1"/>
    <xf numFmtId="0" fontId="9" fillId="7" borderId="5" xfId="0" applyFont="1" applyFill="1" applyBorder="1" applyAlignment="1">
      <alignment wrapText="1"/>
    </xf>
    <xf numFmtId="0" fontId="9" fillId="7" borderId="5" xfId="0" quotePrefix="1" applyFont="1" applyFill="1" applyBorder="1"/>
    <xf numFmtId="1" fontId="9" fillId="7" borderId="5" xfId="0" applyNumberFormat="1" applyFont="1" applyFill="1" applyBorder="1"/>
    <xf numFmtId="0" fontId="7" fillId="0" borderId="6" xfId="0" applyFont="1" applyBorder="1"/>
    <xf numFmtId="0" fontId="8" fillId="7" borderId="0" xfId="0" applyFont="1" applyFill="1"/>
    <xf numFmtId="0" fontId="8" fillId="7" borderId="5" xfId="0" applyFont="1" applyFill="1" applyBorder="1" applyAlignment="1">
      <alignment wrapText="1"/>
    </xf>
    <xf numFmtId="43" fontId="8" fillId="7" borderId="5" xfId="1" applyFont="1" applyFill="1" applyBorder="1"/>
    <xf numFmtId="0" fontId="8" fillId="7" borderId="5" xfId="0" applyFont="1" applyFill="1" applyBorder="1"/>
    <xf numFmtId="1" fontId="8" fillId="7" borderId="5" xfId="0" applyNumberFormat="1" applyFont="1" applyFill="1" applyBorder="1"/>
    <xf numFmtId="43" fontId="8" fillId="7" borderId="0" xfId="1" applyFont="1" applyFill="1" applyBorder="1"/>
    <xf numFmtId="43" fontId="8" fillId="7" borderId="5" xfId="1" applyFont="1" applyFill="1" applyBorder="1" applyAlignment="1">
      <alignment wrapText="1"/>
    </xf>
    <xf numFmtId="166" fontId="8" fillId="7" borderId="5" xfId="1" applyNumberFormat="1" applyFont="1" applyFill="1" applyBorder="1"/>
    <xf numFmtId="0" fontId="7" fillId="0" borderId="0" xfId="0" applyFont="1" applyAlignment="1">
      <alignment wrapText="1"/>
    </xf>
    <xf numFmtId="43" fontId="7" fillId="0" borderId="0" xfId="1" applyFont="1" applyFill="1" applyBorder="1"/>
    <xf numFmtId="43" fontId="7" fillId="0" borderId="0" xfId="1" applyFont="1" applyFill="1"/>
    <xf numFmtId="43" fontId="7" fillId="0" borderId="7" xfId="1" applyFont="1" applyFill="1" applyBorder="1"/>
    <xf numFmtId="0" fontId="0" fillId="0" borderId="7" xfId="0" applyBorder="1"/>
    <xf numFmtId="43" fontId="0" fillId="0" borderId="7" xfId="1" applyFont="1" applyBorder="1"/>
    <xf numFmtId="1" fontId="7" fillId="0" borderId="7" xfId="0" applyNumberFormat="1" applyFont="1" applyBorder="1"/>
    <xf numFmtId="43" fontId="7" fillId="0" borderId="8" xfId="1" applyFont="1" applyFill="1" applyBorder="1"/>
    <xf numFmtId="0" fontId="0" fillId="0" borderId="8" xfId="0" applyBorder="1"/>
    <xf numFmtId="43" fontId="0" fillId="0" borderId="8" xfId="1" applyFont="1" applyBorder="1"/>
    <xf numFmtId="1" fontId="0" fillId="0" borderId="8" xfId="0" applyNumberFormat="1" applyBorder="1"/>
    <xf numFmtId="0" fontId="0" fillId="0" borderId="9" xfId="0" applyBorder="1"/>
    <xf numFmtId="1" fontId="7" fillId="0" borderId="9" xfId="0" applyNumberFormat="1" applyFont="1" applyBorder="1"/>
    <xf numFmtId="0" fontId="0" fillId="0" borderId="10" xfId="0" applyBorder="1"/>
    <xf numFmtId="0" fontId="7" fillId="0" borderId="11" xfId="0" applyFont="1" applyBorder="1"/>
    <xf numFmtId="0" fontId="0" fillId="0" borderId="12" xfId="0" applyBorder="1"/>
    <xf numFmtId="0" fontId="9" fillId="7" borderId="13" xfId="0" applyFont="1" applyFill="1" applyBorder="1" applyAlignment="1">
      <alignment wrapText="1"/>
    </xf>
    <xf numFmtId="1" fontId="7" fillId="0" borderId="14" xfId="0" applyNumberFormat="1" applyFont="1" applyBorder="1"/>
    <xf numFmtId="0" fontId="9" fillId="7" borderId="15" xfId="0" applyFont="1" applyFill="1" applyBorder="1" applyAlignment="1">
      <alignment wrapText="1"/>
    </xf>
    <xf numFmtId="43" fontId="7" fillId="0" borderId="16" xfId="1" applyFont="1" applyFill="1" applyBorder="1"/>
    <xf numFmtId="43" fontId="7" fillId="0" borderId="17" xfId="1" applyFont="1" applyFill="1" applyBorder="1"/>
    <xf numFmtId="0" fontId="0" fillId="0" borderId="17" xfId="0" quotePrefix="1" applyBorder="1"/>
    <xf numFmtId="0" fontId="0" fillId="0" borderId="17" xfId="0" applyBorder="1"/>
    <xf numFmtId="43" fontId="0" fillId="0" borderId="17" xfId="1" applyFont="1" applyBorder="1"/>
    <xf numFmtId="1" fontId="7" fillId="0" borderId="18" xfId="0" applyNumberFormat="1" applyFont="1" applyBorder="1"/>
    <xf numFmtId="0" fontId="1" fillId="0" borderId="0" xfId="0" applyFont="1" applyAlignment="1">
      <alignment wrapText="1"/>
    </xf>
    <xf numFmtId="0" fontId="1" fillId="0" borderId="19" xfId="0" applyFont="1" applyBorder="1" applyAlignment="1">
      <alignment wrapText="1"/>
    </xf>
    <xf numFmtId="43" fontId="1" fillId="0" borderId="19" xfId="1" applyFont="1" applyFill="1" applyBorder="1" applyAlignment="1">
      <alignment wrapText="1"/>
    </xf>
    <xf numFmtId="14" fontId="1" fillId="0" borderId="19" xfId="1" applyNumberFormat="1" applyFont="1" applyFill="1" applyBorder="1" applyAlignment="1">
      <alignment wrapText="1"/>
    </xf>
    <xf numFmtId="1" fontId="1" fillId="0" borderId="19" xfId="0" applyNumberFormat="1" applyFont="1" applyBorder="1" applyAlignment="1" applyProtection="1">
      <alignment horizontal="center" wrapText="1"/>
      <protection locked="0"/>
    </xf>
    <xf numFmtId="166" fontId="1" fillId="0" borderId="19" xfId="1" applyNumberFormat="1" applyFont="1" applyFill="1" applyBorder="1" applyAlignment="1" applyProtection="1">
      <alignment horizontal="center" wrapText="1"/>
      <protection locked="0"/>
    </xf>
    <xf numFmtId="0" fontId="1" fillId="0" borderId="19" xfId="0" applyFont="1" applyBorder="1" applyAlignment="1" applyProtection="1">
      <alignment horizontal="center" wrapText="1"/>
      <protection locked="0"/>
    </xf>
    <xf numFmtId="49" fontId="1" fillId="0" borderId="19" xfId="0" applyNumberFormat="1" applyFont="1" applyBorder="1" applyAlignment="1" applyProtection="1">
      <alignment horizontal="center" wrapText="1"/>
      <protection locked="0"/>
    </xf>
    <xf numFmtId="43" fontId="0" fillId="7" borderId="0" xfId="1" applyFont="1" applyFill="1"/>
    <xf numFmtId="43" fontId="0" fillId="9" borderId="0" xfId="0" applyNumberFormat="1" applyFont="1" applyFill="1"/>
    <xf numFmtId="43" fontId="1" fillId="9" borderId="0" xfId="0" applyNumberFormat="1" applyFont="1" applyFill="1"/>
    <xf numFmtId="0" fontId="0" fillId="9" borderId="0" xfId="0" applyFont="1" applyFill="1"/>
    <xf numFmtId="43" fontId="0" fillId="9" borderId="0" xfId="1" applyFont="1" applyFill="1"/>
    <xf numFmtId="0" fontId="0" fillId="0" borderId="0" xfId="0" applyFont="1" applyFill="1"/>
    <xf numFmtId="43" fontId="0" fillId="0" borderId="0" xfId="0" applyNumberFormat="1" applyFont="1" applyFill="1"/>
    <xf numFmtId="43" fontId="1" fillId="0" borderId="0" xfId="0" applyNumberFormat="1" applyFont="1" applyFill="1"/>
    <xf numFmtId="43" fontId="0" fillId="0" borderId="4" xfId="1" applyFont="1" applyBorder="1"/>
    <xf numFmtId="43" fontId="4" fillId="0" borderId="0" xfId="1" applyFont="1" applyFill="1"/>
    <xf numFmtId="43" fontId="2" fillId="4" borderId="0" xfId="0" applyNumberFormat="1" applyFont="1" applyFill="1" applyAlignment="1">
      <alignment horizontal="center"/>
    </xf>
    <xf numFmtId="49" fontId="11" fillId="0" borderId="0" xfId="0" applyNumberFormat="1" applyFont="1" applyAlignment="1">
      <alignment horizontal="centerContinuous"/>
    </xf>
    <xf numFmtId="0" fontId="11" fillId="0" borderId="0" xfId="0" applyFont="1" applyBorder="1" applyAlignment="1">
      <alignment horizontal="centerContinuous"/>
    </xf>
    <xf numFmtId="43" fontId="12" fillId="0" borderId="0" xfId="0" applyNumberFormat="1" applyFont="1" applyAlignment="1">
      <alignment horizontal="centerContinuous"/>
    </xf>
    <xf numFmtId="0" fontId="11" fillId="0" borderId="0" xfId="0" applyFont="1" applyAlignment="1">
      <alignment horizontal="centerContinuous"/>
    </xf>
    <xf numFmtId="49" fontId="2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/>
    <xf numFmtId="43" fontId="4" fillId="0" borderId="0" xfId="0" applyNumberFormat="1" applyFont="1" applyFill="1"/>
    <xf numFmtId="0" fontId="4" fillId="0" borderId="0" xfId="0" applyFont="1" applyFill="1"/>
    <xf numFmtId="0" fontId="2" fillId="0" borderId="1" xfId="0" applyFont="1" applyFill="1" applyBorder="1" applyAlignment="1">
      <alignment horizontal="center"/>
    </xf>
    <xf numFmtId="49" fontId="2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>
      <alignment horizontal="center"/>
    </xf>
    <xf numFmtId="0" fontId="4" fillId="0" borderId="0" xfId="0" applyNumberFormat="1" applyFont="1" applyFill="1" applyBorder="1" applyAlignment="1"/>
    <xf numFmtId="17" fontId="2" fillId="0" borderId="2" xfId="0" applyNumberFormat="1" applyFont="1" applyFill="1" applyBorder="1" applyAlignment="1">
      <alignment horizontal="center"/>
    </xf>
    <xf numFmtId="17" fontId="2" fillId="0" borderId="2" xfId="0" applyNumberFormat="1" applyFont="1" applyFill="1" applyBorder="1" applyAlignment="1">
      <alignment horizontal="center" wrapText="1"/>
    </xf>
    <xf numFmtId="43" fontId="2" fillId="0" borderId="0" xfId="0" applyNumberFormat="1" applyFont="1" applyFill="1" applyAlignment="1">
      <alignment horizontal="center" wrapText="1"/>
    </xf>
    <xf numFmtId="0" fontId="4" fillId="0" borderId="0" xfId="0" applyNumberFormat="1" applyFont="1" applyFill="1"/>
    <xf numFmtId="0" fontId="4" fillId="0" borderId="0" xfId="0" applyNumberFormat="1" applyFont="1" applyFill="1" applyAlignment="1">
      <alignment horizontal="center" wrapText="1"/>
    </xf>
    <xf numFmtId="40" fontId="2" fillId="0" borderId="0" xfId="0" applyNumberFormat="1" applyFont="1" applyFill="1" applyAlignment="1">
      <alignment horizontal="center"/>
    </xf>
    <xf numFmtId="40" fontId="2" fillId="0" borderId="3" xfId="0" applyNumberFormat="1" applyFont="1" applyFill="1" applyBorder="1" applyAlignment="1"/>
    <xf numFmtId="40" fontId="2" fillId="0" borderId="3" xfId="0" applyNumberFormat="1" applyFont="1" applyFill="1" applyBorder="1"/>
    <xf numFmtId="43" fontId="1" fillId="0" borderId="0" xfId="1" applyFont="1"/>
    <xf numFmtId="43" fontId="0" fillId="0" borderId="10" xfId="1" applyFont="1" applyBorder="1"/>
    <xf numFmtId="17" fontId="2" fillId="0" borderId="0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14" fontId="6" fillId="0" borderId="0" xfId="0" applyNumberFormat="1" applyFont="1"/>
    <xf numFmtId="43" fontId="5" fillId="0" borderId="0" xfId="0" applyNumberFormat="1" applyFont="1"/>
    <xf numFmtId="0" fontId="4" fillId="4" borderId="0" xfId="0" applyFont="1" applyFill="1"/>
    <xf numFmtId="0" fontId="1" fillId="0" borderId="0" xfId="0" applyFont="1" applyAlignment="1">
      <alignment horizontal="center"/>
    </xf>
    <xf numFmtId="17" fontId="2" fillId="4" borderId="2" xfId="0" applyNumberFormat="1" applyFont="1" applyFill="1" applyBorder="1" applyAlignment="1">
      <alignment horizontal="center"/>
    </xf>
    <xf numFmtId="43" fontId="2" fillId="4" borderId="0" xfId="0" applyNumberFormat="1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43" fontId="4" fillId="4" borderId="0" xfId="0" applyNumberFormat="1" applyFont="1" applyFill="1"/>
    <xf numFmtId="43" fontId="4" fillId="4" borderId="0" xfId="1" applyFont="1" applyFill="1"/>
    <xf numFmtId="0" fontId="2" fillId="0" borderId="3" xfId="0" applyFont="1" applyBorder="1"/>
    <xf numFmtId="0" fontId="4" fillId="0" borderId="0" xfId="0" applyFont="1" applyAlignment="1">
      <alignment horizontal="left"/>
    </xf>
    <xf numFmtId="43" fontId="0" fillId="8" borderId="0" xfId="0" applyNumberFormat="1" applyFill="1"/>
    <xf numFmtId="43" fontId="0" fillId="0" borderId="0" xfId="0" applyNumberFormat="1" applyAlignment="1">
      <alignment horizontal="right"/>
    </xf>
    <xf numFmtId="0" fontId="0" fillId="6" borderId="0" xfId="0" applyFill="1"/>
    <xf numFmtId="43" fontId="0" fillId="9" borderId="0" xfId="0" applyNumberFormat="1" applyFill="1"/>
    <xf numFmtId="0" fontId="0" fillId="9" borderId="0" xfId="0" applyFill="1"/>
    <xf numFmtId="43" fontId="0" fillId="7" borderId="0" xfId="0" applyNumberFormat="1" applyFill="1"/>
    <xf numFmtId="43" fontId="1" fillId="7" borderId="0" xfId="0" applyNumberFormat="1" applyFont="1" applyFill="1"/>
    <xf numFmtId="40" fontId="0" fillId="0" borderId="0" xfId="0" applyNumberFormat="1"/>
    <xf numFmtId="49" fontId="0" fillId="0" borderId="0" xfId="0" applyNumberFormat="1" applyAlignment="1">
      <alignment horizontal="left"/>
    </xf>
    <xf numFmtId="43" fontId="7" fillId="0" borderId="0" xfId="0" applyNumberFormat="1" applyFont="1"/>
    <xf numFmtId="43" fontId="3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43" fontId="0" fillId="0" borderId="0" xfId="0" applyNumberFormat="1" applyAlignment="1">
      <alignment horizontal="centerContinuous"/>
    </xf>
    <xf numFmtId="0" fontId="4" fillId="0" borderId="0" xfId="0" applyFont="1" applyAlignment="1">
      <alignment horizontal="center"/>
    </xf>
    <xf numFmtId="167" fontId="4" fillId="0" borderId="0" xfId="0" applyNumberFormat="1" applyFont="1" applyAlignment="1">
      <alignment horizontal="center"/>
    </xf>
    <xf numFmtId="167" fontId="4" fillId="0" borderId="0" xfId="0" applyNumberFormat="1" applyFont="1"/>
    <xf numFmtId="0" fontId="4" fillId="0" borderId="0" xfId="0" applyFont="1" applyAlignment="1"/>
    <xf numFmtId="167" fontId="2" fillId="0" borderId="0" xfId="0" applyNumberFormat="1" applyFont="1" applyAlignment="1">
      <alignment horizontal="center"/>
    </xf>
    <xf numFmtId="0" fontId="4" fillId="7" borderId="0" xfId="0" applyFont="1" applyFill="1"/>
    <xf numFmtId="43" fontId="4" fillId="0" borderId="0" xfId="1" applyFont="1" applyAlignment="1">
      <alignment horizontal="center"/>
    </xf>
    <xf numFmtId="43" fontId="2" fillId="4" borderId="0" xfId="0" applyNumberFormat="1" applyFont="1" applyFill="1" applyAlignment="1">
      <alignment horizontal="center"/>
    </xf>
    <xf numFmtId="43" fontId="3" fillId="0" borderId="0" xfId="0" applyNumberFormat="1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360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9" Type="http://schemas.openxmlformats.org/officeDocument/2006/relationships/pivotCacheDefinition" Target="pivotCache/pivotCacheDefinition20.xml"/><Relationship Id="rId21" Type="http://schemas.openxmlformats.org/officeDocument/2006/relationships/pivotCacheDefinition" Target="pivotCache/pivotCacheDefinition2.xml"/><Relationship Id="rId34" Type="http://schemas.openxmlformats.org/officeDocument/2006/relationships/pivotCacheDefinition" Target="pivotCache/pivotCacheDefinition15.xml"/><Relationship Id="rId42" Type="http://schemas.openxmlformats.org/officeDocument/2006/relationships/pivotCacheDefinition" Target="pivotCache/pivotCacheDefinition23.xml"/><Relationship Id="rId47" Type="http://schemas.openxmlformats.org/officeDocument/2006/relationships/pivotCacheDefinition" Target="pivotCache/pivotCacheDefinition28.xml"/><Relationship Id="rId50" Type="http://schemas.openxmlformats.org/officeDocument/2006/relationships/pivotCacheDefinition" Target="pivotCache/pivotCacheDefinition31.xml"/><Relationship Id="rId55" Type="http://schemas.openxmlformats.org/officeDocument/2006/relationships/pivotCacheDefinition" Target="pivotCache/pivotCacheDefinition3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10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pivotCacheDefinition" Target="pivotCache/pivotCacheDefinition13.xml"/><Relationship Id="rId37" Type="http://schemas.openxmlformats.org/officeDocument/2006/relationships/pivotCacheDefinition" Target="pivotCache/pivotCacheDefinition18.xml"/><Relationship Id="rId40" Type="http://schemas.openxmlformats.org/officeDocument/2006/relationships/pivotCacheDefinition" Target="pivotCache/pivotCacheDefinition21.xml"/><Relationship Id="rId45" Type="http://schemas.openxmlformats.org/officeDocument/2006/relationships/pivotCacheDefinition" Target="pivotCache/pivotCacheDefinition26.xml"/><Relationship Id="rId53" Type="http://schemas.openxmlformats.org/officeDocument/2006/relationships/pivotCacheDefinition" Target="pivotCache/pivotCacheDefinition34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openxmlformats.org/officeDocument/2006/relationships/pivotCacheDefinition" Target="pivotCache/pivotCacheDefinition11.xml"/><Relationship Id="rId35" Type="http://schemas.openxmlformats.org/officeDocument/2006/relationships/pivotCacheDefinition" Target="pivotCache/pivotCacheDefinition16.xml"/><Relationship Id="rId43" Type="http://schemas.openxmlformats.org/officeDocument/2006/relationships/pivotCacheDefinition" Target="pivotCache/pivotCacheDefinition24.xml"/><Relationship Id="rId48" Type="http://schemas.openxmlformats.org/officeDocument/2006/relationships/pivotCacheDefinition" Target="pivotCache/pivotCacheDefinition29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3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pivotCacheDefinition" Target="pivotCache/pivotCacheDefinition14.xml"/><Relationship Id="rId38" Type="http://schemas.openxmlformats.org/officeDocument/2006/relationships/pivotCacheDefinition" Target="pivotCache/pivotCacheDefinition19.xml"/><Relationship Id="rId46" Type="http://schemas.openxmlformats.org/officeDocument/2006/relationships/pivotCacheDefinition" Target="pivotCache/pivotCacheDefinition27.xml"/><Relationship Id="rId5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41" Type="http://schemas.openxmlformats.org/officeDocument/2006/relationships/pivotCacheDefinition" Target="pivotCache/pivotCacheDefinition22.xml"/><Relationship Id="rId54" Type="http://schemas.openxmlformats.org/officeDocument/2006/relationships/pivotCacheDefinition" Target="pivotCache/pivotCacheDefinition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pivotCacheDefinition" Target="pivotCache/pivotCacheDefinition9.xml"/><Relationship Id="rId36" Type="http://schemas.openxmlformats.org/officeDocument/2006/relationships/pivotCacheDefinition" Target="pivotCache/pivotCacheDefinition17.xml"/><Relationship Id="rId49" Type="http://schemas.openxmlformats.org/officeDocument/2006/relationships/pivotCacheDefinition" Target="pivotCache/pivotCacheDefinition30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44" Type="http://schemas.openxmlformats.org/officeDocument/2006/relationships/pivotCacheDefinition" Target="pivotCache/pivotCacheDefinition25.xml"/><Relationship Id="rId52" Type="http://schemas.openxmlformats.org/officeDocument/2006/relationships/pivotCacheDefinition" Target="pivotCache/pivotCacheDefinition33.xml"/><Relationship Id="rId6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171450</xdr:colOff>
      <xdr:row>25</xdr:row>
      <xdr:rowOff>85725</xdr:rowOff>
    </xdr:to>
    <xdr:pic>
      <xdr:nvPicPr>
        <xdr:cNvPr id="2" name="Picture 1" descr="image">
          <a:extLst>
            <a:ext uri="{FF2B5EF4-FFF2-40B4-BE49-F238E27FC236}">
              <a16:creationId xmlns:a16="http://schemas.microsoft.com/office/drawing/2014/main" id="{283A9E2B-38E2-6A33-063B-3DD5C5A0D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11144250" cy="465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370286</xdr:colOff>
      <xdr:row>40</xdr:row>
      <xdr:rowOff>103833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438C6-443A-EBDE-454A-783E215CE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14286" cy="75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95250</xdr:colOff>
      <xdr:row>12</xdr:row>
      <xdr:rowOff>142875</xdr:rowOff>
    </xdr:from>
    <xdr:to>
      <xdr:col>37</xdr:col>
      <xdr:colOff>390525</xdr:colOff>
      <xdr:row>37</xdr:row>
      <xdr:rowOff>38100</xdr:rowOff>
    </xdr:to>
    <xdr:pic>
      <xdr:nvPicPr>
        <xdr:cNvPr id="2" name="Picture 1" descr="image">
          <a:extLst>
            <a:ext uri="{FF2B5EF4-FFF2-40B4-BE49-F238E27FC236}">
              <a16:creationId xmlns:a16="http://schemas.microsoft.com/office/drawing/2014/main" id="{E537B14F-37CB-415D-A4C7-CB2800B58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466975"/>
          <a:ext cx="11144250" cy="465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ourceAdmin/Betty%20Rancourt/Reports/014%20Dedicated%20Reports/Board%20of%20Pesticides%20Control/BPC%20Projections%20as%20of%204-14-2022/BPC%20PROJECTIONS%20FY23%20FY%2024%20&amp;%20FY25/014-01A-0287-01%20BP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Summary"/>
      <sheetName val="MEPERLS Monthly cost"/>
      <sheetName val="Cube"/>
      <sheetName val="Historical Summary Cube"/>
      <sheetName val="General Expenses"/>
      <sheetName val="Temp Services"/>
      <sheetName val="ytd 2008-2023"/>
      <sheetName val="Payroll"/>
      <sheetName val="4003 Cube"/>
      <sheetName val="4302 Cube"/>
      <sheetName val="4343 Cube"/>
      <sheetName val="4373 Cube"/>
      <sheetName val="4403 Cube"/>
      <sheetName val="MOSQ Cube"/>
      <sheetName val="0287 Cube"/>
    </sheetNames>
    <sheetDataSet>
      <sheetData sheetId="0"/>
      <sheetData sheetId="1"/>
      <sheetData sheetId="2"/>
      <sheetData sheetId="3">
        <row r="73">
          <cell r="AA73" t="str">
            <v>Jrnl Posting Am</v>
          </cell>
        </row>
      </sheetData>
      <sheetData sheetId="4"/>
      <sheetData sheetId="5"/>
      <sheetData sheetId="6"/>
      <sheetData sheetId="7">
        <row r="60">
          <cell r="AT60">
            <v>1591675.97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5892824073" backgroundQuery="1" createdVersion="4" refreshedVersion="8" minRefreshableVersion="3" recordCount="0" supportSubquery="1" supportAdvancedDrill="1" xr:uid="{6D30FB34-C8B0-45CF-9F28-B32DB9882C32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2">
        <s v="[Revenue].[Rev Src].&amp;[2978]" c="2978"/>
        <s v="[Revenue].[Rev Src].&amp;[2981]" c="2981"/>
      </sharedItems>
    </cacheField>
    <cacheField name="[Revenue].[Rev Src Nm].[Rev Src Nm]" caption="Rev Src Nm" numFmtId="0" hierarchy="201" level="1">
      <sharedItems count="2">
        <s v="[Revenue].[Rev Src Nm].&amp;[DICAP TRANSFER]" c="DICAP TRANSFER"/>
        <s v="[Revenue].[Rev Src Nm].&amp;[LEGIS TRANSFER OF REVENUE]" c="LEGIS TRANSFER OF REVENUE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3">
        <s v="[Accounting Period].[Fisc Period].&amp;[7]" c="7"/>
        <s v="[Accounting Period].[Fisc Period].&amp;[10]" c="10"/>
        <s v="[Accounting Period].[Fisc Period].&amp;[11]" c="11"/>
      </sharedItems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477662039" backgroundQuery="1" createdVersion="4" refreshedVersion="8" minRefreshableVersion="3" recordCount="0" supportSubquery="1" supportAdvancedDrill="1" xr:uid="{00000000-000A-0000-FFFF-FFFFDC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29">
        <s v="[Object].[Object Group].&amp;[31]" c="31"/>
        <s v="[Object].[Object Group].&amp;[32]" c="32"/>
        <s v="[Object].[Object Group].&amp;[33]" c="33"/>
        <s v="[Object].[Object Group].&amp;[34]" c="34"/>
        <s v="[Object].[Object Group].&amp;[36]" c="36"/>
        <s v="[Object].[Object Group].&amp;[38]" c="38"/>
        <s v="[Object].[Object Group].&amp;[39]" c="39"/>
        <s v="[Object].[Object Group].&amp;[40]" c="40"/>
        <s v="[Object].[Object Group].&amp;[41]" c="41"/>
        <s v="[Object].[Object Group].&amp;[42]" c="42"/>
        <s v="[Object].[Object Group].&amp;[43]" c="43"/>
        <s v="[Object].[Object Group].&amp;[44]" c="44"/>
        <s v="[Object].[Object Group].&amp;[45]" c="45"/>
        <s v="[Object].[Object Group].&amp;[46]" c="46"/>
        <s v="[Object].[Object Group].&amp;[47]" c="47"/>
        <s v="[Object].[Object Group].&amp;[48]" c="48"/>
        <s v="[Object].[Object Group].&amp;[49]" c="49"/>
        <s v="[Object].[Object Group].&amp;[50]" c="50"/>
        <s v="[Object].[Object Group].&amp;[51]" c="51"/>
        <s v="[Object].[Object Group].&amp;[53]" c="53"/>
        <s v="[Object].[Object Group].&amp;[54]" c="54"/>
        <s v="[Object].[Object Group].&amp;[55]" c="55"/>
        <s v="[Object].[Object Group].&amp;[56]" c="56"/>
        <s v="[Object].[Object Group].&amp;[63]" c="63"/>
        <s v="[Object].[Object Group].&amp;[64]" c="64"/>
        <s v="[Object].[Object Group].&amp;[69]" c="69"/>
        <s v="[Object].[Object Group].&amp;[82]" c="82"/>
        <s v="[Object].[Object Group].&amp;[85]" c="85"/>
        <s v="[Object].[Object Group].&amp;[90]" c="90"/>
      </sharedItems>
    </cacheField>
    <cacheField name="[Object].[Obj Group Nm].[Obj Group Nm]" caption="Obj Group Nm" numFmtId="0" hierarchy="123" level="1">
      <sharedItems count="24">
        <s v="[Object].[Obj Group Nm].&amp;[ADMINISTRATIVE CHARGES AND FEE]" c="ADMINISTRATIVE CHARGES AND FEE"/>
        <s v="[Object].[Obj Group Nm].&amp;[CHARGES TO ASSETS AND LIAB.]" c="CHARGES TO ASSETS AND LIAB."/>
        <s v="[Object].[Obj Group Nm].&amp;[CLOTHING]" c="CLOTHING"/>
        <s v="[Object].[Obj Group Nm].&amp;[COMMODITIES - FOOD]" c="COMMODITIES - FOOD"/>
        <s v="[Object].[Obj Group Nm].&amp;[EMPLOYEE TRAINING]" c="EMPLOYEE TRAINING"/>
        <s v="[Object].[Obj Group Nm].&amp;[EQUIPMENT AND TECHNOLOGY]" c="EQUIPMENT AND TECHNOLOGY"/>
        <s v="[Object].[Obj Group Nm].&amp;[FRINGE BENEFITS]" c="FRINGE BENEFITS"/>
        <s v="[Object].[Obj Group Nm].&amp;[GENERAL OPERATIONS]" c="GENERAL OPERATIONS"/>
        <s v="[Object].[Obj Group Nm].&amp;[GRANTS TO CITIES AND TOWNS]" c="GRANTS TO CITIES AND TOWNS"/>
        <s v="[Object].[Obj Group Nm].&amp;[GRANTS TO PUB AND PRIV ORGNS]" c="GRANTS TO PUB AND PRIV ORGNS"/>
        <s v="[Object].[Obj Group Nm].&amp;[INSURANCE]" c="INSURANCE"/>
        <s v="[Object].[Obj Group Nm].&amp;[OFFICE &amp; OTHER SUPPLIES]" c="OFFICE &amp; OTHER SUPPLIES"/>
        <s v="[Object].[Obj Group Nm].&amp;[PENSIONS]" c="PENSIONS"/>
        <s v="[Object].[Obj Group Nm].&amp;[PROF. SERVICES, BY STATE]" c="PROF. SERVICES, BY STATE"/>
        <s v="[Object].[Obj Group Nm].&amp;[PROF. SERVICES, NOT BY STATE]" c="PROF. SERVICES, NOT BY STATE"/>
        <s v="[Object].[Obj Group Nm].&amp;[RENTS]" c="RENTS"/>
        <s v="[Object].[Obj Group Nm].&amp;[REPAIRS]" c="REPAIRS"/>
        <s v="[Object].[Obj Group Nm].&amp;[SALARIES AND WAGES]" c="SALARIES AND WAGES"/>
        <s v="[Object].[Obj Group Nm].&amp;[STATE VEHICLES OPERATION]" c="STATE VEHICLES OPERATION"/>
        <s v="[Object].[Obj Group Nm].&amp;[TECHNOLOGY]" c="TECHNOLOGY"/>
        <s v="[Object].[Obj Group Nm].&amp;[TRANSFERS]" c="TRANSFERS"/>
        <s v="[Object].[Obj Group Nm].&amp;[TRAVEL EXPENSES, IN STATE]" c="TRAVEL EXPENSES, IN STATE"/>
        <s v="[Object].[Obj Group Nm].&amp;[TRAVEL EXPENSES, OUT OF STATE]" c="TRAVEL EXPENSES, OUT OF STATE"/>
        <s v="[Object].[Obj Group Nm].&amp;[UTILITY SERVICES]" c="UTILITY SERVICES"/>
      </sharedItems>
    </cacheField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501967593" backgroundQuery="1" createdVersion="4" refreshedVersion="8" minRefreshableVersion="3" recordCount="0" supportSubquery="1" supportAdvancedDrill="1" xr:uid="{00000000-000A-0000-FFFF-FFFFDF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8">
        <s v="[Accounting Period].[Fisc Yr].&amp;[2008]" c="2008"/>
        <s v="[Accounting Period].[Fisc Yr].&amp;[2009]" c="2009"/>
        <s v="[Accounting Period].[Fisc Yr].&amp;[2012]" c="2012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</sharedItems>
    </cacheField>
    <cacheField name="[Revenue].[Rev Src].[Rev Src]" caption="Rev Src" numFmtId="0" hierarchy="196" level="1">
      <sharedItems count="5">
        <s v="[Revenue].[Rev Src].&amp;[2631]" c="2631"/>
        <s v="[Revenue].[Rev Src].&amp;[2637]" c="2637"/>
        <s v="[Revenue].[Rev Src].&amp;[2952]" c="2952"/>
        <s v="[Revenue].[Rev Src].&amp;[2953]" c="2953"/>
        <s v="[Revenue].[Rev Src].&amp;[2978]" c="2978"/>
      </sharedItems>
    </cacheField>
    <cacheField name="[Revenue].[Rev Src Nm].[Rev Src Nm]" caption="Rev Src Nm" numFmtId="0" hierarchy="201" level="1">
      <sharedItems count="5">
        <s v="[Revenue].[Rev Src Nm].&amp;[ADJ OF ALL OTHER BALANCE FWD]" c="ADJ OF ALL OTHER BALANCE FWD"/>
        <s v="[Revenue].[Rev Src Nm].&amp;[ADJ TO PRIOR YEAR BAL/UNALLOCT]" c="ADJ TO PRIOR YEAR BAL/UNALLOCT"/>
        <s v="[Revenue].[Rev Src Nm].&amp;[DICAP TRANSFER]" c="DICAP TRANSFER"/>
        <s v="[Revenue].[Rev Src Nm].&amp;[MISC SERVICES &amp; FEES]" c="MISC SERVICES &amp; FEES"/>
        <s v="[Revenue].[Rev Src Nm].&amp;[REGISTRATION FEES]" c="REGISTRATION FEE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525000001" backgroundQuery="1" createdVersion="4" refreshedVersion="8" minRefreshableVersion="3" recordCount="0" supportSubquery="1" supportAdvancedDrill="1" xr:uid="{00000000-000A-0000-FFFF-FFFFE2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7">
        <s v="[Accounting Period].[Fisc Yr].&amp;[2008]" c="2008"/>
        <s v="[Accounting Period].[Fisc Yr].&amp;[2009]" c="2009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9">
        <s v="[Object].[Object Group].&amp;[40]" c="40"/>
        <s v="[Object].[Object Group].&amp;[42]" c="42"/>
        <s v="[Object].[Object Group].&amp;[43]" c="43"/>
        <s v="[Object].[Object Group].&amp;[46]" c="46"/>
        <s v="[Object].[Object Group].&amp;[49]" c="49"/>
        <s v="[Object].[Object Group].&amp;[50]" c="50"/>
        <s v="[Object].[Object Group].&amp;[51]" c="51"/>
        <s v="[Object].[Object Group].&amp;[56]" c="56"/>
        <s v="[Object].[Object Group].&amp;[85]" c="85"/>
      </sharedItems>
    </cacheField>
    <cacheField name="[Object].[Obj Group Nm].[Obj Group Nm]" caption="Obj Group Nm" numFmtId="0" hierarchy="123" level="1">
      <sharedItems count="9">
        <s v="[Object].[Obj Group Nm].&amp;[COMMODITIES - FOOD]" c="COMMODITIES - FOOD"/>
        <s v="[Object].[Obj Group Nm].&amp;[EMPLOYEE TRAINING]" c="EMPLOYEE TRAINING"/>
        <s v="[Object].[Obj Group Nm].&amp;[GENERAL OPERATIONS]" c="GENERAL OPERATIONS"/>
        <s v="[Object].[Obj Group Nm].&amp;[OFFICE &amp; OTHER SUPPLIES]" c="OFFICE &amp; OTHER SUPPLIES"/>
        <s v="[Object].[Obj Group Nm].&amp;[PROF. SERVICES, NOT BY STATE]" c="PROF. SERVICES, NOT BY STATE"/>
        <s v="[Object].[Obj Group Nm].&amp;[RENTS]" c="RENTS"/>
        <s v="[Object].[Obj Group Nm].&amp;[TRANSFERS]" c="TRANSFERS"/>
        <s v="[Object].[Obj Group Nm].&amp;[TRAVEL EXPENSES, IN STATE]" c="TRAVEL EXPENSES, IN STATE"/>
        <s v="[Object].[Obj Group Nm].&amp;[TRAVEL EXPENSES, OUT OF STATE]" c="TRAVEL EXPENSES, OUT OF STATE"/>
      </sharedItems>
    </cacheField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550694441" backgroundQuery="1" createdVersion="4" refreshedVersion="8" minRefreshableVersion="3" recordCount="0" supportSubquery="1" supportAdvancedDrill="1" xr:uid="{00000000-000A-0000-FFFF-FFFFE5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Revenue].[Rev Src].[Rev Src]" caption="Rev Src" numFmtId="0" hierarchy="196" level="1">
      <sharedItems count="8">
        <s v="[Revenue].[Rev Src].&amp;[1407]" c="1407"/>
        <s v="[Revenue].[Rev Src].&amp;[1959]" c="1959"/>
        <s v="[Revenue].[Rev Src].&amp;[2631]" c="2631"/>
        <s v="[Revenue].[Rev Src].&amp;[2681]" c="2681"/>
        <s v="[Revenue].[Rev Src].&amp;[2952]" c="2952"/>
        <s v="[Revenue].[Rev Src].&amp;[2953]" c="2953"/>
        <s v="[Revenue].[Rev Src].&amp;[2968]" c="2968"/>
        <s v="[Revenue].[Rev Src].&amp;[2978]" c="2978"/>
      </sharedItems>
    </cacheField>
    <cacheField name="[Revenue].[Rev Src Nm].[Rev Src Nm]" caption="Rev Src Nm" numFmtId="0" hierarchy="201" level="1">
      <sharedItems count="8">
        <s v="[Revenue].[Rev Src Nm].&amp;[ADJ OF ALL OTHER BALANCE FWD]" c="ADJ OF ALL OTHER BALANCE FWD"/>
        <s v="[Revenue].[Rev Src Nm].&amp;[ADJ TO PRIOR YEAR BAL/UNALLOCT]" c="ADJ TO PRIOR YEAR BAL/UNALLOCT"/>
        <s v="[Revenue].[Rev Src Nm].&amp;[DICAP TRANSFER]" c="DICAP TRANSFER"/>
        <s v="[Revenue].[Rev Src Nm].&amp;[OVERPAYMENTS TO BE REFUNDED]" c="OVERPAYMENTS TO BE REFUNDED"/>
        <s v="[Revenue].[Rev Src Nm].&amp;[REG INSECT &amp; FUNGICIDES]" c="REG INSECT &amp; FUNGICIDES"/>
        <s v="[Revenue].[Rev Src Nm].&amp;[REG TRANSFER UNALLOCATED]" c="REG TRANSFER UNALLOCATED"/>
        <s v="[Revenue].[Rev Src Nm].&amp;[REGISTRATION FEE]" c="REGISTRATION FEE"/>
        <s v="[Revenue].[Rev Src Nm].&amp;[REGISTRATION FEES]" c="REGISTRATION FEE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574189818" backgroundQuery="1" createdVersion="4" refreshedVersion="8" minRefreshableVersion="3" recordCount="0" supportSubquery="1" supportAdvancedDrill="1" xr:uid="{00000000-000A-0000-FFFF-FFFFE8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19">
        <s v="[Object].[Object Group].&amp;[32]" c="32"/>
        <s v="[Object].[Object Group].&amp;[36]" c="36"/>
        <s v="[Object].[Object Group].&amp;[38]" c="38"/>
        <s v="[Object].[Object Group].&amp;[39]" c="39"/>
        <s v="[Object].[Object Group].&amp;[40]" c="40"/>
        <s v="[Object].[Object Group].&amp;[42]" c="42"/>
        <s v="[Object].[Object Group].&amp;[43]" c="43"/>
        <s v="[Object].[Object Group].&amp;[44]" c="44"/>
        <s v="[Object].[Object Group].&amp;[45]" c="45"/>
        <s v="[Object].[Object Group].&amp;[46]" c="46"/>
        <s v="[Object].[Object Group].&amp;[47]" c="47"/>
        <s v="[Object].[Object Group].&amp;[48]" c="48"/>
        <s v="[Object].[Object Group].&amp;[49]" c="49"/>
        <s v="[Object].[Object Group].&amp;[50]" c="50"/>
        <s v="[Object].[Object Group].&amp;[51]" c="51"/>
        <s v="[Object].[Object Group].&amp;[53]" c="53"/>
        <s v="[Object].[Object Group].&amp;[55]" c="55"/>
        <s v="[Object].[Object Group].&amp;[56]" c="56"/>
        <s v="[Object].[Object Group].&amp;[85]" c="85"/>
      </sharedItems>
    </cacheField>
    <cacheField name="[Object].[Obj Group Nm].[Obj Group Nm]" caption="Obj Group Nm" numFmtId="0" hierarchy="123" level="1">
      <sharedItems count="17">
        <s v="[Object].[Obj Group Nm].&amp;[COMMODITIES - FOOD]" c="COMMODITIES - FOOD"/>
        <s v="[Object].[Obj Group Nm].&amp;[EMPLOYEE TRAINING]" c="EMPLOYEE TRAINING"/>
        <s v="[Object].[Obj Group Nm].&amp;[EQUIPMENT AND TECHNOLOGY]" c="EQUIPMENT AND TECHNOLOGY"/>
        <s v="[Object].[Obj Group Nm].&amp;[FRINGE BENEFITS]" c="FRINGE BENEFITS"/>
        <s v="[Object].[Obj Group Nm].&amp;[GENERAL OPERATIONS]" c="GENERAL OPERATIONS"/>
        <s v="[Object].[Obj Group Nm].&amp;[INSURANCE]" c="INSURANCE"/>
        <s v="[Object].[Obj Group Nm].&amp;[OFFICE &amp; OTHER SUPPLIES]" c="OFFICE &amp; OTHER SUPPLIES"/>
        <s v="[Object].[Obj Group Nm].&amp;[PROF. SERVICES, NOT BY STATE]" c="PROF. SERVICES, NOT BY STATE"/>
        <s v="[Object].[Obj Group Nm].&amp;[RENTS]" c="RENTS"/>
        <s v="[Object].[Obj Group Nm].&amp;[REPAIRS]" c="REPAIRS"/>
        <s v="[Object].[Obj Group Nm].&amp;[SALARIES AND WAGES]" c="SALARIES AND WAGES"/>
        <s v="[Object].[Obj Group Nm].&amp;[STATE VEHICLES OPERATION]" c="STATE VEHICLES OPERATION"/>
        <s v="[Object].[Obj Group Nm].&amp;[TECHNOLOGY]" c="TECHNOLOGY"/>
        <s v="[Object].[Obj Group Nm].&amp;[TRANSFERS]" c="TRANSFERS"/>
        <s v="[Object].[Obj Group Nm].&amp;[TRAVEL EXPENSES, IN STATE]" c="TRAVEL EXPENSES, IN STATE"/>
        <s v="[Object].[Obj Group Nm].&amp;[TRAVEL EXPENSES, OUT OF STATE]" c="TRAVEL EXPENSES, OUT OF STATE"/>
        <s v="[Object].[Obj Group Nm].&amp;[UTILITY SERVICES]" c="UTILITY SERVICES"/>
      </sharedItems>
    </cacheField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595601855" backgroundQuery="1" createdVersion="4" refreshedVersion="8" minRefreshableVersion="3" recordCount="0" supportSubquery="1" supportAdvancedDrill="1" xr:uid="{00000000-000A-0000-FFFF-FFFFEB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12">
        <s v="[Object].[Object Group].&amp;[31]" c="31"/>
        <s v="[Object].[Object Group].&amp;[32]" c="32"/>
        <s v="[Object].[Object Group].&amp;[36]" c="36"/>
        <s v="[Object].[Object Group].&amp;[38]" c="38"/>
        <s v="[Object].[Object Group].&amp;[39]" c="39"/>
        <s v="[Object].[Object Group].&amp;[45]" c="45"/>
        <s v="[Object].[Object Group].&amp;[46]" c="46"/>
        <s v="[Object].[Object Group].&amp;[48]" c="48"/>
        <s v="[Object].[Object Group].&amp;[53]" c="53"/>
        <s v="[Object].[Object Group].&amp;[56]" c="56"/>
        <s v="[Object].[Object Group].&amp;[82]" c="82"/>
        <s v="[Object].[Object Group].&amp;[85]" c="85"/>
      </sharedItems>
    </cacheField>
    <cacheField name="[Object].[Obj Group Nm].[Obj Group Nm]" caption="Obj Group Nm" numFmtId="0" hierarchy="123" level="1">
      <sharedItems count="9">
        <s v="[Object].[Obj Group Nm].&amp;[ADMINISTRATIVE CHARGES AND FEE]" c="ADMINISTRATIVE CHARGES AND FEE"/>
        <s v="[Object].[Obj Group Nm].&amp;[FRINGE BENEFITS]" c="FRINGE BENEFITS"/>
        <s v="[Object].[Obj Group Nm].&amp;[INSURANCE]" c="INSURANCE"/>
        <s v="[Object].[Obj Group Nm].&amp;[OFFICE &amp; OTHER SUPPLIES]" c="OFFICE &amp; OTHER SUPPLIES"/>
        <s v="[Object].[Obj Group Nm].&amp;[RENTS]" c="RENTS"/>
        <s v="[Object].[Obj Group Nm].&amp;[SALARIES AND WAGES]" c="SALARIES AND WAGES"/>
        <s v="[Object].[Obj Group Nm].&amp;[TECHNOLOGY]" c="TECHNOLOGY"/>
        <s v="[Object].[Obj Group Nm].&amp;[TRANSFERS]" c="TRANSFERS"/>
        <s v="[Object].[Obj Group Nm].&amp;[UTILITY SERVICES]" c="UTILITY SERVICES"/>
      </sharedItems>
    </cacheField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617824071" backgroundQuery="1" createdVersion="4" refreshedVersion="8" minRefreshableVersion="3" recordCount="0" supportSubquery="1" supportAdvancedDrill="1" xr:uid="{00000000-000A-0000-FFFF-FFFFEE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Revenue].[Rev Src].[Rev Src]" caption="Rev Src" numFmtId="0" hierarchy="196" level="1">
      <sharedItems count="4">
        <s v="[Revenue].[Rev Src].&amp;[1407]" c="1407"/>
        <s v="[Revenue].[Rev Src].&amp;[2690]" c="2690"/>
        <s v="[Revenue].[Rev Src].&amp;[2952]" c="2952"/>
        <s v="[Revenue].[Rev Src].&amp;[2978]" c="2978"/>
      </sharedItems>
    </cacheField>
    <cacheField name="[Revenue].[Rev Src Nm].[Rev Src Nm]" caption="Rev Src Nm" numFmtId="0" hierarchy="201" level="1">
      <sharedItems count="4">
        <s v="[Revenue].[Rev Src Nm].&amp;[ADJ TO PRIOR YEAR BAL/UNALLOCT]" c="ADJ TO PRIOR YEAR BAL/UNALLOCT"/>
        <s v="[Revenue].[Rev Src Nm].&amp;[DICAP TRANSFER]" c="DICAP TRANSFER"/>
        <s v="[Revenue].[Rev Src Nm].&amp;[RECOVERED COST]" c="RECOVERED COST"/>
        <s v="[Revenue].[Rev Src Nm].&amp;[REG INSECT &amp; FUNGICIDES]" c="REG INSECT &amp; FUNGICIDE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642824072" backgroundQuery="1" createdVersion="4" refreshedVersion="8" minRefreshableVersion="3" recordCount="0" supportSubquery="1" supportAdvancedDrill="1" xr:uid="{00000000-000A-0000-FFFF-FFFFF1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2">
        <s v="[Accounting Period].[Fisc Yr].&amp;[2018]" c="2018"/>
        <s v="[Accounting Period].[Fisc Yr].&amp;[2019]" c="2019"/>
      </sharedItems>
    </cacheField>
    <cacheField name="[Revenue].[Rev Src].[Rev Src]" caption="Rev Src" numFmtId="0" hierarchy="196" level="1">
      <sharedItems count="2">
        <s v="[Revenue].[Rev Src].&amp;[2206]" c="2206"/>
        <s v="[Revenue].[Rev Src].&amp;[2978]" c="2978"/>
      </sharedItems>
    </cacheField>
    <cacheField name="[Revenue].[Rev Src Nm].[Rev Src Nm]" caption="Rev Src Nm" numFmtId="0" hierarchy="201" level="1">
      <sharedItems count="2">
        <s v="[Revenue].[Rev Src Nm].&amp;[DICAP TRANSFER]" c="DICAP TRANSFER"/>
        <s v="[Revenue].[Rev Src Nm].&amp;[FED GRANTS FOR PUB HEALTH]" c="FED GRANTS FOR PUB HEALTH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666435187" backgroundQuery="1" createdVersion="4" refreshedVersion="8" minRefreshableVersion="3" recordCount="0" supportSubquery="1" supportAdvancedDrill="1" xr:uid="{00000000-000A-0000-FFFF-FFFFF4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2">
        <s v="[Accounting Period].[Fisc Yr].&amp;[2018]" c="2018"/>
        <s v="[Accounting Period].[Fisc Yr].&amp;[2019]" c="2019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3">
        <s v="[Object].[Object Group].&amp;[40]" c="40"/>
        <s v="[Object].[Object Group].&amp;[49]" c="49"/>
        <s v="[Object].[Object Group].&amp;[85]" c="85"/>
      </sharedItems>
    </cacheField>
    <cacheField name="[Object].[Obj Group Nm].[Obj Group Nm]" caption="Obj Group Nm" numFmtId="0" hierarchy="123" level="1">
      <sharedItems count="3">
        <s v="[Object].[Obj Group Nm].&amp;[GENERAL OPERATIONS]" c="GENERAL OPERATIONS"/>
        <s v="[Object].[Obj Group Nm].&amp;[PROF. SERVICES, NOT BY STATE]" c="PROF. SERVICES, NOT BY STATE"/>
        <s v="[Object].[Obj Group Nm].&amp;[TRANSFERS]" c="TRANSFERS"/>
      </sharedItems>
    </cacheField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688773148" backgroundQuery="1" createdVersion="4" refreshedVersion="8" minRefreshableVersion="3" recordCount="0" supportSubquery="1" supportAdvancedDrill="1" xr:uid="{C20B8107-9F70-4BAC-AB8B-FF0B15E43F0E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6">
        <s v="[Accounting Period].[Fisc Yr].&amp;[2009]" c="2009"/>
        <s v="[Accounting Period].[Fisc Yr].&amp;[2012]" c="2012"/>
        <s v="[Accounting Period].[Fisc Yr].&amp;[2015]" c="2015"/>
        <s v="[Accounting Period].[Fisc Yr].&amp;[2017]" c="2017"/>
        <s v="[Accounting Period].[Fisc Yr].&amp;[2022]" c="2022"/>
        <s v="[Accounting Period].[Fisc Yr].&amp;[2023]" c="2023"/>
      </sharedItems>
    </cacheField>
    <cacheField name="[Revenue].[Rev Src].[Rev Src]" caption="Rev Src" numFmtId="0" hierarchy="196" level="1">
      <sharedItems count="3">
        <s v="[Revenue].[Rev Src].&amp;[1448]" c="1448"/>
        <s v="[Revenue].[Rev Src].&amp;[2952]" c="2952"/>
        <s v="[Revenue].[Rev Src].&amp;[2978]" c="2978"/>
      </sharedItems>
    </cacheField>
    <cacheField name="[Revenue].[Rev Src Nm].[Rev Src Nm]" caption="Rev Src Nm" numFmtId="0" hierarchy="201" level="1">
      <sharedItems count="3">
        <s v="[Revenue].[Rev Src Nm].&amp;[ADJ TO PRIOR YEAR BAL/UNALLOCT]" c="ADJ TO PRIOR YEAR BAL/UNALLOCT"/>
        <s v="[Revenue].[Rev Src Nm].&amp;[DICAP TRANSFER]" c="DICAP TRANSFER"/>
        <s v="[Revenue].[Rev Src Nm].&amp;[SPECIAL LICENSES &amp; LEASES]" c="SPECIAL LICENSES &amp; LEASE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5944907407" backgroundQuery="1" createdVersion="4" refreshedVersion="8" minRefreshableVersion="3" recordCount="0" supportSubquery="1" supportAdvancedDrill="1" xr:uid="{21E12A5E-0196-4074-9779-D4C57F59F2B8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3">
        <s v="[Object].[Object Group].&amp;[53]" c="53"/>
        <s v="[Object].[Object Group].&amp;[82]" c="82"/>
        <s v="[Object].[Object Group].&amp;[85]" c="85"/>
      </sharedItems>
    </cacheField>
    <cacheField name="[Object].[Obj Group Nm].[Obj Group Nm]" caption="Obj Group Nm" numFmtId="0" hierarchy="123" level="1">
      <sharedItems count="3">
        <s v="[Object].[Obj Group Nm].&amp;[ADMINISTRATIVE CHARGES AND FEE]" c="ADMINISTRATIVE CHARGES AND FEE"/>
        <s v="[Object].[Obj Group Nm].&amp;[TECHNOLOGY]" c="TECHNOLOGY"/>
        <s v="[Object].[Obj Group Nm].&amp;[TRANSFERS]" c="TRANSFERS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3">
        <s v="[Accounting Period].[Fisc Period].&amp;[6]" c="6"/>
        <s v="[Accounting Period].[Fisc Period].&amp;[9]" c="9"/>
        <s v="[Accounting Period].[Fisc Period].&amp;[15]" c="15"/>
      </sharedItems>
    </cacheField>
    <cacheField name="[Accounting Period].[Fisc Yr].[Fisc Yr]" caption="Fisc Yr" numFmtId="0" hierarchy="7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712268518" backgroundQuery="1" createdVersion="4" refreshedVersion="8" minRefreshableVersion="3" recordCount="0" supportSubquery="1" supportAdvancedDrill="1" xr:uid="{5B58EDE1-2323-42B4-B204-F5FFC4F0EBA9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">
        <s v="[Accounting Period].[Fisc Yr].&amp;[2022]" c="2022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4">
        <s v="[Object].[Object Group].&amp;[32]" c="32"/>
        <s v="[Object].[Object Group].&amp;[36]" c="36"/>
        <s v="[Object].[Object Group].&amp;[39]" c="39"/>
        <s v="[Object].[Object Group].&amp;[85]" c="85"/>
      </sharedItems>
    </cacheField>
    <cacheField name="[Object].[Obj Group Nm].[Obj Group Nm]" caption="Obj Group Nm" numFmtId="0" hierarchy="123" level="1">
      <sharedItems count="3">
        <s v="[Object].[Obj Group Nm].&amp;[FRINGE BENEFITS]" c="FRINGE BENEFITS"/>
        <s v="[Object].[Obj Group Nm].&amp;[SALARIES AND WAGES]" c="SALARIES AND WAGES"/>
        <s v="[Object].[Obj Group Nm].&amp;[TRANSFERS]" c="TRANSFERS"/>
      </sharedItems>
    </cacheField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73553241" backgroundQuery="1" createdVersion="4" refreshedVersion="8" minRefreshableVersion="3" recordCount="0" supportSubquery="1" supportAdvancedDrill="1" xr:uid="{00000000-000A-0000-FFFF-FFFFFD04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7">
        <s v="[Revenue].[Rev Src].&amp;[1407]" c="1407"/>
        <s v="[Revenue].[Rev Src].&amp;[1448]" c="1448"/>
        <s v="[Revenue].[Rev Src].&amp;[2690]" c="2690"/>
        <s v="[Revenue].[Rev Src].&amp;[2953]" c="2953"/>
        <s v="[Revenue].[Rev Src].&amp;[2968]" c="2968"/>
        <s v="[Revenue].[Rev Src].&amp;[2978]" c="2978"/>
        <s v="[Revenue].[Rev Src].&amp;[2981]" c="2981"/>
      </sharedItems>
    </cacheField>
    <cacheField name="[Revenue].[Rev Src Nm].[Rev Src Nm]" caption="Rev Src Nm" numFmtId="0" hierarchy="201" level="1">
      <sharedItems count="7">
        <s v="[Revenue].[Rev Src Nm].&amp;[ADJ OF ALL OTHER BALANCE FWD]" c="ADJ OF ALL OTHER BALANCE FWD"/>
        <s v="[Revenue].[Rev Src Nm].&amp;[DICAP TRANSFER]" c="DICAP TRANSFER"/>
        <s v="[Revenue].[Rev Src Nm].&amp;[LEGIS TRANSFER OF REVENUE]" c="LEGIS TRANSFER OF REVENUE"/>
        <s v="[Revenue].[Rev Src Nm].&amp;[RECOVERED COST]" c="RECOVERED COST"/>
        <s v="[Revenue].[Rev Src Nm].&amp;[REG INSECT &amp; FUNGICIDES]" c="REG INSECT &amp; FUNGICIDES"/>
        <s v="[Revenue].[Rev Src Nm].&amp;[REG TRANSFER UNALLOCATED]" c="REG TRANSFER UNALLOCATED"/>
        <s v="[Revenue].[Rev Src Nm].&amp;[SPECIAL LICENSES &amp; LEASES]" c="SPECIAL LICENSES &amp; LEASE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758564818" backgroundQuery="1" createdVersion="4" refreshedVersion="8" minRefreshableVersion="3" recordCount="0" supportSubquery="1" supportAdvancedDrill="1" xr:uid="{00000000-000A-0000-FFFF-FFFF00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20">
        <s v="[Object].[Object Group].&amp;[32]" c="32"/>
        <s v="[Object].[Object Group].&amp;[33]" c="33"/>
        <s v="[Object].[Object Group].&amp;[36]" c="36"/>
        <s v="[Object].[Object Group].&amp;[38]" c="38"/>
        <s v="[Object].[Object Group].&amp;[39]" c="39"/>
        <s v="[Object].[Object Group].&amp;[40]" c="40"/>
        <s v="[Object].[Object Group].&amp;[42]" c="42"/>
        <s v="[Object].[Object Group].&amp;[43]" c="43"/>
        <s v="[Object].[Object Group].&amp;[46]" c="46"/>
        <s v="[Object].[Object Group].&amp;[48]" c="48"/>
        <s v="[Object].[Object Group].&amp;[49]" c="49"/>
        <s v="[Object].[Object Group].&amp;[50]" c="50"/>
        <s v="[Object].[Object Group].&amp;[51]" c="51"/>
        <s v="[Object].[Object Group].&amp;[53]" c="53"/>
        <s v="[Object].[Object Group].&amp;[55]" c="55"/>
        <s v="[Object].[Object Group].&amp;[56]" c="56"/>
        <s v="[Object].[Object Group].&amp;[64]" c="64"/>
        <s v="[Object].[Object Group].&amp;[82]" c="82"/>
        <s v="[Object].[Object Group].&amp;[85]" c="85"/>
        <s v="[Object].[Object Group].&amp;[90]" c="90"/>
      </sharedItems>
    </cacheField>
    <cacheField name="[Object].[Obj Group Nm].[Obj Group Nm]" caption="Obj Group Nm" numFmtId="0" hierarchy="123" level="1">
      <sharedItems count="17">
        <s v="[Object].[Obj Group Nm].&amp;[ADMINISTRATIVE CHARGES AND FEE]" c="ADMINISTRATIVE CHARGES AND FEE"/>
        <s v="[Object].[Obj Group Nm].&amp;[CHARGES TO ASSETS AND LIAB.]" c="CHARGES TO ASSETS AND LIAB."/>
        <s v="[Object].[Obj Group Nm].&amp;[COMMODITIES - FOOD]" c="COMMODITIES - FOOD"/>
        <s v="[Object].[Obj Group Nm].&amp;[EMPLOYEE TRAINING]" c="EMPLOYEE TRAINING"/>
        <s v="[Object].[Obj Group Nm].&amp;[EQUIPMENT AND TECHNOLOGY]" c="EQUIPMENT AND TECHNOLOGY"/>
        <s v="[Object].[Obj Group Nm].&amp;[FRINGE BENEFITS]" c="FRINGE BENEFITS"/>
        <s v="[Object].[Obj Group Nm].&amp;[GENERAL OPERATIONS]" c="GENERAL OPERATIONS"/>
        <s v="[Object].[Obj Group Nm].&amp;[GRANTS TO PUB AND PRIV ORGNS]" c="GRANTS TO PUB AND PRIV ORGNS"/>
        <s v="[Object].[Obj Group Nm].&amp;[INSURANCE]" c="INSURANCE"/>
        <s v="[Object].[Obj Group Nm].&amp;[OFFICE &amp; OTHER SUPPLIES]" c="OFFICE &amp; OTHER SUPPLIES"/>
        <s v="[Object].[Obj Group Nm].&amp;[PROF. SERVICES, NOT BY STATE]" c="PROF. SERVICES, NOT BY STATE"/>
        <s v="[Object].[Obj Group Nm].&amp;[RENTS]" c="RENTS"/>
        <s v="[Object].[Obj Group Nm].&amp;[SALARIES AND WAGES]" c="SALARIES AND WAGES"/>
        <s v="[Object].[Obj Group Nm].&amp;[TECHNOLOGY]" c="TECHNOLOGY"/>
        <s v="[Object].[Obj Group Nm].&amp;[TRANSFERS]" c="TRANSFERS"/>
        <s v="[Object].[Obj Group Nm].&amp;[TRAVEL EXPENSES, IN STATE]" c="TRAVEL EXPENSES, IN STATE"/>
        <s v="[Object].[Obj Group Nm].&amp;[TRAVEL EXPENSES, OUT OF STATE]" c="TRAVEL EXPENSES, OUT OF STATE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  <cacheField name="[Accounting Period].[Fisc Yr].[Fisc Yr]" caption="Fisc Yr" numFmtId="0" hierarchy="7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781712964" backgroundQuery="1" createdVersion="4" refreshedVersion="8" minRefreshableVersion="3" recordCount="0" supportSubquery="1" supportAdvancedDrill="1" xr:uid="{00000000-000A-0000-FFFF-FFFF03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5">
        <s v="[Revenue].[Rev Src].&amp;[2637]" c="2637"/>
        <s v="[Revenue].[Rev Src].&amp;[2952]" c="2952"/>
        <s v="[Revenue].[Rev Src].&amp;[2953]" c="2953"/>
        <s v="[Revenue].[Rev Src].&amp;[2978]" c="2978"/>
        <s v="[Revenue].[Rev Src].[All].UNKNOWNMEMBER" c="Unknown"/>
      </sharedItems>
    </cacheField>
    <cacheField name="[Revenue].[Rev Src Nm].[Rev Src Nm]" caption="Rev Src Nm" numFmtId="0" hierarchy="201" level="1">
      <sharedItems count="5">
        <s v="[Revenue].[Rev Src Nm].&amp;[ADJ OF ALL OTHER BALANCE FWD]" c="ADJ OF ALL OTHER BALANCE FWD"/>
        <s v="[Revenue].[Rev Src Nm].&amp;[ADJ TO PRIOR YEAR BAL/UNALLOCT]" c="ADJ TO PRIOR YEAR BAL/UNALLOCT"/>
        <s v="[Revenue].[Rev Src Nm].&amp;[DICAP TRANSFER]" c="DICAP TRANSFER"/>
        <s v="[Revenue].[Rev Src Nm].&amp;[MISC SERVICES &amp; FEES]" c="MISC SERVICES &amp; FEES"/>
        <s v="[Revenue].[Rev Src Nm].[All].UNKNOWNMEMBER" c="Unknown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">
        <s v="[Accounting Period].[Fisc Period].&amp;[0]" c="0"/>
      </sharedItems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804976849" backgroundQuery="1" createdVersion="4" refreshedVersion="8" minRefreshableVersion="3" recordCount="0" supportSubquery="1" supportAdvancedDrill="1" xr:uid="{00000000-000A-0000-FFFF-FFFF06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10">
        <s v="[Object].[Object Group].&amp;[40]" c="40"/>
        <s v="[Object].[Object Group].&amp;[42]" c="42"/>
        <s v="[Object].[Object Group].&amp;[43]" c="43"/>
        <s v="[Object].[Object Group].&amp;[46]" c="46"/>
        <s v="[Object].[Object Group].&amp;[49]" c="49"/>
        <s v="[Object].[Object Group].&amp;[50]" c="50"/>
        <s v="[Object].[Object Group].&amp;[51]" c="51"/>
        <s v="[Object].[Object Group].&amp;[56]" c="56"/>
        <s v="[Object].[Object Group].&amp;[85]" c="85"/>
        <s v="[Object].[Object Group].[All].UNKNOWNMEMBER" c="Unknown"/>
      </sharedItems>
    </cacheField>
    <cacheField name="[Object].[Obj Group Nm].[Obj Group Nm]" caption="Obj Group Nm" numFmtId="0" hierarchy="123" level="1">
      <sharedItems count="10">
        <s v="[Object].[Obj Group Nm].&amp;[COMMODITIES - FOOD]" c="COMMODITIES - FOOD"/>
        <s v="[Object].[Obj Group Nm].&amp;[EMPLOYEE TRAINING]" c="EMPLOYEE TRAINING"/>
        <s v="[Object].[Obj Group Nm].&amp;[GENERAL OPERATIONS]" c="GENERAL OPERATIONS"/>
        <s v="[Object].[Obj Group Nm].&amp;[OFFICE &amp; OTHER SUPPLIES]" c="OFFICE &amp; OTHER SUPPLIES"/>
        <s v="[Object].[Obj Group Nm].&amp;[PROF. SERVICES, NOT BY STATE]" c="PROF. SERVICES, NOT BY STATE"/>
        <s v="[Object].[Obj Group Nm].&amp;[RENTS]" c="RENTS"/>
        <s v="[Object].[Obj Group Nm].&amp;[TRANSFERS]" c="TRANSFERS"/>
        <s v="[Object].[Obj Group Nm].&amp;[TRAVEL EXPENSES, IN STATE]" c="TRAVEL EXPENSES, IN STATE"/>
        <s v="[Object].[Obj Group Nm].&amp;[TRAVEL EXPENSES, OUT OF STATE]" c="TRAVEL EXPENSES, OUT OF STATE"/>
        <s v="[Object].[Obj Group Nm].[All].UNKNOWNMEMBER" c="Unknown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">
        <s v="[Accounting Period].[Fisc Period].&amp;[0]" c="0"/>
      </sharedItems>
    </cacheField>
    <cacheField name="[Accounting Period].[Fisc Yr].[Fisc Yr]" caption="Fisc Yr" numFmtId="0" hierarchy="7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830555558" backgroundQuery="1" createdVersion="4" refreshedVersion="8" minRefreshableVersion="3" recordCount="0" supportSubquery="1" supportAdvancedDrill="1" xr:uid="{00000000-000A-0000-FFFF-FFFF09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1">
        <s v="[Revenue].[Rev Src].&amp;[2978]" c="2978"/>
      </sharedItems>
    </cacheField>
    <cacheField name="[Revenue].[Rev Src Nm].[Rev Src Nm]" caption="Rev Src Nm" numFmtId="0" hierarchy="201" level="1">
      <sharedItems count="1">
        <s v="[Revenue].[Rev Src Nm].&amp;[DICAP TRANSFER]" c="DICAP TRANSFER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854282405" backgroundQuery="1" createdVersion="4" refreshedVersion="8" minRefreshableVersion="3" recordCount="0" supportSubquery="1" supportAdvancedDrill="1" xr:uid="{00000000-000A-0000-FFFF-FFFF0C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6">
        <s v="[Object].[Object Group].&amp;[32]" c="32"/>
        <s v="[Object].[Object Group].&amp;[36]" c="36"/>
        <s v="[Object].[Object Group].&amp;[38]" c="38"/>
        <s v="[Object].[Object Group].&amp;[39]" c="39"/>
        <s v="[Object].[Object Group].&amp;[48]" c="48"/>
        <s v="[Object].[Object Group].&amp;[85]" c="85"/>
      </sharedItems>
    </cacheField>
    <cacheField name="[Object].[Obj Group Nm].[Obj Group Nm]" caption="Obj Group Nm" numFmtId="0" hierarchy="123" level="1">
      <sharedItems count="4">
        <s v="[Object].[Obj Group Nm].&amp;[FRINGE BENEFITS]" c="FRINGE BENEFITS"/>
        <s v="[Object].[Obj Group Nm].&amp;[INSURANCE]" c="INSURANCE"/>
        <s v="[Object].[Obj Group Nm].&amp;[SALARIES AND WAGES]" c="SALARIES AND WAGES"/>
        <s v="[Object].[Obj Group Nm].&amp;[TRANSFERS]" c="TRANSFERS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  <cacheField name="[Accounting Period].[Fisc Yr].[Fisc Yr]" caption="Fisc Yr" numFmtId="0" hierarchy="7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876967589" backgroundQuery="1" createdVersion="4" refreshedVersion="8" minRefreshableVersion="3" recordCount="0" supportSubquery="1" supportAdvancedDrill="1" xr:uid="{00000000-000A-0000-FFFF-FFFF0F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2">
        <s v="[Revenue].[Rev Src].&amp;[1407]" c="1407"/>
        <s v="[Revenue].[Rev Src].&amp;[2978]" c="2978"/>
      </sharedItems>
    </cacheField>
    <cacheField name="[Revenue].[Rev Src Nm].[Rev Src Nm]" caption="Rev Src Nm" numFmtId="0" hierarchy="201" level="1">
      <sharedItems count="2">
        <s v="[Revenue].[Rev Src Nm].&amp;[DICAP TRANSFER]" c="DICAP TRANSFER"/>
        <s v="[Revenue].[Rev Src Nm].&amp;[REG INSECT &amp; FUNGICIDES]" c="REG INSECT &amp; FUNGICIDE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900462966" backgroundQuery="1" createdVersion="4" refreshedVersion="8" minRefreshableVersion="3" recordCount="0" supportSubquery="1" supportAdvancedDrill="1" xr:uid="{00000000-000A-0000-FFFF-FFFF12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5">
        <s v="[Object].[Object Group].&amp;[32]" c="32"/>
        <s v="[Object].[Object Group].&amp;[36]" c="36"/>
        <s v="[Object].[Object Group].&amp;[39]" c="39"/>
        <s v="[Object].[Object Group].&amp;[48]" c="48"/>
        <s v="[Object].[Object Group].&amp;[85]" c="85"/>
      </sharedItems>
    </cacheField>
    <cacheField name="[Object].[Obj Group Nm].[Obj Group Nm]" caption="Obj Group Nm" numFmtId="0" hierarchy="123" level="1">
      <sharedItems count="4">
        <s v="[Object].[Obj Group Nm].&amp;[FRINGE BENEFITS]" c="FRINGE BENEFITS"/>
        <s v="[Object].[Obj Group Nm].&amp;[INSURANCE]" c="INSURANCE"/>
        <s v="[Object].[Obj Group Nm].&amp;[SALARIES AND WAGES]" c="SALARIES AND WAGES"/>
        <s v="[Object].[Obj Group Nm].&amp;[TRANSFERS]" c="TRANSFERS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  <cacheField name="[Accounting Period].[Fisc Yr].[Fisc Yr]" caption="Fisc Yr" numFmtId="0" hierarchy="7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925925929" backgroundQuery="1" createdVersion="4" refreshedVersion="8" minRefreshableVersion="3" recordCount="0" supportSubquery="1" supportAdvancedDrill="1" xr:uid="{F8A05668-8411-4A9A-B986-CE6B927F412F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1">
        <s v="[Revenue].[Rev Src].&amp;[2978]" c="2978"/>
      </sharedItems>
    </cacheField>
    <cacheField name="[Revenue].[Rev Src Nm].[Rev Src Nm]" caption="Rev Src Nm" numFmtId="0" hierarchy="201" level="1">
      <sharedItems count="1">
        <s v="[Revenue].[Rev Src Nm].&amp;[DICAP TRANSFER]" c="DICAP TRANSFER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">
        <s v="[Accounting Period].[Fisc Period].&amp;[1]" c="1"/>
      </sharedItems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009606481" backgroundQuery="1" createdVersion="4" refreshedVersion="8" minRefreshableVersion="3" recordCount="0" supportSubquery="1" supportAdvancedDrill="1" xr:uid="{87AEF73E-43A2-485B-9AB1-71EC76A99E92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5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9">
        <s v="[Object].[Object Group].&amp;[32]" c="32"/>
        <s v="[Object].[Object Group].&amp;[33]" c="33"/>
        <s v="[Object].[Object Group].&amp;[34]" c="34"/>
        <s v="[Object].[Object Group].&amp;[36]" c="36"/>
        <s v="[Object].[Object Group].&amp;[39]" c="39"/>
        <s v="[Object].[Object Group].&amp;[49]" c="49"/>
        <s v="[Object].[Object Group].&amp;[53]" c="53"/>
        <s v="[Object].[Object Group].&amp;[82]" c="82"/>
        <s v="[Object].[Object Group].&amp;[85]" c="85"/>
      </sharedItems>
    </cacheField>
    <cacheField name="[Object].[Obj Group Nm].[Obj Group Nm]" caption="Obj Group Nm" numFmtId="0" hierarchy="123" level="1">
      <sharedItems count="6">
        <s v="[Object].[Obj Group Nm].&amp;[ADMINISTRATIVE CHARGES AND FEE]" c="ADMINISTRATIVE CHARGES AND FEE"/>
        <s v="[Object].[Obj Group Nm].&amp;[FRINGE BENEFITS]" c="FRINGE BENEFITS"/>
        <s v="[Object].[Obj Group Nm].&amp;[GENERAL OPERATIONS]" c="GENERAL OPERATIONS"/>
        <s v="[Object].[Obj Group Nm].&amp;[SALARIES AND WAGES]" c="SALARIES AND WAGES"/>
        <s v="[Object].[Obj Group Nm].&amp;[TECHNOLOGY]" c="TECHNOLOGY"/>
        <s v="[Object].[Obj Group Nm].&amp;[TRANSFERS]" c="TRANSFERS"/>
      </sharedItems>
    </cacheField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949305553" backgroundQuery="1" createdVersion="4" refreshedVersion="8" minRefreshableVersion="3" recordCount="0" supportSubquery="1" supportAdvancedDrill="1" xr:uid="{2CE55185-5741-4393-B91D-1ADE99B2F71D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4">
        <s v="[Object].[Object Group].&amp;[32]" c="32"/>
        <s v="[Object].[Object Group].&amp;[36]" c="36"/>
        <s v="[Object].[Object Group].&amp;[39]" c="39"/>
        <s v="[Object].[Object Group].&amp;[85]" c="85"/>
      </sharedItems>
    </cacheField>
    <cacheField name="[Object].[Obj Group Nm].[Obj Group Nm]" caption="Obj Group Nm" numFmtId="0" hierarchy="123" level="1">
      <sharedItems count="3">
        <s v="[Object].[Obj Group Nm].&amp;[FRINGE BENEFITS]" c="FRINGE BENEFITS"/>
        <s v="[Object].[Obj Group Nm].&amp;[SALARIES AND WAGES]" c="SALARIES AND WAGES"/>
        <s v="[Object].[Obj Group Nm].&amp;[TRANSFERS]" c="TRANSFERS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4">
        <s v="[Accounting Period].[Fisc Period].&amp;[2]" c="2"/>
        <s v="[Accounting Period].[Fisc Period].&amp;[4]" c="4"/>
        <s v="[Accounting Period].[Fisc Period].&amp;[7]" c="7"/>
        <s v="[Accounting Period].[Fisc Period].&amp;[12]" c="12"/>
      </sharedItems>
    </cacheField>
    <cacheField name="[Accounting Period].[Fisc Yr].[Fisc Yr]" caption="Fisc Yr" numFmtId="0" hierarchy="7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972106483" backgroundQuery="1" createdVersion="4" refreshedVersion="8" minRefreshableVersion="3" recordCount="0" supportSubquery="1" supportAdvancedDrill="1" xr:uid="{00000000-000A-0000-FFFF-FFFF15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2">
        <s v="[Revenue].[Rev Src].&amp;[2206]" c="2206"/>
        <s v="[Revenue].[Rev Src].[All].UNKNOWNMEMBER" c="Unknown"/>
      </sharedItems>
    </cacheField>
    <cacheField name="[Revenue].[Rev Src Nm].[Rev Src Nm]" caption="Rev Src Nm" numFmtId="0" hierarchy="201" level="1">
      <sharedItems count="2">
        <s v="[Revenue].[Rev Src Nm].&amp;[FED GRANTS FOR PUB HEALTH]" c="FED GRANTS FOR PUB HEALTH"/>
        <s v="[Revenue].[Rev Src Nm].[All].UNKNOWNMEMBER" c="Unknown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">
        <s v="[Accounting Period].[Fisc Period].&amp;[0]" c="0"/>
      </sharedItems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995717591" backgroundQuery="1" createdVersion="4" refreshedVersion="8" minRefreshableVersion="3" recordCount="0" supportSubquery="1" supportAdvancedDrill="1" xr:uid="{00000000-000A-0000-FFFF-FFFF18050000}">
  <cacheSource type="external" connectionId="1"/>
  <cacheFields count="10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4">
        <s v="[Object].[Object Group].&amp;[40]" c="40"/>
        <s v="[Object].[Object Group].&amp;[49]" c="49"/>
        <s v="[Object].[Object Group].&amp;[85]" c="85"/>
        <s v="[Object].[Object Group].[All].UNKNOWNMEMBER" c="Unknown"/>
      </sharedItems>
    </cacheField>
    <cacheField name="[Object].[Obj Group Nm].[Obj Group Nm]" caption="Obj Group Nm" numFmtId="0" hierarchy="123" level="1">
      <sharedItems count="4">
        <s v="[Object].[Obj Group Nm].&amp;[GENERAL OPERATIONS]" c="GENERAL OPERATIONS"/>
        <s v="[Object].[Obj Group Nm].&amp;[PROF. SERVICES, NOT BY STATE]" c="PROF. SERVICES, NOT BY STATE"/>
        <s v="[Object].[Obj Group Nm].&amp;[TRANSFERS]" c="TRANSFERS"/>
        <s v="[Object].[Obj Group Nm].[All].UNKNOWNMEMBER" c="Unknown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">
        <s v="[Accounting Period].[Fisc Period].&amp;[0]" c="0"/>
      </sharedItems>
    </cacheField>
    <cacheField name="[Accounting Period].[Fisc Yr].[Fisc Yr]" caption="Fisc Yr" numFmtId="0" hierarchy="7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9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402744791667" backgroundQuery="1" createdVersion="8" refreshedVersion="8" minRefreshableVersion="3" recordCount="0" supportSubquery="1" supportAdvancedDrill="1" xr:uid="{7E956717-0EC9-4082-A7D1-EF61F6B88C31}">
  <cacheSource type="external" connectionId="1"/>
  <cacheFields count="19">
    <cacheField name="[Approp].[Approp].[Approp]" caption="Approp" numFmtId="0" hierarchy="10" level="1">
      <sharedItems containsSemiMixedTypes="0" containsString="0"/>
    </cacheField>
    <cacheField name="[Dept].[Dept].[Dept]" caption="Dept" numFmtId="0" hierarchy="51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Acct Period Hierarchy].[Fisc Yr]" caption="Fisc Yr" numFmtId="0" hierarchy="1" level="1">
      <sharedItems containsSemiMixedTypes="0" containsString="0"/>
    </cacheField>
    <cacheField name="[Accounting Period].[Acct Period Hierarchy].[Fisc Qtr]" caption="Fisc Qtr" numFmtId="0" hierarchy="1" level="2">
      <sharedItems containsSemiMixedTypes="0" containsString="0"/>
    </cacheField>
    <cacheField name="[Accounting Period].[Acct Period Hierarchy].[Fisc Period]" caption="Fisc Period" numFmtId="0" hierarchy="1" level="3">
      <sharedItems containsSemiMixedTypes="0" containsString="0"/>
    </cacheField>
    <cacheField name="[Accounting Period].[Acct Period Hierarchy].[Fisc Qtr].[Fisc Yr]" caption="Fisc Yr" propertyName="Fisc Yr" numFmtId="0" hierarchy="1" level="2" memberPropertyField="1">
      <sharedItems containsSemiMixedTypes="0" containsString="0"/>
    </cacheField>
    <cacheField name="[Accounting Period].[Acct Period Hierarchy].[Fisc Period].[Fisc Qtr Hierarchy]" caption="Fisc Qtr Hierarchy" propertyName="Fisc Qtr Hierarchy" numFmtId="0" hierarchy="1" level="3" memberPropertyField="1">
      <sharedItems containsSemiMixedTypes="0" containsString="0"/>
    </cacheField>
    <cacheField name="[Object].[Object Group].[Object Group]" caption="Object Group" numFmtId="0" hierarchy="126" level="1">
      <sharedItems containsSemiMixedTypes="0" containsString="0"/>
    </cacheField>
    <cacheField name="[Object].[Object Class].[Object Class]" caption="Object Class" numFmtId="0" hierarchy="125" level="1">
      <sharedItems containsSemiMixedTypes="0" containsString="0"/>
    </cacheField>
    <cacheField name="[Object].[Object].[Object]" caption="Object" numFmtId="0" hierarchy="124" level="1">
      <sharedItems count="2">
        <s v="[Object].[Object].&amp;[4073]" c="4073"/>
        <s v="[Object].[Object].&amp;[4099]" c="4099"/>
      </sharedItems>
    </cacheField>
    <cacheField name="[Accept Dt].[Accept Dt].[Accept Dt]" caption="Accept Dt" numFmtId="0" level="1">
      <sharedItems count="56">
        <s v="[Accept Dt].[Accept Dt].&amp;[2022-07-25T00:00:00]" c="07/25/2022"/>
        <s v="[Accept Dt].[Accept Dt].&amp;[2022-07-28T00:00:00]" c="07/28/2022"/>
        <s v="[Accept Dt].[Accept Dt].&amp;[2022-08-01T00:00:00]" c="08/01/2022"/>
        <s v="[Accept Dt].[Accept Dt].&amp;[2022-08-05T00:00:00]" c="08/05/2022"/>
        <s v="[Accept Dt].[Accept Dt].&amp;[2022-08-15T00:00:00]" c="08/15/2022"/>
        <s v="[Accept Dt].[Accept Dt].&amp;[2022-08-19T00:00:00]" c="08/19/2022"/>
        <s v="[Accept Dt].[Accept Dt].&amp;[2022-08-22T00:00:00]" c="08/22/2022"/>
        <s v="[Accept Dt].[Accept Dt].&amp;[2022-08-23T00:00:00]" c="08/23/2022"/>
        <s v="[Accept Dt].[Accept Dt].&amp;[2022-08-25T00:00:00]" c="08/25/2022"/>
        <s v="[Accept Dt].[Accept Dt].&amp;[2022-08-31T00:00:00]" c="08/31/2022"/>
        <s v="[Accept Dt].[Accept Dt].&amp;[2022-09-09T00:00:00]" c="09/09/2022"/>
        <s v="[Accept Dt].[Accept Dt].&amp;[2022-09-20T00:00:00]" c="09/20/2022"/>
        <s v="[Accept Dt].[Accept Dt].&amp;[2022-09-21T00:00:00]" c="09/21/2022"/>
        <s v="[Accept Dt].[Accept Dt].&amp;[2022-09-22T00:00:00]" c="09/22/2022"/>
        <s v="[Accept Dt].[Accept Dt].&amp;[2022-09-26T00:00:00]" c="09/26/2022"/>
        <s v="[Accept Dt].[Accept Dt].&amp;[2022-10-03T00:00:00]" c="10/03/2022"/>
        <s v="[Accept Dt].[Accept Dt].&amp;[2022-10-07T00:00:00]" c="10/07/2022"/>
        <s v="[Accept Dt].[Accept Dt].&amp;[2022-10-13T00:00:00]" c="10/13/2022"/>
        <s v="[Accept Dt].[Accept Dt].&amp;[2022-10-14T00:00:00]" c="10/14/2022"/>
        <s v="[Accept Dt].[Accept Dt].&amp;[2022-10-17T00:00:00]" c="10/17/2022"/>
        <s v="[Accept Dt].[Accept Dt].&amp;[2022-10-19T00:00:00]" c="10/19/2022"/>
        <s v="[Accept Dt].[Accept Dt].&amp;[2022-10-21T00:00:00]" c="10/21/2022"/>
        <s v="[Accept Dt].[Accept Dt].&amp;[2022-11-01T00:00:00]" c="11/01/2022"/>
        <s v="[Accept Dt].[Accept Dt].&amp;[2022-11-02T00:00:00]" c="11/02/2022"/>
        <s v="[Accept Dt].[Accept Dt].&amp;[2022-11-03T00:00:00]" c="11/03/2022"/>
        <s v="[Accept Dt].[Accept Dt].&amp;[2022-11-08T00:00:00]" c="11/08/2022"/>
        <s v="[Accept Dt].[Accept Dt].&amp;[2022-11-09T00:00:00]" c="11/09/2022"/>
        <s v="[Accept Dt].[Accept Dt].&amp;[2022-11-15T00:00:00]" c="11/15/2022"/>
        <s v="[Accept Dt].[Accept Dt].&amp;[2022-11-17T00:00:00]" c="11/17/2022"/>
        <s v="[Accept Dt].[Accept Dt].&amp;[2022-11-21T00:00:00]" c="11/21/2022"/>
        <s v="[Accept Dt].[Accept Dt].&amp;[2022-11-22T00:00:00]" c="11/22/2022"/>
        <s v="[Accept Dt].[Accept Dt].&amp;[2022-11-23T00:00:00]" c="11/23/2022"/>
        <s v="[Accept Dt].[Accept Dt].&amp;[2022-12-06T00:00:00]" c="12/06/2022"/>
        <s v="[Accept Dt].[Accept Dt].&amp;[2022-12-09T00:00:00]" c="12/09/2022"/>
        <s v="[Accept Dt].[Accept Dt].&amp;[2022-12-12T00:00:00]" c="12/12/2022"/>
        <s v="[Accept Dt].[Accept Dt].&amp;[2022-12-22T00:00:00]" c="12/22/2022"/>
        <s v="[Accept Dt].[Accept Dt].&amp;[2022-12-30T00:00:00]" c="12/30/2022"/>
        <s v="[Accept Dt].[Accept Dt].&amp;[2023-01-12T00:00:00]" c="01/12/2023"/>
        <s v="[Accept Dt].[Accept Dt].&amp;[2023-01-24T00:00:00]" c="01/24/2023"/>
        <s v="[Accept Dt].[Accept Dt].&amp;[2023-02-07T00:00:00]" c="02/07/2023"/>
        <s v="[Accept Dt].[Accept Dt].&amp;[2023-02-15T00:00:00]" c="02/15/2023"/>
        <s v="[Accept Dt].[Accept Dt].&amp;[2023-02-22T00:00:00]" c="02/22/2023"/>
        <s v="[Accept Dt].[Accept Dt].&amp;[2023-02-28T00:00:00]" c="02/28/2023"/>
        <s v="[Accept Dt].[Accept Dt].&amp;[2023-03-06T00:00:00]" c="03/06/2023"/>
        <s v="[Accept Dt].[Accept Dt].&amp;[2023-03-21T00:00:00]" c="03/21/2023"/>
        <s v="[Accept Dt].[Accept Dt].&amp;[2023-03-24T00:00:00]" c="03/24/2023"/>
        <s v="[Accept Dt].[Accept Dt].&amp;[2023-03-30T00:00:00]" c="03/30/2023"/>
        <s v="[Accept Dt].[Accept Dt].&amp;[2023-04-03T00:00:00]" c="04/03/2023"/>
        <s v="[Accept Dt].[Accept Dt].&amp;[2023-04-05T00:00:00]" c="04/05/2023"/>
        <s v="[Accept Dt].[Accept Dt].&amp;[2023-04-07T00:00:00]" c="04/07/2023"/>
        <s v="[Accept Dt].[Accept Dt].&amp;[2023-04-12T00:00:00]" c="04/12/2023"/>
        <s v="[Accept Dt].[Accept Dt].&amp;[2023-04-28T00:00:00]" c="04/28/2023"/>
        <s v="[Accept Dt].[Accept Dt].&amp;[2023-05-01T00:00:00]" c="05/01/2023"/>
        <s v="[Accept Dt].[Accept Dt].&amp;[2023-05-22T00:00:00]" c="05/22/2023"/>
        <s v="[Accept Dt].[Accept Dt].&amp;[2023-05-23T00:00:00]" c="05/23/2023"/>
        <s v="[Accept Dt].[Accept Dt].&amp;[2023-05-31T00:00:00]" c="05/31/2023"/>
      </sharedItems>
    </cacheField>
    <cacheField name="[Documents].[Doc Cd].[Doc Cd]" caption="Doc Cd" numFmtId="0" hierarchy="68" level="1">
      <sharedItems count="8">
        <s v="[Documents].[Doc Cd].&amp;[IETM]" c="IETM"/>
        <s v="[Documents].[Doc Cd].&amp;[PRC]" c="PRC"/>
        <s v="[Documents].[Doc Cd].&amp;[CRCC]" u="1" c="CRCC"/>
        <s v="[Documents].[Doc Cd].&amp;[GAX]" u="1" c="GAX"/>
        <s v="[Documents].[Doc Cd].&amp;[IET]" u="1" c="IET"/>
        <s v="[Documents].[Doc Cd].&amp;[CA]" u="1" c="CA"/>
        <s v="[Documents].[Doc Cd].&amp;[CR]" u="1" c="CR"/>
        <s v="[Documents].[Doc Cd].&amp;[RE]" u="1" c="RE"/>
      </sharedItems>
    </cacheField>
    <cacheField name="[Documents].[Doc ID].[Doc ID]" caption="Doc ID" numFmtId="0" hierarchy="74" level="1">
      <sharedItems count="125">
        <s v="[Documents].[Doc ID].&amp;[MPY07222210000474825]" c="MPY07222210000474825"/>
        <s v="[Documents].[Doc ID].&amp;[MPY07222210000474827]" c="MPY07222210000474827"/>
        <s v="[Documents].[Doc ID].&amp;[MPY07272210000478183]" c="MPY07272210000478183"/>
        <s v="[Documents].[Doc ID].&amp;[MPY07272210000478188]" c="MPY07272210000478188"/>
        <s v="[Documents].[Doc ID].&amp;[MPY07272210000478181]" c="MPY07272210000478181"/>
        <s v="[Documents].[Doc ID].&amp;[MPY07272210000478180]" c="MPY07272210000478180"/>
        <s v="[Documents].[Doc ID].&amp;[MPY07272210000478208]" c="MPY07272210000478208"/>
        <s v="[Documents].[Doc ID].&amp;[MPY07272210000478206]" c="MPY07272210000478206"/>
        <s v="[Documents].[Doc ID].&amp;[MPY07292210000483825]" c="MPY07292210000483825"/>
        <s v="[Documents].[Doc ID].&amp;[MPY08012210000483827]" c="MPY08012210000483827"/>
        <s v="[Documents].[Doc ID].&amp;[MPY08122210000484605]" c="MPY08122210000484605"/>
        <s v="[Documents].[Doc ID].&amp;[MPY08122210000484603]" c="MPY08122210000484603"/>
        <s v="[Documents].[Doc ID].&amp;[MPY08182210000484602]" c="MPY08182210000484602"/>
        <s v="[Documents].[Doc ID].&amp;[MPY08192210000490080]" c="MPY08192210000490080"/>
        <s v="[Documents].[Doc ID].&amp;[MPY08192210000490113]" c="MPY08192210000490113"/>
        <s v="[Documents].[Doc ID].&amp;[MPY08192210000490098]" c="MPY08192210000490098"/>
        <s v="[Documents].[Doc ID].&amp;[MPY08192210000489615]" c="MPY08192210000489615"/>
        <s v="[Documents].[Doc ID].&amp;[MPY08192210000489616]" c="MPY08192210000489616"/>
        <s v="[Documents].[Doc ID].&amp;[MPY08222210000489621]" c="MPY08222210000489621"/>
        <s v="[Documents].[Doc ID].&amp;[MPY08242210000493488]" c="MPY08242210000493488"/>
        <s v="[Documents].[Doc ID].&amp;[MPY08302210000495827]" c="MPY08302210000495827"/>
        <s v="[Documents].[Doc ID].&amp;[MPY09082210000499319]" c="MPY09082210000499319"/>
        <s v="[Documents].[Doc ID].&amp;[MPY09082210000499322]" c="MPY09082210000499322"/>
        <s v="[Documents].[Doc ID].&amp;[MPY09192210000498910]" c="MPY09192210000498910"/>
        <s v="[Documents].[Doc ID].&amp;[MPY09202210000498315]" c="MPY09202210000498315"/>
        <s v="[Documents].[Doc ID].&amp;[MPY09202210000498318]" c="MPY09202210000498318"/>
        <s v="[Documents].[Doc ID].&amp;[MPY09202210000498319]" c="MPY09202210000498319"/>
        <s v="[Documents].[Doc ID].&amp;[MPY09202210000498316]" c="MPY09202210000498316"/>
        <s v="[Documents].[Doc ID].&amp;[MPY09212210000503668]" c="MPY09212210000503668"/>
        <s v="[Documents].[Doc ID].&amp;[MPY09212210000501085]" c="MPY09212210000501085"/>
        <s v="[Documents].[Doc ID].&amp;[MPY09232210000503669]" c="MPY09232210000503669"/>
        <s v="[Documents].[Doc ID].&amp;[MPY09232210000501092]" c="MPY09232210000501092"/>
        <s v="[Documents].[Doc ID].&amp;[MPY09302210000506520]" c="MPY09302210000506520"/>
        <s v="[Documents].[Doc ID].&amp;[MPY09302210000506536]" c="MPY09302210000506536"/>
        <s v="[Documents].[Doc ID].&amp;[MPY09302210000506556]" c="MPY09302210000506556"/>
        <s v="[Documents].[Doc ID].&amp;[MPY10062210000508936]" c="MPY10062210000508936"/>
        <s v="[Documents].[Doc ID].&amp;[MPY10072210000510305]" c="MPY10072210000510305"/>
        <s v="[Documents].[Doc ID].&amp;[MPY10122210000511821]" c="MPY10122210000511821"/>
        <s v="[Documents].[Doc ID].&amp;[MPY10132210000511802]" c="MPY10132210000511802"/>
        <s v="[Documents].[Doc ID].&amp;[MPY10132210000511804]" c="MPY10132210000511804"/>
        <s v="[Documents].[Doc ID].&amp;[MPY10132210000511801]" c="MPY10132210000511801"/>
        <s v="[Documents].[Doc ID].&amp;[MPY10142210000512791]" c="MPY10142210000512791"/>
        <s v="[Documents].[Doc ID].&amp;[MPY10182210000515181]" c="MPY10182210000515181"/>
        <s v="[Documents].[Doc ID].&amp;[MPY10182210000515188]" c="MPY10182210000515188"/>
        <s v="[Documents].[Doc ID].&amp;[MPY10132210000511675]" c="MPY10132210000511675"/>
        <s v="[Documents].[Doc ID].&amp;[MPY10202210000515189]" c="MPY10202210000515189"/>
        <s v="[Documents].[Doc ID].&amp;[MPY10202210000515192]" c="MPY10202210000515192"/>
        <s v="[Documents].[Doc ID].&amp;[MPY10312210000517998]" c="MPY10312210000517998"/>
        <s v="[Documents].[Doc ID].&amp;[MPY11012210000518688]" c="MPY11012210000518688"/>
        <s v="[Documents].[Doc ID].&amp;[MPY11022210000518772]" c="MPY11022210000518772"/>
        <s v="[Documents].[Doc ID].&amp;[MPY11072210000522289]" c="MPY11072210000522289"/>
        <s v="[Documents].[Doc ID].&amp;[MPY11072210000527000]" c="MPY11072210000527000"/>
        <s v="[Documents].[Doc ID].&amp;[MPY11082210000527789]" c="MPY11082210000527789"/>
        <s v="[Documents].[Doc ID].&amp;[MPY11142210000528506]" c="MPY11142210000528506"/>
        <s v="[Documents].[Doc ID].&amp;[MPY11142210000531480]" c="MPY11142210000531480"/>
        <s v="[Documents].[Doc ID].&amp;[MPY11142210000527006]" c="MPY11142210000527006"/>
        <s v="[Documents].[Doc ID].&amp;[MPY11162210000518691]" c="MPY11162210000518691"/>
        <s v="[Documents].[Doc ID].&amp;[MPY11182210000527003]" c="MPY11182210000527003"/>
        <s v="[Documents].[Doc ID].&amp;[MPY11182210000518002]" c="MPY11182210000518002"/>
        <s v="[Documents].[Doc ID].&amp;[MPY11212210000533085]" c="MPY11212210000533085"/>
        <s v="[Documents].[Doc ID].&amp;[MPY11212210000533169]" c="MPY11212210000533169"/>
        <s v="[Documents].[Doc ID].&amp;[MPY11222210000534007]" c="MPY11222210000534007"/>
        <s v="[Documents].[Doc ID].&amp;[MPY12052210000538802]" c="MPY12052210000538802"/>
        <s v="[Documents].[Doc ID].&amp;[MPY12052210000540007]" c="MPY12052210000540007"/>
        <s v="[Documents].[Doc ID].&amp;[MPY12082210000542468]" c="MPY12082210000542468"/>
        <s v="[Documents].[Doc ID].&amp;[MPY12082210000542901]" c="MPY12082210000542901"/>
        <s v="[Documents].[Doc ID].&amp;[MPY12082210000542823]" c="MPY12082210000542823"/>
        <s v="[Documents].[Doc ID].&amp;[MPY12092210000535125]" c="MPY12092210000535125"/>
        <s v="[Documents].[Doc ID].&amp;[MPY12212210000542467]" c="MPY12212210000542467"/>
        <s v="[Documents].[Doc ID].&amp;[MPY12212210000547050]" c="MPY12212210000547050"/>
        <s v="[Documents].[Doc ID].&amp;[MPY12292210000551799]" c="MPY12292210000551799"/>
        <s v="[Documents].[Doc ID].&amp;[MPY01112310000555753]" c="MPY01112310000555753"/>
        <s v="[Documents].[Doc ID].&amp;[MPY01112310000555158]" c="MPY01112310000555158"/>
        <s v="[Documents].[Doc ID].&amp;[MPY01112310000555759]" c="MPY01112310000555759"/>
        <s v="[Documents].[Doc ID].&amp;[MPY01112310000555244]" c="MPY01112310000555244"/>
        <s v="[Documents].[Doc ID].&amp;[MPY01112310000555849]" c="MPY01112310000555849"/>
        <s v="[Documents].[Doc ID].&amp;[MPY01112310000555401]" c="MPY01112310000555401"/>
        <s v="[Documents].[Doc ID].&amp;[MPY01112310000555402]" c="MPY01112310000555402"/>
        <s v="[Documents].[Doc ID].&amp;[MPY01202310000560050]" c="MPY01202310000560050"/>
        <s v="[Documents].[Doc ID].&amp;[MPY01202310000560059]" c="MPY01202310000560059"/>
        <s v="[Documents].[Doc ID].&amp;[MPY01202310000560060]" c="MPY01202310000560060"/>
        <s v="[Documents].[Doc ID].&amp;[MPY01202310000560058]" c="MPY01202310000560058"/>
        <s v="[Documents].[Doc ID].&amp;[MPY02062310000563878]" c="MPY02062310000563878"/>
        <s v="[Documents].[Doc ID].&amp;[MPY02062310000563861]" c="MPY02062310000563861"/>
        <s v="[Documents].[Doc ID].&amp;[MPY02142310000570702]" c="MPY02142310000570702"/>
        <s v="[Documents].[Doc ID].&amp;[MPY02142310000570677]" c="MPY02142310000570677"/>
        <s v="[Documents].[Doc ID].&amp;[MPY02142310000563165]" c="MPY02142310000563165"/>
        <s v="[Documents].[Doc ID].&amp;[MPY02142310000570668]" c="MPY02142310000570668"/>
        <s v="[Documents].[Doc ID].&amp;[MPY02212310000566858]" c="MPY02212310000566858"/>
        <s v="[Documents].[Doc ID].&amp;[MPY02212310000566857]" c="MPY02212310000566857"/>
        <s v="[Documents].[Doc ID].&amp;[MPY02272310000575323]" c="MPY02272310000575323"/>
        <s v="[Documents].[Doc ID].&amp;[MPY02272310000575420]" c="MPY02272310000575420"/>
        <s v="[Documents].[Doc ID].&amp;[MPY02272310000575430]" c="MPY02272310000575430"/>
        <s v="[Documents].[Doc ID].&amp;[MPY02272310000575429]" c="MPY02272310000575429"/>
        <s v="[Documents].[Doc ID].&amp;[MPY03032310000563169]" c="MPY03032310000563169"/>
        <s v="[Documents].[Doc ID].&amp;[MPY03202310000586293]" c="MPY03202310000586293"/>
        <s v="[Documents].[Doc ID].&amp;[MPY03202310000586302]" c="MPY03202310000586302"/>
        <s v="[Documents].[Doc ID].&amp;[MPY03202310000586780]" c="MPY03202310000586780"/>
        <s v="[Documents].[Doc ID].&amp;[MPY03202310000586666]" c="MPY03202310000586666"/>
        <s v="[Documents].[Doc ID].&amp;[MPY03202310000586776]" c="MPY03202310000586776"/>
        <s v="[Documents].[Doc ID].&amp;[MPY03202310000586270]" c="MPY03202310000586270"/>
        <s v="[Documents].[Doc ID].&amp;[MPY03202310000586799]" c="MPY03202310000586799"/>
        <s v="[Documents].[Doc ID].&amp;[MPY03072310000542340]" c="MPY03072310000542340"/>
        <s v="[Documents].[Doc ID].&amp;[MPY03292310000589229]" c="MPY03292310000589229"/>
        <s v="[Documents].[Doc ID].&amp;[MPY03292310000591673]" c="MPY03292310000591673"/>
        <s v="[Documents].[Doc ID].&amp;[MPY03312310000589225]" c="MPY03312310000589225"/>
        <s v="[Documents].[Doc ID].&amp;[MPY04042310000593355]" c="MPY04042310000593355"/>
        <s v="[Documents].[Doc ID].&amp;[MPY04042310000592905]" c="MPY04042310000592905"/>
        <s v="[Documents].[Doc ID].&amp;[PCFEB23589106]" c="PCFEB23589106"/>
        <s v="[Documents].[Doc ID].&amp;[MPY04112310000596310]" c="MPY04112310000596310"/>
        <s v="[Documents].[Doc ID].&amp;[MPY04112310000597553]" c="MPY04112310000597553"/>
        <s v="[Documents].[Doc ID].&amp;[MPY04272310000603059]" c="MPY04272310000603059"/>
        <s v="[Documents].[Doc ID].&amp;[MPY04282310000605581]" c="MPY04282310000605581"/>
        <s v="[Documents].[Doc ID].&amp;[MPY04282310000605579]" c="MPY04282310000605579"/>
        <s v="[Documents].[Doc ID].&amp;[MPY04282310000606157]" c="MPY04282310000606157"/>
        <s v="[Documents].[Doc ID].&amp;[MPY04282310000605740]" c="MPY04282310000605740"/>
        <s v="[Documents].[Doc ID].&amp;[MPY04282310000605693]" c="MPY04282310000605693"/>
        <s v="[Documents].[Doc ID].&amp;[MPY04282310000606158]" c="MPY04282310000606158"/>
        <s v="[Documents].[Doc ID].&amp;[MPY05192310000616759]" c="MPY05192310000616759"/>
        <s v="[Documents].[Doc ID].&amp;[MPY05192310000616777]" c="MPY05192310000616777"/>
        <s v="[Documents].[Doc ID].&amp;[MPY05192310000616770]" c="MPY05192310000616770"/>
        <s v="[Documents].[Doc ID].&amp;[MPY05082310000610293]" c="MPY05082310000610293"/>
        <s v="[Documents].[Doc ID].&amp;[MPY05052310000610207]" c="MPY05052310000610207"/>
        <s v="[Documents].[Doc ID].&amp;[MPY05302310000619467]" c="MPY05302310000619467"/>
        <s v="[Documents].[Doc ID].&amp;[MPY05302310000619468]" c="MPY05302310000619468"/>
      </sharedItems>
    </cacheField>
    <cacheField name="[Posting Code].[Financial Category].[Financial Category]" caption="Financial Category" numFmtId="0" hierarchy="148" level="1">
      <sharedItems containsSemiMixedTypes="0" containsString="0"/>
    </cacheField>
    <cacheField name="[Vendor Customer].[Legal Name].[Legal Name]" caption="Legal Name" numFmtId="0" hierarchy="236" level="1">
      <sharedItems count="3">
        <s v="[Vendor Customer].[Legal Name].&amp;[ATLANTIC STAFFING AND PAYROLL SERVICES]" c="ATLANTIC STAFFING AND PAYROLL SERVICES"/>
        <s v="[Vendor Customer].[Legal Name].&amp;[TRI-STATE STAFFING INC]" c="TRI-STATE STAFFING INC"/>
        <s v="[Vendor Customer].[Legal Name].[All].UNKNOWNMEMBER" c="Unknown"/>
      </sharedItems>
    </cacheField>
    <cacheField name="[Measures].[Jrnl Posting Am]" caption="Jrnl Posting Am" numFmtId="0" hierarchy="334" level="32767"/>
    <cacheField name="[Reference Docs].[Ref Doc Id].[Ref Doc Id]" caption="Ref Doc Id" numFmtId="0" hierarchy="179" level="1">
      <sharedItems count="6">
        <s v="[Reference Docs].[Ref Doc Id].&amp;[20210706000000000071]" c="20210706000000000071"/>
        <s v="[Reference Docs].[Ref Doc Id].&amp;[20211004000000002681]" c="20211004000000002681"/>
        <s v="[Reference Docs].[Ref Doc Id].&amp;[20220310000000008332]" c="20220310000000008332"/>
        <s v="[Reference Docs].[Ref Doc Id].&amp;[20220603000000011498]" c="20220603000000011498"/>
        <s v="[Reference Docs].[Ref Doc Id].&amp;[20220908000000002160]" c="20220908000000002160"/>
        <s v="[Reference Docs].[Ref Doc Id].[All].UNKNOWNMEMBER" c="Unknown"/>
      </sharedItems>
    </cacheField>
    <cacheField name="[Reference Docs].[Ref Doc Cd].[Ref Doc Cd]" caption="Ref Doc Cd" numFmtId="0" hierarchy="177" level="1">
      <sharedItems count="2">
        <s v="[Reference Docs].[Ref Doc Cd].&amp;[DO]" c="DO"/>
        <s v="[Reference Docs].[Ref Doc Cd].[All].UNKNOWNMEMBER" c="Unknown"/>
      </sharedItems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2" unbalanced="0">
      <fieldsUsage count="2">
        <fieldUsage x="-1"/>
        <fieldUsage x="11"/>
      </fieldsUsage>
    </cacheHierarchy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4" unbalanced="0">
      <fieldsUsage count="4">
        <fieldUsage x="-1"/>
        <fieldUsage x="3"/>
        <fieldUsage x="4"/>
        <fieldUsage x="5"/>
      </fieldsUsage>
    </cacheHierarchy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0" unbalanced="0"/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0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2" unbalanced="0">
      <fieldsUsage count="2">
        <fieldUsage x="-1"/>
        <fieldUsage x="1"/>
      </fieldsUsage>
    </cacheHierarchy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2" unbalanced="0">
      <fieldsUsage count="2">
        <fieldUsage x="-1"/>
        <fieldUsage x="12"/>
      </fieldsUsage>
    </cacheHierarchy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2" unbalanced="0">
      <fieldsUsage count="2">
        <fieldUsage x="-1"/>
        <fieldUsage x="13"/>
      </fieldsUsage>
    </cacheHierarchy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2" unbalanced="0">
      <fieldsUsage count="2">
        <fieldUsage x="-1"/>
        <fieldUsage x="10"/>
      </fieldsUsage>
    </cacheHierarchy>
    <cacheHierarchy uniqueName="[Object].[Object Class]" caption="Object Class" attribute="1" defaultMemberUniqueName="[Object].[Object Class].[All]" allUniqueName="[Object].[Object Class].[All]" dimensionUniqueName="[Object]" displayFolder="" count="2" unbalanced="0">
      <fieldsUsage count="2">
        <fieldUsage x="-1"/>
        <fieldUsage x="9"/>
      </fieldsUsage>
    </cacheHierarchy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8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0" unbalanced="0"/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14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2" unbalanced="0">
      <fieldsUsage count="2">
        <fieldUsage x="-1"/>
        <fieldUsage x="18"/>
      </fieldsUsage>
    </cacheHierarchy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2" unbalanced="0">
      <fieldsUsage count="2">
        <fieldUsage x="-1"/>
        <fieldUsage x="17"/>
      </fieldsUsage>
    </cacheHierarchy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0" unbalanced="0"/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2" unbalanced="0">
      <fieldsUsage count="2">
        <fieldUsage x="-1"/>
        <fieldUsage x="15"/>
      </fieldsUsage>
    </cacheHierarchy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1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ncourt, Betty" refreshedDate="45078.403972800923" createdVersion="8" refreshedVersion="8" minRefreshableVersion="3" recordCount="126" xr:uid="{3503B8FE-D639-43A7-A2AD-DF4A069F2C34}">
  <cacheSource type="worksheet">
    <worksheetSource ref="J10:L136" sheet="Cube"/>
  </cacheSource>
  <cacheFields count="3">
    <cacheField name="Ref Doc Cd" numFmtId="0">
      <sharedItems containsBlank="1" count="3">
        <s v="DO"/>
        <m/>
        <s v="Unknown"/>
      </sharedItems>
    </cacheField>
    <cacheField name="Ref Doc Id" numFmtId="0">
      <sharedItems containsBlank="1" count="7">
        <s v="20220603000000011498"/>
        <m/>
        <s v="20220310000000008332"/>
        <s v="20211004000000002681"/>
        <s v="20210706000000000071"/>
        <s v="20220908000000002160"/>
        <s v="Unknown"/>
      </sharedItems>
    </cacheField>
    <cacheField name="Total" numFmtId="164">
      <sharedItems containsString="0" containsBlank="1" containsNumber="1" minValue="106.54" maxValue="1449.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402744791667" backgroundQuery="1" createdVersion="8" refreshedVersion="8" minRefreshableVersion="3" recordCount="0" supportSubquery="1" supportAdvancedDrill="1" xr:uid="{BA591574-EEB6-472C-9CC3-2C6D11626802}">
  <cacheSource type="external" connectionId="1"/>
  <cacheFields count="19">
    <cacheField name="[Approp].[Approp].[Approp]" caption="Approp" numFmtId="0" hierarchy="10" level="1">
      <sharedItems containsSemiMixedTypes="0" containsString="0"/>
    </cacheField>
    <cacheField name="[Dept].[Dept].[Dept]" caption="Dept" numFmtId="0" hierarchy="51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Acct Period Hierarchy].[Fisc Yr]" caption="Fisc Yr" numFmtId="0" hierarchy="1" level="1">
      <sharedItems containsSemiMixedTypes="0" containsString="0"/>
    </cacheField>
    <cacheField name="[Accounting Period].[Acct Period Hierarchy].[Fisc Qtr]" caption="Fisc Qtr" numFmtId="0" hierarchy="1" level="2">
      <sharedItems containsSemiMixedTypes="0" containsString="0"/>
    </cacheField>
    <cacheField name="[Accounting Period].[Acct Period Hierarchy].[Fisc Period]" caption="Fisc Period" numFmtId="0" hierarchy="1" level="3">
      <sharedItems containsSemiMixedTypes="0" containsString="0"/>
    </cacheField>
    <cacheField name="[Accounting Period].[Acct Period Hierarchy].[Fisc Qtr].[Fisc Yr]" caption="Fisc Yr" propertyName="Fisc Yr" numFmtId="0" hierarchy="1" level="2" memberPropertyField="1">
      <sharedItems containsSemiMixedTypes="0" containsString="0"/>
    </cacheField>
    <cacheField name="[Accounting Period].[Acct Period Hierarchy].[Fisc Period].[Fisc Qtr Hierarchy]" caption="Fisc Qtr Hierarchy" propertyName="Fisc Qtr Hierarchy" numFmtId="0" hierarchy="1" level="3" memberPropertyField="1">
      <sharedItems containsSemiMixedTypes="0" containsString="0"/>
    </cacheField>
    <cacheField name="[Object].[Object Group].[Object Group]" caption="Object Group" numFmtId="0" hierarchy="126" level="1">
      <sharedItems containsSemiMixedTypes="0" containsString="0"/>
    </cacheField>
    <cacheField name="[Object].[Object Class].[Object Class]" caption="Object Class" numFmtId="0" hierarchy="125" level="1">
      <sharedItems containsSemiMixedTypes="0" containsString="0"/>
    </cacheField>
    <cacheField name="[Object].[Object].[Object]" caption="Object" numFmtId="0" hierarchy="124" level="1">
      <sharedItems count="2">
        <s v="[Object].[Object].&amp;[4073]" c="4073"/>
        <s v="[Object].[Object].&amp;[4099]" c="4099"/>
      </sharedItems>
    </cacheField>
    <cacheField name="[Accept Dt].[Accept Dt].[Accept Dt]" caption="Accept Dt" numFmtId="0" level="1">
      <sharedItems count="56">
        <s v="[Accept Dt].[Accept Dt].&amp;[2022-07-25T00:00:00]" c="07/25/2022"/>
        <s v="[Accept Dt].[Accept Dt].&amp;[2022-07-28T00:00:00]" c="07/28/2022"/>
        <s v="[Accept Dt].[Accept Dt].&amp;[2022-08-01T00:00:00]" c="08/01/2022"/>
        <s v="[Accept Dt].[Accept Dt].&amp;[2022-08-05T00:00:00]" c="08/05/2022"/>
        <s v="[Accept Dt].[Accept Dt].&amp;[2022-08-15T00:00:00]" c="08/15/2022"/>
        <s v="[Accept Dt].[Accept Dt].&amp;[2022-08-19T00:00:00]" c="08/19/2022"/>
        <s v="[Accept Dt].[Accept Dt].&amp;[2022-08-22T00:00:00]" c="08/22/2022"/>
        <s v="[Accept Dt].[Accept Dt].&amp;[2022-08-23T00:00:00]" c="08/23/2022"/>
        <s v="[Accept Dt].[Accept Dt].&amp;[2022-08-25T00:00:00]" c="08/25/2022"/>
        <s v="[Accept Dt].[Accept Dt].&amp;[2022-08-31T00:00:00]" c="08/31/2022"/>
        <s v="[Accept Dt].[Accept Dt].&amp;[2022-09-09T00:00:00]" c="09/09/2022"/>
        <s v="[Accept Dt].[Accept Dt].&amp;[2022-09-20T00:00:00]" c="09/20/2022"/>
        <s v="[Accept Dt].[Accept Dt].&amp;[2022-09-21T00:00:00]" c="09/21/2022"/>
        <s v="[Accept Dt].[Accept Dt].&amp;[2022-09-22T00:00:00]" c="09/22/2022"/>
        <s v="[Accept Dt].[Accept Dt].&amp;[2022-09-26T00:00:00]" c="09/26/2022"/>
        <s v="[Accept Dt].[Accept Dt].&amp;[2022-10-03T00:00:00]" c="10/03/2022"/>
        <s v="[Accept Dt].[Accept Dt].&amp;[2022-10-07T00:00:00]" c="10/07/2022"/>
        <s v="[Accept Dt].[Accept Dt].&amp;[2022-10-13T00:00:00]" c="10/13/2022"/>
        <s v="[Accept Dt].[Accept Dt].&amp;[2022-10-14T00:00:00]" c="10/14/2022"/>
        <s v="[Accept Dt].[Accept Dt].&amp;[2022-10-17T00:00:00]" c="10/17/2022"/>
        <s v="[Accept Dt].[Accept Dt].&amp;[2022-10-19T00:00:00]" c="10/19/2022"/>
        <s v="[Accept Dt].[Accept Dt].&amp;[2022-10-21T00:00:00]" c="10/21/2022"/>
        <s v="[Accept Dt].[Accept Dt].&amp;[2022-11-01T00:00:00]" c="11/01/2022"/>
        <s v="[Accept Dt].[Accept Dt].&amp;[2022-11-02T00:00:00]" c="11/02/2022"/>
        <s v="[Accept Dt].[Accept Dt].&amp;[2022-11-03T00:00:00]" c="11/03/2022"/>
        <s v="[Accept Dt].[Accept Dt].&amp;[2022-11-08T00:00:00]" c="11/08/2022"/>
        <s v="[Accept Dt].[Accept Dt].&amp;[2022-11-09T00:00:00]" c="11/09/2022"/>
        <s v="[Accept Dt].[Accept Dt].&amp;[2022-11-15T00:00:00]" c="11/15/2022"/>
        <s v="[Accept Dt].[Accept Dt].&amp;[2022-11-17T00:00:00]" c="11/17/2022"/>
        <s v="[Accept Dt].[Accept Dt].&amp;[2022-11-21T00:00:00]" c="11/21/2022"/>
        <s v="[Accept Dt].[Accept Dt].&amp;[2022-11-22T00:00:00]" c="11/22/2022"/>
        <s v="[Accept Dt].[Accept Dt].&amp;[2022-11-23T00:00:00]" c="11/23/2022"/>
        <s v="[Accept Dt].[Accept Dt].&amp;[2022-12-06T00:00:00]" c="12/06/2022"/>
        <s v="[Accept Dt].[Accept Dt].&amp;[2022-12-09T00:00:00]" c="12/09/2022"/>
        <s v="[Accept Dt].[Accept Dt].&amp;[2022-12-12T00:00:00]" c="12/12/2022"/>
        <s v="[Accept Dt].[Accept Dt].&amp;[2022-12-22T00:00:00]" c="12/22/2022"/>
        <s v="[Accept Dt].[Accept Dt].&amp;[2022-12-30T00:00:00]" c="12/30/2022"/>
        <s v="[Accept Dt].[Accept Dt].&amp;[2023-01-12T00:00:00]" c="01/12/2023"/>
        <s v="[Accept Dt].[Accept Dt].&amp;[2023-01-24T00:00:00]" c="01/24/2023"/>
        <s v="[Accept Dt].[Accept Dt].&amp;[2023-02-07T00:00:00]" c="02/07/2023"/>
        <s v="[Accept Dt].[Accept Dt].&amp;[2023-02-15T00:00:00]" c="02/15/2023"/>
        <s v="[Accept Dt].[Accept Dt].&amp;[2023-02-22T00:00:00]" c="02/22/2023"/>
        <s v="[Accept Dt].[Accept Dt].&amp;[2023-02-28T00:00:00]" c="02/28/2023"/>
        <s v="[Accept Dt].[Accept Dt].&amp;[2023-03-06T00:00:00]" c="03/06/2023"/>
        <s v="[Accept Dt].[Accept Dt].&amp;[2023-03-21T00:00:00]" c="03/21/2023"/>
        <s v="[Accept Dt].[Accept Dt].&amp;[2023-03-24T00:00:00]" c="03/24/2023"/>
        <s v="[Accept Dt].[Accept Dt].&amp;[2023-03-30T00:00:00]" c="03/30/2023"/>
        <s v="[Accept Dt].[Accept Dt].&amp;[2023-04-03T00:00:00]" c="04/03/2023"/>
        <s v="[Accept Dt].[Accept Dt].&amp;[2023-04-05T00:00:00]" c="04/05/2023"/>
        <s v="[Accept Dt].[Accept Dt].&amp;[2023-04-07T00:00:00]" c="04/07/2023"/>
        <s v="[Accept Dt].[Accept Dt].&amp;[2023-04-12T00:00:00]" c="04/12/2023"/>
        <s v="[Accept Dt].[Accept Dt].&amp;[2023-04-28T00:00:00]" c="04/28/2023"/>
        <s v="[Accept Dt].[Accept Dt].&amp;[2023-05-01T00:00:00]" c="05/01/2023"/>
        <s v="[Accept Dt].[Accept Dt].&amp;[2023-05-22T00:00:00]" c="05/22/2023"/>
        <s v="[Accept Dt].[Accept Dt].&amp;[2023-05-23T00:00:00]" c="05/23/2023"/>
        <s v="[Accept Dt].[Accept Dt].&amp;[2023-05-31T00:00:00]" c="05/31/2023"/>
      </sharedItems>
    </cacheField>
    <cacheField name="[Documents].[Doc Cd].[Doc Cd]" caption="Doc Cd" numFmtId="0" hierarchy="68" level="1">
      <sharedItems count="8">
        <s v="[Documents].[Doc Cd].&amp;[IETM]" c="IETM"/>
        <s v="[Documents].[Doc Cd].&amp;[PRC]" c="PRC"/>
        <s v="[Documents].[Doc Cd].&amp;[CRCC]" u="1" c="CRCC"/>
        <s v="[Documents].[Doc Cd].&amp;[GAX]" u="1" c="GAX"/>
        <s v="[Documents].[Doc Cd].&amp;[IET]" u="1" c="IET"/>
        <s v="[Documents].[Doc Cd].&amp;[CA]" u="1" c="CA"/>
        <s v="[Documents].[Doc Cd].&amp;[CR]" u="1" c="CR"/>
        <s v="[Documents].[Doc Cd].&amp;[RE]" u="1" c="RE"/>
      </sharedItems>
    </cacheField>
    <cacheField name="[Documents].[Doc ID].[Doc ID]" caption="Doc ID" numFmtId="0" hierarchy="74" level="1">
      <sharedItems count="125">
        <s v="[Documents].[Doc ID].&amp;[MPY07222210000474825]" c="MPY07222210000474825"/>
        <s v="[Documents].[Doc ID].&amp;[MPY07222210000474827]" c="MPY07222210000474827"/>
        <s v="[Documents].[Doc ID].&amp;[MPY07272210000478183]" c="MPY07272210000478183"/>
        <s v="[Documents].[Doc ID].&amp;[MPY07272210000478188]" c="MPY07272210000478188"/>
        <s v="[Documents].[Doc ID].&amp;[MPY07272210000478181]" c="MPY07272210000478181"/>
        <s v="[Documents].[Doc ID].&amp;[MPY07272210000478180]" c="MPY07272210000478180"/>
        <s v="[Documents].[Doc ID].&amp;[MPY07272210000478208]" c="MPY07272210000478208"/>
        <s v="[Documents].[Doc ID].&amp;[MPY07272210000478206]" c="MPY07272210000478206"/>
        <s v="[Documents].[Doc ID].&amp;[MPY07292210000483825]" c="MPY07292210000483825"/>
        <s v="[Documents].[Doc ID].&amp;[MPY08012210000483827]" c="MPY08012210000483827"/>
        <s v="[Documents].[Doc ID].&amp;[MPY08122210000484605]" c="MPY08122210000484605"/>
        <s v="[Documents].[Doc ID].&amp;[MPY08122210000484603]" c="MPY08122210000484603"/>
        <s v="[Documents].[Doc ID].&amp;[MPY08182210000484602]" c="MPY08182210000484602"/>
        <s v="[Documents].[Doc ID].&amp;[MPY08192210000490080]" c="MPY08192210000490080"/>
        <s v="[Documents].[Doc ID].&amp;[MPY08192210000490113]" c="MPY08192210000490113"/>
        <s v="[Documents].[Doc ID].&amp;[MPY08192210000490098]" c="MPY08192210000490098"/>
        <s v="[Documents].[Doc ID].&amp;[MPY08192210000489615]" c="MPY08192210000489615"/>
        <s v="[Documents].[Doc ID].&amp;[MPY08192210000489616]" c="MPY08192210000489616"/>
        <s v="[Documents].[Doc ID].&amp;[MPY08222210000489621]" c="MPY08222210000489621"/>
        <s v="[Documents].[Doc ID].&amp;[MPY08242210000493488]" c="MPY08242210000493488"/>
        <s v="[Documents].[Doc ID].&amp;[MPY08302210000495827]" c="MPY08302210000495827"/>
        <s v="[Documents].[Doc ID].&amp;[MPY09082210000499319]" c="MPY09082210000499319"/>
        <s v="[Documents].[Doc ID].&amp;[MPY09082210000499322]" c="MPY09082210000499322"/>
        <s v="[Documents].[Doc ID].&amp;[MPY09192210000498910]" c="MPY09192210000498910"/>
        <s v="[Documents].[Doc ID].&amp;[MPY09202210000498315]" c="MPY09202210000498315"/>
        <s v="[Documents].[Doc ID].&amp;[MPY09202210000498318]" c="MPY09202210000498318"/>
        <s v="[Documents].[Doc ID].&amp;[MPY09202210000498319]" c="MPY09202210000498319"/>
        <s v="[Documents].[Doc ID].&amp;[MPY09202210000498316]" c="MPY09202210000498316"/>
        <s v="[Documents].[Doc ID].&amp;[MPY09212210000503668]" c="MPY09212210000503668"/>
        <s v="[Documents].[Doc ID].&amp;[MPY09212210000501085]" c="MPY09212210000501085"/>
        <s v="[Documents].[Doc ID].&amp;[MPY09232210000503669]" c="MPY09232210000503669"/>
        <s v="[Documents].[Doc ID].&amp;[MPY09232210000501092]" c="MPY09232210000501092"/>
        <s v="[Documents].[Doc ID].&amp;[MPY09302210000506520]" c="MPY09302210000506520"/>
        <s v="[Documents].[Doc ID].&amp;[MPY09302210000506536]" c="MPY09302210000506536"/>
        <s v="[Documents].[Doc ID].&amp;[MPY09302210000506556]" c="MPY09302210000506556"/>
        <s v="[Documents].[Doc ID].&amp;[MPY10062210000508936]" c="MPY10062210000508936"/>
        <s v="[Documents].[Doc ID].&amp;[MPY10072210000510305]" c="MPY10072210000510305"/>
        <s v="[Documents].[Doc ID].&amp;[MPY10122210000511821]" c="MPY10122210000511821"/>
        <s v="[Documents].[Doc ID].&amp;[MPY10132210000511802]" c="MPY10132210000511802"/>
        <s v="[Documents].[Doc ID].&amp;[MPY10132210000511804]" c="MPY10132210000511804"/>
        <s v="[Documents].[Doc ID].&amp;[MPY10132210000511801]" c="MPY10132210000511801"/>
        <s v="[Documents].[Doc ID].&amp;[MPY10142210000512791]" c="MPY10142210000512791"/>
        <s v="[Documents].[Doc ID].&amp;[MPY10182210000515181]" c="MPY10182210000515181"/>
        <s v="[Documents].[Doc ID].&amp;[MPY10182210000515188]" c="MPY10182210000515188"/>
        <s v="[Documents].[Doc ID].&amp;[MPY10132210000511675]" c="MPY10132210000511675"/>
        <s v="[Documents].[Doc ID].&amp;[MPY10202210000515189]" c="MPY10202210000515189"/>
        <s v="[Documents].[Doc ID].&amp;[MPY10202210000515192]" c="MPY10202210000515192"/>
        <s v="[Documents].[Doc ID].&amp;[MPY10312210000517998]" c="MPY10312210000517998"/>
        <s v="[Documents].[Doc ID].&amp;[MPY11012210000518688]" c="MPY11012210000518688"/>
        <s v="[Documents].[Doc ID].&amp;[MPY11022210000518772]" c="MPY11022210000518772"/>
        <s v="[Documents].[Doc ID].&amp;[MPY11072210000522289]" c="MPY11072210000522289"/>
        <s v="[Documents].[Doc ID].&amp;[MPY11072210000527000]" c="MPY11072210000527000"/>
        <s v="[Documents].[Doc ID].&amp;[MPY11082210000527789]" c="MPY11082210000527789"/>
        <s v="[Documents].[Doc ID].&amp;[MPY11142210000528506]" c="MPY11142210000528506"/>
        <s v="[Documents].[Doc ID].&amp;[MPY11142210000531480]" c="MPY11142210000531480"/>
        <s v="[Documents].[Doc ID].&amp;[MPY11142210000527006]" c="MPY11142210000527006"/>
        <s v="[Documents].[Doc ID].&amp;[MPY11162210000518691]" c="MPY11162210000518691"/>
        <s v="[Documents].[Doc ID].&amp;[MPY11182210000527003]" c="MPY11182210000527003"/>
        <s v="[Documents].[Doc ID].&amp;[MPY11182210000518002]" c="MPY11182210000518002"/>
        <s v="[Documents].[Doc ID].&amp;[MPY11212210000533085]" c="MPY11212210000533085"/>
        <s v="[Documents].[Doc ID].&amp;[MPY11212210000533169]" c="MPY11212210000533169"/>
        <s v="[Documents].[Doc ID].&amp;[MPY11222210000534007]" c="MPY11222210000534007"/>
        <s v="[Documents].[Doc ID].&amp;[MPY12052210000538802]" c="MPY12052210000538802"/>
        <s v="[Documents].[Doc ID].&amp;[MPY12052210000540007]" c="MPY12052210000540007"/>
        <s v="[Documents].[Doc ID].&amp;[MPY12082210000542468]" c="MPY12082210000542468"/>
        <s v="[Documents].[Doc ID].&amp;[MPY12082210000542901]" c="MPY12082210000542901"/>
        <s v="[Documents].[Doc ID].&amp;[MPY12082210000542823]" c="MPY12082210000542823"/>
        <s v="[Documents].[Doc ID].&amp;[MPY12092210000535125]" c="MPY12092210000535125"/>
        <s v="[Documents].[Doc ID].&amp;[MPY12212210000542467]" c="MPY12212210000542467"/>
        <s v="[Documents].[Doc ID].&amp;[MPY12212210000547050]" c="MPY12212210000547050"/>
        <s v="[Documents].[Doc ID].&amp;[MPY12292210000551799]" c="MPY12292210000551799"/>
        <s v="[Documents].[Doc ID].&amp;[MPY01112310000555753]" c="MPY01112310000555753"/>
        <s v="[Documents].[Doc ID].&amp;[MPY01112310000555158]" c="MPY01112310000555158"/>
        <s v="[Documents].[Doc ID].&amp;[MPY01112310000555759]" c="MPY01112310000555759"/>
        <s v="[Documents].[Doc ID].&amp;[MPY01112310000555244]" c="MPY01112310000555244"/>
        <s v="[Documents].[Doc ID].&amp;[MPY01112310000555849]" c="MPY01112310000555849"/>
        <s v="[Documents].[Doc ID].&amp;[MPY01112310000555401]" c="MPY01112310000555401"/>
        <s v="[Documents].[Doc ID].&amp;[MPY01112310000555402]" c="MPY01112310000555402"/>
        <s v="[Documents].[Doc ID].&amp;[MPY01202310000560050]" c="MPY01202310000560050"/>
        <s v="[Documents].[Doc ID].&amp;[MPY01202310000560059]" c="MPY01202310000560059"/>
        <s v="[Documents].[Doc ID].&amp;[MPY01202310000560060]" c="MPY01202310000560060"/>
        <s v="[Documents].[Doc ID].&amp;[MPY01202310000560058]" c="MPY01202310000560058"/>
        <s v="[Documents].[Doc ID].&amp;[MPY02062310000563878]" c="MPY02062310000563878"/>
        <s v="[Documents].[Doc ID].&amp;[MPY02062310000563861]" c="MPY02062310000563861"/>
        <s v="[Documents].[Doc ID].&amp;[MPY02142310000570702]" c="MPY02142310000570702"/>
        <s v="[Documents].[Doc ID].&amp;[MPY02142310000570677]" c="MPY02142310000570677"/>
        <s v="[Documents].[Doc ID].&amp;[MPY02142310000563165]" c="MPY02142310000563165"/>
        <s v="[Documents].[Doc ID].&amp;[MPY02142310000570668]" c="MPY02142310000570668"/>
        <s v="[Documents].[Doc ID].&amp;[MPY02212310000566858]" c="MPY02212310000566858"/>
        <s v="[Documents].[Doc ID].&amp;[MPY02212310000566857]" c="MPY02212310000566857"/>
        <s v="[Documents].[Doc ID].&amp;[MPY02272310000575323]" c="MPY02272310000575323"/>
        <s v="[Documents].[Doc ID].&amp;[MPY02272310000575420]" c="MPY02272310000575420"/>
        <s v="[Documents].[Doc ID].&amp;[MPY02272310000575430]" c="MPY02272310000575430"/>
        <s v="[Documents].[Doc ID].&amp;[MPY02272310000575429]" c="MPY02272310000575429"/>
        <s v="[Documents].[Doc ID].&amp;[MPY03032310000563169]" c="MPY03032310000563169"/>
        <s v="[Documents].[Doc ID].&amp;[MPY03202310000586293]" c="MPY03202310000586293"/>
        <s v="[Documents].[Doc ID].&amp;[MPY03202310000586302]" c="MPY03202310000586302"/>
        <s v="[Documents].[Doc ID].&amp;[MPY03202310000586780]" c="MPY03202310000586780"/>
        <s v="[Documents].[Doc ID].&amp;[MPY03202310000586666]" c="MPY03202310000586666"/>
        <s v="[Documents].[Doc ID].&amp;[MPY03202310000586776]" c="MPY03202310000586776"/>
        <s v="[Documents].[Doc ID].&amp;[MPY03202310000586270]" c="MPY03202310000586270"/>
        <s v="[Documents].[Doc ID].&amp;[MPY03202310000586799]" c="MPY03202310000586799"/>
        <s v="[Documents].[Doc ID].&amp;[MPY03072310000542340]" c="MPY03072310000542340"/>
        <s v="[Documents].[Doc ID].&amp;[MPY03292310000589229]" c="MPY03292310000589229"/>
        <s v="[Documents].[Doc ID].&amp;[MPY03292310000591673]" c="MPY03292310000591673"/>
        <s v="[Documents].[Doc ID].&amp;[MPY03312310000589225]" c="MPY03312310000589225"/>
        <s v="[Documents].[Doc ID].&amp;[MPY04042310000593355]" c="MPY04042310000593355"/>
        <s v="[Documents].[Doc ID].&amp;[MPY04042310000592905]" c="MPY04042310000592905"/>
        <s v="[Documents].[Doc ID].&amp;[PCFEB23589106]" c="PCFEB23589106"/>
        <s v="[Documents].[Doc ID].&amp;[MPY04112310000596310]" c="MPY04112310000596310"/>
        <s v="[Documents].[Doc ID].&amp;[MPY04112310000597553]" c="MPY04112310000597553"/>
        <s v="[Documents].[Doc ID].&amp;[MPY04272310000603059]" c="MPY04272310000603059"/>
        <s v="[Documents].[Doc ID].&amp;[MPY04282310000605581]" c="MPY04282310000605581"/>
        <s v="[Documents].[Doc ID].&amp;[MPY04282310000605579]" c="MPY04282310000605579"/>
        <s v="[Documents].[Doc ID].&amp;[MPY04282310000606157]" c="MPY04282310000606157"/>
        <s v="[Documents].[Doc ID].&amp;[MPY04282310000605740]" c="MPY04282310000605740"/>
        <s v="[Documents].[Doc ID].&amp;[MPY04282310000605693]" c="MPY04282310000605693"/>
        <s v="[Documents].[Doc ID].&amp;[MPY04282310000606158]" c="MPY04282310000606158"/>
        <s v="[Documents].[Doc ID].&amp;[MPY05192310000616759]" c="MPY05192310000616759"/>
        <s v="[Documents].[Doc ID].&amp;[MPY05192310000616777]" c="MPY05192310000616777"/>
        <s v="[Documents].[Doc ID].&amp;[MPY05192310000616770]" c="MPY05192310000616770"/>
        <s v="[Documents].[Doc ID].&amp;[MPY05082310000610293]" c="MPY05082310000610293"/>
        <s v="[Documents].[Doc ID].&amp;[MPY05052310000610207]" c="MPY05052310000610207"/>
        <s v="[Documents].[Doc ID].&amp;[MPY05302310000619467]" c="MPY05302310000619467"/>
        <s v="[Documents].[Doc ID].&amp;[MPY05302310000619468]" c="MPY05302310000619468"/>
      </sharedItems>
    </cacheField>
    <cacheField name="[Posting Code].[Financial Category].[Financial Category]" caption="Financial Category" numFmtId="0" hierarchy="148" level="1">
      <sharedItems containsSemiMixedTypes="0" containsString="0"/>
    </cacheField>
    <cacheField name="[Vendor Customer].[Legal Name].[Legal Name]" caption="Legal Name" numFmtId="0" hierarchy="236" level="1">
      <sharedItems count="3">
        <s v="[Vendor Customer].[Legal Name].&amp;[ATLANTIC STAFFING AND PAYROLL SERVICES]" c="ATLANTIC STAFFING AND PAYROLL SERVICES"/>
        <s v="[Vendor Customer].[Legal Name].&amp;[TRI-STATE STAFFING INC]" c="TRI-STATE STAFFING INC"/>
        <s v="[Vendor Customer].[Legal Name].[All].UNKNOWNMEMBER" c="Unknown"/>
      </sharedItems>
    </cacheField>
    <cacheField name="[Measures].[Jrnl Posting Am]" caption="Jrnl Posting Am" numFmtId="0" hierarchy="334" level="32767"/>
    <cacheField name="[Reference Docs].[Ref Doc Id].[Ref Doc Id]" caption="Ref Doc Id" numFmtId="0" hierarchy="179" level="1">
      <sharedItems count="6">
        <s v="[Reference Docs].[Ref Doc Id].&amp;[20210706000000000071]" c="20210706000000000071"/>
        <s v="[Reference Docs].[Ref Doc Id].&amp;[20211004000000002681]" c="20211004000000002681"/>
        <s v="[Reference Docs].[Ref Doc Id].&amp;[20220310000000008332]" c="20220310000000008332"/>
        <s v="[Reference Docs].[Ref Doc Id].&amp;[20220603000000011498]" c="20220603000000011498"/>
        <s v="[Reference Docs].[Ref Doc Id].&amp;[20220908000000002160]" c="20220908000000002160"/>
        <s v="[Reference Docs].[Ref Doc Id].[All].UNKNOWNMEMBER" c="Unknown"/>
      </sharedItems>
    </cacheField>
    <cacheField name="[Reference Docs].[Ref Doc Cd].[Ref Doc Cd]" caption="Ref Doc Cd" numFmtId="0" hierarchy="177" level="1">
      <sharedItems count="2">
        <s v="[Reference Docs].[Ref Doc Cd].&amp;[DO]" c="DO"/>
        <s v="[Reference Docs].[Ref Doc Cd].[All].UNKNOWNMEMBER" c="Unknown"/>
      </sharedItems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2" unbalanced="0">
      <fieldsUsage count="2">
        <fieldUsage x="-1"/>
        <fieldUsage x="11"/>
      </fieldsUsage>
    </cacheHierarchy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4" unbalanced="0">
      <fieldsUsage count="4">
        <fieldUsage x="-1"/>
        <fieldUsage x="3"/>
        <fieldUsage x="4"/>
        <fieldUsage x="5"/>
      </fieldsUsage>
    </cacheHierarchy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0" unbalanced="0"/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0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2" unbalanced="0">
      <fieldsUsage count="2">
        <fieldUsage x="-1"/>
        <fieldUsage x="1"/>
      </fieldsUsage>
    </cacheHierarchy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2" unbalanced="0">
      <fieldsUsage count="2">
        <fieldUsage x="-1"/>
        <fieldUsage x="12"/>
      </fieldsUsage>
    </cacheHierarchy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2" unbalanced="0">
      <fieldsUsage count="2">
        <fieldUsage x="-1"/>
        <fieldUsage x="13"/>
      </fieldsUsage>
    </cacheHierarchy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2" unbalanced="0">
      <fieldsUsage count="2">
        <fieldUsage x="-1"/>
        <fieldUsage x="10"/>
      </fieldsUsage>
    </cacheHierarchy>
    <cacheHierarchy uniqueName="[Object].[Object Class]" caption="Object Class" attribute="1" defaultMemberUniqueName="[Object].[Object Class].[All]" allUniqueName="[Object].[Object Class].[All]" dimensionUniqueName="[Object]" displayFolder="" count="2" unbalanced="0">
      <fieldsUsage count="2">
        <fieldUsage x="-1"/>
        <fieldUsage x="9"/>
      </fieldsUsage>
    </cacheHierarchy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8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0" unbalanced="0"/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14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2" unbalanced="0">
      <fieldsUsage count="2">
        <fieldUsage x="-1"/>
        <fieldUsage x="18"/>
      </fieldsUsage>
    </cacheHierarchy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2" unbalanced="0">
      <fieldsUsage count="2">
        <fieldUsage x="-1"/>
        <fieldUsage x="17"/>
      </fieldsUsage>
    </cacheHierarchy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0" unbalanced="0"/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2" unbalanced="0">
      <fieldsUsage count="2">
        <fieldUsage x="-1"/>
        <fieldUsage x="15"/>
      </fieldsUsage>
    </cacheHierarchy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1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416120254631" backgroundQuery="1" createdVersion="8" refreshedVersion="8" minRefreshableVersion="3" recordCount="0" supportSubquery="1" supportAdvancedDrill="1" xr:uid="{4B1CB1FC-ABCF-44CE-B3FA-83545B5D4ADC}">
  <cacheSource type="external" connectionId="1"/>
  <cacheFields count="19">
    <cacheField name="[Approp].[Approp].[Approp]" caption="Approp" numFmtId="0" hierarchy="10" level="1">
      <sharedItems containsSemiMixedTypes="0" containsString="0"/>
    </cacheField>
    <cacheField name="[Dept].[Dept].[Dept]" caption="Dept" numFmtId="0" hierarchy="51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Acct Period Hierarchy].[Fisc Yr]" caption="Fisc Yr" numFmtId="0" hierarchy="1" level="1">
      <sharedItems containsSemiMixedTypes="0" containsString="0"/>
    </cacheField>
    <cacheField name="[Accounting Period].[Acct Period Hierarchy].[Fisc Qtr]" caption="Fisc Qtr" numFmtId="0" hierarchy="1" level="2">
      <sharedItems containsSemiMixedTypes="0" containsString="0"/>
    </cacheField>
    <cacheField name="[Accounting Period].[Acct Period Hierarchy].[Fisc Period]" caption="Fisc Period" numFmtId="0" hierarchy="1" level="3">
      <sharedItems containsSemiMixedTypes="0" containsString="0"/>
    </cacheField>
    <cacheField name="[Accounting Period].[Acct Period Hierarchy].[Fisc Qtr].[Fisc Yr]" caption="Fisc Yr" propertyName="Fisc Yr" numFmtId="0" hierarchy="1" level="2" memberPropertyField="1">
      <sharedItems containsSemiMixedTypes="0" containsString="0"/>
    </cacheField>
    <cacheField name="[Accounting Period].[Acct Period Hierarchy].[Fisc Period].[Fisc Qtr Hierarchy]" caption="Fisc Qtr Hierarchy" propertyName="Fisc Qtr Hierarchy" numFmtId="0" hierarchy="1" level="3" memberPropertyField="1">
      <sharedItems containsSemiMixedTypes="0" containsString="0"/>
    </cacheField>
    <cacheField name="[Object].[Object Group].[Object Group]" caption="Object Group" numFmtId="0" hierarchy="126" level="1">
      <sharedItems containsSemiMixedTypes="0" containsString="0"/>
    </cacheField>
    <cacheField name="[Object].[Object Class].[Object Class]" caption="Object Class" numFmtId="0" hierarchy="125" level="1">
      <sharedItems containsSemiMixedTypes="0" containsString="0"/>
    </cacheField>
    <cacheField name="[Object].[Object].[Object]" caption="Object" numFmtId="0" hierarchy="124" level="1">
      <sharedItems count="13">
        <s v="[Object].[Object].&amp;[4901]" c="4901"/>
        <s v="[Object].[Object].&amp;[4908]" c="4908"/>
        <s v="[Object].[Object].&amp;[4909]" c="4909"/>
        <s v="[Object].[Object].&amp;[4911]" c="4911"/>
        <s v="[Object].[Object].&amp;[4913]" c="4913"/>
        <s v="[Object].[Object].&amp;[4926]" c="4926"/>
        <s v="[Object].[Object].&amp;[4929]" c="4929"/>
        <s v="[Object].[Object].&amp;[4946]" c="4946"/>
        <s v="[Object].[Object].&amp;[4955]" c="4955"/>
        <s v="[Object].[Object].&amp;[4970]" c="4970"/>
        <s v="[Object].[Object].&amp;[4974]" c="4974"/>
        <s v="[Object].[Object].&amp;[4980]" c="4980"/>
        <s v="[Object].[Object].&amp;[4983]" c="4983"/>
      </sharedItems>
    </cacheField>
    <cacheField name="[Accept Dt].[Accept Dt].[Accept Dt]" caption="Accept Dt" numFmtId="0" level="1">
      <sharedItems count="48">
        <s v="[Accept Dt].[Accept Dt].&amp;[2022-07-12T00:00:00]" c="07/12/2022"/>
        <s v="[Accept Dt].[Accept Dt].&amp;[2022-07-22T00:00:00]" c="07/22/2022"/>
        <s v="[Accept Dt].[Accept Dt].&amp;[2022-07-27T00:00:00]" c="07/27/2022"/>
        <s v="[Accept Dt].[Accept Dt].&amp;[2022-08-09T00:00:00]" c="08/09/2022"/>
        <s v="[Accept Dt].[Accept Dt].&amp;[2022-08-17T00:00:00]" c="08/17/2022"/>
        <s v="[Accept Dt].[Accept Dt].&amp;[2022-08-19T00:00:00]" c="08/19/2022"/>
        <s v="[Accept Dt].[Accept Dt].&amp;[2022-08-23T00:00:00]" c="08/23/2022"/>
        <s v="[Accept Dt].[Accept Dt].&amp;[2022-09-14T00:00:00]" c="09/14/2022"/>
        <s v="[Accept Dt].[Accept Dt].&amp;[2022-09-21T00:00:00]" c="09/21/2022"/>
        <s v="[Accept Dt].[Accept Dt].&amp;[2022-09-22T00:00:00]" c="09/22/2022"/>
        <s v="[Accept Dt].[Accept Dt].&amp;[2022-09-23T00:00:00]" c="09/23/2022"/>
        <s v="[Accept Dt].[Accept Dt].&amp;[2022-10-11T00:00:00]" c="10/11/2022"/>
        <s v="[Accept Dt].[Accept Dt].&amp;[2022-10-14T00:00:00]" c="10/14/2022"/>
        <s v="[Accept Dt].[Accept Dt].&amp;[2022-11-08T00:00:00]" c="11/08/2022"/>
        <s v="[Accept Dt].[Accept Dt].&amp;[2022-11-10T00:00:00]" c="11/10/2022"/>
        <s v="[Accept Dt].[Accept Dt].&amp;[2022-11-15T00:00:00]" c="11/15/2022"/>
        <s v="[Accept Dt].[Accept Dt].&amp;[2022-11-21T00:00:00]" c="11/21/2022"/>
        <s v="[Accept Dt].[Accept Dt].&amp;[2022-11-22T00:00:00]" c="11/22/2022"/>
        <s v="[Accept Dt].[Accept Dt].&amp;[2022-11-30T00:00:00]" c="11/30/2022"/>
        <s v="[Accept Dt].[Accept Dt].&amp;[2022-12-07T00:00:00]" c="12/07/2022"/>
        <s v="[Accept Dt].[Accept Dt].&amp;[2022-12-09T00:00:00]" c="12/09/2022"/>
        <s v="[Accept Dt].[Accept Dt].&amp;[2022-12-12T00:00:00]" c="12/12/2022"/>
        <s v="[Accept Dt].[Accept Dt].&amp;[2022-12-13T00:00:00]" c="12/13/2022"/>
        <s v="[Accept Dt].[Accept Dt].&amp;[2022-12-28T00:00:00]" c="12/28/2022"/>
        <s v="[Accept Dt].[Accept Dt].&amp;[2022-12-31T00:00:00]" c="12/31/2022"/>
        <s v="[Accept Dt].[Accept Dt].&amp;[2023-01-03T00:00:00]" c="01/03/2023"/>
        <s v="[Accept Dt].[Accept Dt].&amp;[2023-01-04T00:00:00]" c="01/04/2023"/>
        <s v="[Accept Dt].[Accept Dt].&amp;[2023-01-19T00:00:00]" c="01/19/2023"/>
        <s v="[Accept Dt].[Accept Dt].&amp;[2023-02-02T00:00:00]" c="02/02/2023"/>
        <s v="[Accept Dt].[Accept Dt].&amp;[2023-02-03T00:00:00]" c="02/03/2023"/>
        <s v="[Accept Dt].[Accept Dt].&amp;[2023-02-06T00:00:00]" c="02/06/2023"/>
        <s v="[Accept Dt].[Accept Dt].&amp;[2023-02-07T00:00:00]" c="02/07/2023"/>
        <s v="[Accept Dt].[Accept Dt].&amp;[2023-02-15T00:00:00]" c="02/15/2023"/>
        <s v="[Accept Dt].[Accept Dt].&amp;[2023-02-28T00:00:00]" c="02/28/2023"/>
        <s v="[Accept Dt].[Accept Dt].&amp;[2023-03-01T00:00:00]" c="03/01/2023"/>
        <s v="[Accept Dt].[Accept Dt].&amp;[2023-03-06T00:00:00]" c="03/06/2023"/>
        <s v="[Accept Dt].[Accept Dt].&amp;[2023-03-07T00:00:00]" c="03/07/2023"/>
        <s v="[Accept Dt].[Accept Dt].&amp;[2023-03-08T00:00:00]" c="03/08/2023"/>
        <s v="[Accept Dt].[Accept Dt].&amp;[2023-03-09T00:00:00]" c="03/09/2023"/>
        <s v="[Accept Dt].[Accept Dt].&amp;[2023-03-22T00:00:00]" c="03/22/2023"/>
        <s v="[Accept Dt].[Accept Dt].&amp;[2023-03-23T00:00:00]" c="03/23/2023"/>
        <s v="[Accept Dt].[Accept Dt].&amp;[2023-03-29T00:00:00]" c="03/29/2023"/>
        <s v="[Accept Dt].[Accept Dt].&amp;[2023-04-05T00:00:00]" c="04/05/2023"/>
        <s v="[Accept Dt].[Accept Dt].&amp;[2023-04-10T00:00:00]" c="04/10/2023"/>
        <s v="[Accept Dt].[Accept Dt].&amp;[2023-04-28T00:00:00]" c="04/28/2023"/>
        <s v="[Accept Dt].[Accept Dt].&amp;[2023-05-01T00:00:00]" c="05/01/2023"/>
        <s v="[Accept Dt].[Accept Dt].&amp;[2023-05-17T00:00:00]" c="05/17/2023"/>
        <s v="[Accept Dt].[Accept Dt].&amp;[2023-05-22T00:00:00]" c="05/22/2023"/>
      </sharedItems>
    </cacheField>
    <cacheField name="[Documents].[Doc Cd].[Doc Cd]" caption="Doc Cd" numFmtId="0" hierarchy="68" level="1">
      <sharedItems count="8">
        <s v="[Documents].[Doc Cd].&amp;[CRCC]" c="CRCC"/>
        <s v="[Documents].[Doc Cd].&amp;[GAX]" c="GAX"/>
        <s v="[Documents].[Doc Cd].&amp;[IET]" c="IET"/>
        <s v="[Documents].[Doc Cd].&amp;[IETM]" c="IETM"/>
        <s v="[Documents].[Doc Cd].&amp;[PRC]" c="PRC"/>
        <s v="[Documents].[Doc Cd].&amp;[CA]" u="1" c="CA"/>
        <s v="[Documents].[Doc Cd].&amp;[CR]" u="1" c="CR"/>
        <s v="[Documents].[Doc Cd].&amp;[RE]" u="1" c="RE"/>
      </sharedItems>
    </cacheField>
    <cacheField name="[Documents].[Doc ID].[Doc ID]" caption="Doc ID" numFmtId="0" hierarchy="74" level="1">
      <sharedItems count="68">
        <s v="[Documents].[Doc ID].&amp;[22071200797]" c="22071200797"/>
        <s v="[Documents].[Doc ID].&amp;[22071200798]" c="22071200798"/>
        <s v="[Documents].[Doc ID].&amp;[MPJ07272200000000285]" c="MPJ07272200000000285"/>
        <s v="[Documents].[Doc ID].&amp;[MPJ08092200000000714]" c="MPJ08092200000000714"/>
        <s v="[Documents].[Doc ID].&amp;[MPJ08172200000001123]" c="MPJ08172200000001123"/>
        <s v="[Documents].[Doc ID].&amp;[MPY08182210000484606]" c="MPY08182210000484606"/>
        <s v="[Documents].[Doc ID].&amp;[MPJ08232200000001539]" c="MPJ08232200000001539"/>
        <s v="[Documents].[Doc ID].&amp;[SOSMAY22490109]" c="SOSMAY22490109"/>
        <s v="[Documents].[Doc ID].&amp;[MPJ09142200000001979]" c="MPJ09142200000001979"/>
        <s v="[Documents].[Doc ID].&amp;[22092008888]" c="22092008888"/>
        <s v="[Documents].[Doc ID].&amp;[22092008885]" c="22092008885"/>
        <s v="[Documents].[Doc ID].&amp;[PCJUL22501062]" c="PCJUL22501062"/>
        <s v="[Documents].[Doc ID].&amp;[MPJ09232200000002403]" c="MPJ09232200000002403"/>
        <s v="[Documents].[Doc ID].&amp;[MPJ10112200000002805]" c="MPJ10112200000002805"/>
        <s v="[Documents].[Doc ID].&amp;[22101411455]" c="22101411455"/>
        <s v="[Documents].[Doc ID].&amp;[MPY10132210000511811]" c="MPY10132210000511811"/>
        <s v="[Documents].[Doc ID].&amp;[22110814031]" c="22110814031"/>
        <s v="[Documents].[Doc ID].&amp;[MPY11092210000526704]" c="MPY11092210000526704"/>
        <s v="[Documents].[Doc ID].&amp;[MPY11092210000526701]" c="MPY11092210000526701"/>
        <s v="[Documents].[Doc ID].&amp;[MPY11092210000526696]" c="MPY11092210000526696"/>
        <s v="[Documents].[Doc ID].&amp;[MPY11142210000531482]" c="MPY11142210000531482"/>
        <s v="[Documents].[Doc ID].&amp;[MPY11202210000533070]" c="MPY11202210000533070"/>
        <s v="[Documents].[Doc ID].&amp;[PCOCT22533177]" c="PCOCT22533177"/>
        <s v="[Documents].[Doc ID].&amp;[PCSEP22533174]" c="PCSEP22533174"/>
        <s v="[Documents].[Doc ID].&amp;[MPJ11302200000003180]" c="MPJ11302200000003180"/>
        <s v="[Documents].[Doc ID].&amp;[MPY12062210000542856]" c="MPY12062210000542856"/>
        <s v="[Documents].[Doc ID].&amp;[MPY12082210000542853]" c="MPY12082210000542853"/>
        <s v="[Documents].[Doc ID].&amp;[MPY12082210000542855]" c="MPY12082210000542855"/>
        <s v="[Documents].[Doc ID].&amp;[MPY12082210000542849]" c="MPY12082210000542849"/>
        <s v="[Documents].[Doc ID].&amp;[MPY12092210000542850]" c="MPY12092210000542850"/>
        <s v="[Documents].[Doc ID].&amp;[22121317226]" c="22121317226"/>
        <s v="[Documents].[Doc ID].&amp;[MPJ12282200000003594]" c="MPJ12282200000003594"/>
        <s v="[Documents].[Doc ID].&amp;[MPJ12302200000003987]" c="MPJ12302200000003987"/>
        <s v="[Documents].[Doc ID].&amp;[MPJ01032300000004376]" c="MPJ01032300000004376"/>
        <s v="[Documents].[Doc ID].&amp;[MPJ01042300000004796]" c="MPJ01042300000004796"/>
        <s v="[Documents].[Doc ID].&amp;[PCOCT22555789]" c="PCOCT22555789"/>
        <s v="[Documents].[Doc ID].&amp;[MPY02012310000564042]" c="MPY02012310000564042"/>
        <s v="[Documents].[Doc ID].&amp;[MPY02012310000564029]" c="MPY02012310000564029"/>
        <s v="[Documents].[Doc ID].&amp;[MPY02012310000564043]" c="MPY02012310000564043"/>
        <s v="[Documents].[Doc ID].&amp;[MPY01312310000563372]" c="MPY01312310000563372"/>
        <s v="[Documents].[Doc ID].&amp;[MPJ02062300000005172]" c="MPJ02062300000005172"/>
        <s v="[Documents].[Doc ID].&amp;[MPY02032310000564008]" c="MPY02032310000564008"/>
        <s v="[Documents].[Doc ID].&amp;[PCDEC22563160]" c="PCDEC22563160"/>
        <s v="[Documents].[Doc ID].&amp;[PCJAN23570706]" c="PCJAN23570706"/>
        <s v="[Documents].[Doc ID].&amp;[PCJAN23575424]" c="PCJAN23575424"/>
        <s v="[Documents].[Doc ID].&amp;[23022823819]" c="23022823819"/>
        <s v="[Documents].[Doc ID].&amp;[MPJ03062300000005547]" c="MPJ03062300000005547"/>
        <s v="[Documents].[Doc ID].&amp;[MPJ03072300000005924]" c="MPJ03072300000005924"/>
        <s v="[Documents].[Doc ID].&amp;[MPJ03082300000006341]" c="MPJ03082300000006341"/>
        <s v="[Documents].[Doc ID].&amp;[MPJ03092300000006747]" c="MPJ03092300000006747"/>
        <s v="[Documents].[Doc ID].&amp;[MPY03212310000587394]" c="MPY03212310000587394"/>
        <s v="[Documents].[Doc ID].&amp;[23032225903]" c="23032225903"/>
        <s v="[Documents].[Doc ID].&amp;[MPY03222310000586801]" c="MPY03222310000586801"/>
        <s v="[Documents].[Doc ID].&amp;[MPY03282310000587176]" c="MPY03282310000587176"/>
        <s v="[Documents].[Doc ID].&amp;[MPY03282310000587393]" c="MPY03282310000587393"/>
        <s v="[Documents].[Doc ID].&amp;[MPJ04052300000007196]" c="MPJ04052300000007196"/>
        <s v="[Documents].[Doc ID].&amp;[PCFEB23594512]" c="PCFEB23594512"/>
        <s v="[Documents].[Doc ID].&amp;[MPY04272310000602786]" c="MPY04272310000602786"/>
        <s v="[Documents].[Doc ID].&amp;[MPY04272310000602761]" c="MPY04272310000602761"/>
        <s v="[Documents].[Doc ID].&amp;[MPY04272310000602765]" c="MPY04272310000602765"/>
        <s v="[Documents].[Doc ID].&amp;[MPY04272310000602793]" c="MPY04272310000602793"/>
        <s v="[Documents].[Doc ID].&amp;[MPY04282310000605738]" c="MPY04282310000605738"/>
        <s v="[Documents].[Doc ID].&amp;[MPY04282310000605691]" c="MPY04282310000605691"/>
        <s v="[Documents].[Doc ID].&amp;[PCMAR23605735]" c="PCMAR23605735"/>
        <s v="[Documents].[Doc ID].&amp;[23041328093]" c="23041328093"/>
        <s v="[Documents].[Doc ID].&amp;[23051731896]" c="23051731896"/>
        <s v="[Documents].[Doc ID].&amp;[23041828367]" c="23041828367"/>
        <s v="[Documents].[Doc ID].&amp;[MPY05192310000614378]" c="MPY05192310000614378"/>
      </sharedItems>
    </cacheField>
    <cacheField name="[Posting Code].[Financial Category].[Financial Category]" caption="Financial Category" numFmtId="0" hierarchy="148" level="1">
      <sharedItems containsSemiMixedTypes="0" containsString="0"/>
    </cacheField>
    <cacheField name="[Vendor Customer].[Legal Name].[Legal Name]" caption="Legal Name" numFmtId="0" hierarchy="236" level="1">
      <sharedItems count="10">
        <s v="[Vendor Customer].[Legal Name].&amp;[CURTIS BOHLEN]" c="CURTIS BOHLEN"/>
        <s v="[Vendor Customer].[Legal Name].&amp;[DAVID CHARLES ADAMS]" c="DAVID CHARLES ADAMS"/>
        <s v="[Vendor Customer].[Legal Name].&amp;[DOMINIC J LAJOIE]" c="DOMINIC J LAJOIE"/>
        <s v="[Vendor Customer].[Legal Name].&amp;[FEDEX GROUND PACKAGE SYSTEM INC]" c="FEDEX GROUND PACKAGE SYSTEM INC"/>
        <s v="[Vendor Customer].[Legal Name].&amp;[HEIDI NELSON]" c="HEIDI NELSON"/>
        <s v="[Vendor Customer].[Legal Name].&amp;[JOHN M JEMISON JR]" c="JOHN M JEMISON JR"/>
        <s v="[Vendor Customer].[Legal Name].&amp;[KEITH R BROWN]" c="KEITH R BROWN"/>
        <s v="[Vendor Customer].[Legal Name].&amp;[ROBERT CARLTON]" c="ROBERT CARLTON"/>
        <s v="[Vendor Customer].[Legal Name].&amp;[TRADEBE ENVIRONMENTAL SERVICES, LLC]" c="TRADEBE ENVIRONMENTAL SERVICES, LLC"/>
        <s v="[Vendor Customer].[Legal Name].[All].UNKNOWNMEMBER" c="Unknown"/>
      </sharedItems>
    </cacheField>
    <cacheField name="[Measures].[Jrnl Posting Am]" caption="Jrnl Posting Am" numFmtId="0" hierarchy="334" level="32767"/>
    <cacheField name="[Reference Docs].[Ref Doc Id].[Ref Doc Id]" caption="Ref Doc Id" numFmtId="0" hierarchy="179" level="1">
      <sharedItems count="2">
        <s v="[Reference Docs].[Ref Doc Id].&amp;[20210921000000000761]" c="20210921000000000761"/>
        <s v="[Reference Docs].[Ref Doc Id].[All].UNKNOWNMEMBER" c="Unknown"/>
      </sharedItems>
    </cacheField>
    <cacheField name="[Reference Docs].[Ref Doc Cd].[Ref Doc Cd]" caption="Ref Doc Cd" numFmtId="0" hierarchy="177" level="1">
      <sharedItems count="2">
        <s v="[Reference Docs].[Ref Doc Cd].&amp;[CT]" c="CT"/>
        <s v="[Reference Docs].[Ref Doc Cd].[All].UNKNOWNMEMBER" c="Unknown"/>
      </sharedItems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2" unbalanced="0">
      <fieldsUsage count="2">
        <fieldUsage x="-1"/>
        <fieldUsage x="11"/>
      </fieldsUsage>
    </cacheHierarchy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4" unbalanced="0">
      <fieldsUsage count="4">
        <fieldUsage x="-1"/>
        <fieldUsage x="3"/>
        <fieldUsage x="4"/>
        <fieldUsage x="5"/>
      </fieldsUsage>
    </cacheHierarchy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0" unbalanced="0"/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0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2" unbalanced="0">
      <fieldsUsage count="2">
        <fieldUsage x="-1"/>
        <fieldUsage x="1"/>
      </fieldsUsage>
    </cacheHierarchy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2" unbalanced="0">
      <fieldsUsage count="2">
        <fieldUsage x="-1"/>
        <fieldUsage x="12"/>
      </fieldsUsage>
    </cacheHierarchy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2" unbalanced="0">
      <fieldsUsage count="2">
        <fieldUsage x="-1"/>
        <fieldUsage x="13"/>
      </fieldsUsage>
    </cacheHierarchy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2" unbalanced="0">
      <fieldsUsage count="2">
        <fieldUsage x="-1"/>
        <fieldUsage x="10"/>
      </fieldsUsage>
    </cacheHierarchy>
    <cacheHierarchy uniqueName="[Object].[Object Class]" caption="Object Class" attribute="1" defaultMemberUniqueName="[Object].[Object Class].[All]" allUniqueName="[Object].[Object Class].[All]" dimensionUniqueName="[Object]" displayFolder="" count="2" unbalanced="0">
      <fieldsUsage count="2">
        <fieldUsage x="-1"/>
        <fieldUsage x="9"/>
      </fieldsUsage>
    </cacheHierarchy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8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0" unbalanced="0"/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14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2" unbalanced="0">
      <fieldsUsage count="2">
        <fieldUsage x="-1"/>
        <fieldUsage x="18"/>
      </fieldsUsage>
    </cacheHierarchy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2" unbalanced="0">
      <fieldsUsage count="2">
        <fieldUsage x="-1"/>
        <fieldUsage x="17"/>
      </fieldsUsage>
    </cacheHierarchy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0" unbalanced="0"/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2" unbalanced="0">
      <fieldsUsage count="2">
        <fieldUsage x="-1"/>
        <fieldUsage x="15"/>
      </fieldsUsage>
    </cacheHierarchy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1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033796297" backgroundQuery="1" createdVersion="4" refreshedVersion="8" minRefreshableVersion="3" recordCount="0" supportSubquery="1" supportAdvancedDrill="1" xr:uid="{F7D29107-316F-4FCB-9742-4F996E687D3D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1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20]" c="2020"/>
        <s v="[Accounting Period].[Fisc Yr].&amp;[2022]" c="2022"/>
      </sharedItems>
    </cacheField>
    <cacheField name="[Revenue].[Rev Src].[Rev Src]" caption="Rev Src" numFmtId="0" hierarchy="196" level="1">
      <sharedItems count="8">
        <s v="[Revenue].[Rev Src].&amp;[2686]" c="2686"/>
        <s v="[Revenue].[Rev Src].&amp;[2934]" c="2934"/>
        <s v="[Revenue].[Rev Src].&amp;[2952]" c="2952"/>
        <s v="[Revenue].[Rev Src].&amp;[2953]" c="2953"/>
        <s v="[Revenue].[Rev Src].&amp;[2964]" c="2964"/>
        <s v="[Revenue].[Rev Src].&amp;[2968]" c="2968"/>
        <s v="[Revenue].[Rev Src].&amp;[2978]" c="2978"/>
        <s v="[Revenue].[Rev Src].&amp;[2981]" c="2981"/>
      </sharedItems>
    </cacheField>
    <cacheField name="[Revenue].[Rev Src Nm].[Rev Src Nm]" caption="Rev Src Nm" numFmtId="0" hierarchy="201" level="1">
      <sharedItems count="8">
        <s v="[Revenue].[Rev Src Nm].&amp;[ADJ OF ALL OTHER BALANCE FWD]" c="ADJ OF ALL OTHER BALANCE FWD"/>
        <s v="[Revenue].[Rev Src Nm].&amp;[ADJ TO PRIOR YEAR BAL/UNALLOCT]" c="ADJ TO PRIOR YEAR BAL/UNALLOCT"/>
        <s v="[Revenue].[Rev Src Nm].&amp;[DICAP TRANSFER]" c="DICAP TRANSFER"/>
        <s v="[Revenue].[Rev Src Nm].&amp;[LEGIS TRANSFER OF REVENUE]" c="LEGIS TRANSFER OF REVENUE"/>
        <s v="[Revenue].[Rev Src Nm].&amp;[MISC-INCOME]" c="MISC-INCOME"/>
        <s v="[Revenue].[Rev Src Nm].&amp;[REG TRANSFER ALL OTHER]" c="REG TRANSFER ALL OTHER"/>
        <s v="[Revenue].[Rev Src Nm].&amp;[REG TRANSFER UNALLOCATED]" c="REG TRANSFER UNALLOCATED"/>
        <s v="[Revenue].[Rev Src Nm].&amp;[TRANS FROM GENERAL FD SURPLUS]" c="TRANS FROM GENERAL FD SURPLU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056249997" backgroundQuery="1" createdVersion="4" refreshedVersion="8" minRefreshableVersion="3" recordCount="0" supportSubquery="1" supportAdvancedDrill="1" xr:uid="{00000000-000A-0000-FFFF-FFFFFA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20">
        <s v="[Object].[Object Group].&amp;[32]" c="32"/>
        <s v="[Object].[Object Group].&amp;[33]" c="33"/>
        <s v="[Object].[Object Group].&amp;[36]" c="36"/>
        <s v="[Object].[Object Group].&amp;[38]" c="38"/>
        <s v="[Object].[Object Group].&amp;[39]" c="39"/>
        <s v="[Object].[Object Group].&amp;[40]" c="40"/>
        <s v="[Object].[Object Group].&amp;[42]" c="42"/>
        <s v="[Object].[Object Group].&amp;[43]" c="43"/>
        <s v="[Object].[Object Group].&amp;[46]" c="46"/>
        <s v="[Object].[Object Group].&amp;[48]" c="48"/>
        <s v="[Object].[Object Group].&amp;[49]" c="49"/>
        <s v="[Object].[Object Group].&amp;[50]" c="50"/>
        <s v="[Object].[Object Group].&amp;[51]" c="51"/>
        <s v="[Object].[Object Group].&amp;[53]" c="53"/>
        <s v="[Object].[Object Group].&amp;[55]" c="55"/>
        <s v="[Object].[Object Group].&amp;[56]" c="56"/>
        <s v="[Object].[Object Group].&amp;[64]" c="64"/>
        <s v="[Object].[Object Group].&amp;[82]" c="82"/>
        <s v="[Object].[Object Group].&amp;[85]" c="85"/>
        <s v="[Object].[Object Group].&amp;[90]" c="90"/>
      </sharedItems>
    </cacheField>
    <cacheField name="[Object].[Obj Group Nm].[Obj Group Nm]" caption="Obj Group Nm" numFmtId="0" hierarchy="123" level="1">
      <sharedItems count="17">
        <s v="[Object].[Obj Group Nm].&amp;[ADMINISTRATIVE CHARGES AND FEE]" c="ADMINISTRATIVE CHARGES AND FEE"/>
        <s v="[Object].[Obj Group Nm].&amp;[CHARGES TO ASSETS AND LIAB.]" c="CHARGES TO ASSETS AND LIAB."/>
        <s v="[Object].[Obj Group Nm].&amp;[COMMODITIES - FOOD]" c="COMMODITIES - FOOD"/>
        <s v="[Object].[Obj Group Nm].&amp;[EMPLOYEE TRAINING]" c="EMPLOYEE TRAINING"/>
        <s v="[Object].[Obj Group Nm].&amp;[EQUIPMENT AND TECHNOLOGY]" c="EQUIPMENT AND TECHNOLOGY"/>
        <s v="[Object].[Obj Group Nm].&amp;[FRINGE BENEFITS]" c="FRINGE BENEFITS"/>
        <s v="[Object].[Obj Group Nm].&amp;[GENERAL OPERATIONS]" c="GENERAL OPERATIONS"/>
        <s v="[Object].[Obj Group Nm].&amp;[GRANTS TO PUB AND PRIV ORGNS]" c="GRANTS TO PUB AND PRIV ORGNS"/>
        <s v="[Object].[Obj Group Nm].&amp;[INSURANCE]" c="INSURANCE"/>
        <s v="[Object].[Obj Group Nm].&amp;[OFFICE &amp; OTHER SUPPLIES]" c="OFFICE &amp; OTHER SUPPLIES"/>
        <s v="[Object].[Obj Group Nm].&amp;[PROF. SERVICES, NOT BY STATE]" c="PROF. SERVICES, NOT BY STATE"/>
        <s v="[Object].[Obj Group Nm].&amp;[RENTS]" c="RENTS"/>
        <s v="[Object].[Obj Group Nm].&amp;[SALARIES AND WAGES]" c="SALARIES AND WAGES"/>
        <s v="[Object].[Obj Group Nm].&amp;[TECHNOLOGY]" c="TECHNOLOGY"/>
        <s v="[Object].[Obj Group Nm].&amp;[TRANSFERS]" c="TRANSFERS"/>
        <s v="[Object].[Obj Group Nm].&amp;[TRAVEL EXPENSES, IN STATE]" c="TRAVEL EXPENSES, IN STATE"/>
        <s v="[Object].[Obj Group Nm].&amp;[TRAVEL EXPENSES, OUT OF STATE]" c="TRAVEL EXPENSES, OUT OF STATE"/>
      </sharedItems>
    </cacheField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  <cacheField name="[Accounting Period].[Fisc Yr].[Fisc Yr]" caption="Fisc Yr" numFmtId="0" hierarchy="7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7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8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5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4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6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0" unbalanced="0"/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3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078703704" backgroundQuery="1" createdVersion="4" refreshedVersion="8" minRefreshableVersion="3" recordCount="0" supportSubquery="1" supportAdvancedDrill="1" xr:uid="{00000000-000A-0000-FFFF-FFFFF7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ntainsSemiMixedTypes="0" containsString="0"/>
    </cacheField>
    <cacheField name="[Revenue].[Rev Src].[Rev Src]" caption="Rev Src" numFmtId="0" hierarchy="196" level="1">
      <sharedItems count="7">
        <s v="[Revenue].[Rev Src].&amp;[1407]" c="1407"/>
        <s v="[Revenue].[Rev Src].&amp;[1448]" c="1448"/>
        <s v="[Revenue].[Rev Src].&amp;[2690]" c="2690"/>
        <s v="[Revenue].[Rev Src].&amp;[2953]" c="2953"/>
        <s v="[Revenue].[Rev Src].&amp;[2968]" c="2968"/>
        <s v="[Revenue].[Rev Src].&amp;[2978]" c="2978"/>
        <s v="[Revenue].[Rev Src].&amp;[2981]" c="2981"/>
      </sharedItems>
    </cacheField>
    <cacheField name="[Revenue].[Rev Src Nm].[Rev Src Nm]" caption="Rev Src Nm" numFmtId="0" hierarchy="201" level="1">
      <sharedItems count="7">
        <s v="[Revenue].[Rev Src Nm].&amp;[ADJ OF ALL OTHER BALANCE FWD]" c="ADJ OF ALL OTHER BALANCE FWD"/>
        <s v="[Revenue].[Rev Src Nm].&amp;[DICAP TRANSFER]" c="DICAP TRANSFER"/>
        <s v="[Revenue].[Rev Src Nm].&amp;[LEGIS TRANSFER OF REVENUE]" c="LEGIS TRANSFER OF REVENUE"/>
        <s v="[Revenue].[Rev Src Nm].&amp;[RECOVERED COST]" c="RECOVERED COST"/>
        <s v="[Revenue].[Rev Src Nm].&amp;[REG INSECT &amp; FUNGICIDES]" c="REG INSECT &amp; FUNGICIDES"/>
        <s v="[Revenue].[Rev Src Nm].&amp;[REG TRANSFER UNALLOCATED]" c="REG TRANSFER UNALLOCATED"/>
        <s v="[Revenue].[Rev Src Nm].&amp;[SPECIAL LICENSES &amp; LEASES]" c="SPECIAL LICENSES &amp; LEASE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Accounting Period].[Fisc Period].[Fisc Period]" caption="Fisc Period" numFmtId="0" hierarchy="5" level="1">
      <sharedItems count="11">
        <s v="[Accounting Period].[Fisc Period].&amp;[1]" c="1"/>
        <s v="[Accounting Period].[Fisc Period].&amp;[2]" c="2"/>
        <s v="[Accounting Period].[Fisc Period].&amp;[3]" c="3"/>
        <s v="[Accounting Period].[Fisc Period].&amp;[4]" c="4"/>
        <s v="[Accounting Period].[Fisc Period].&amp;[5]" c="5"/>
        <s v="[Accounting Period].[Fisc Period].&amp;[6]" c="6"/>
        <s v="[Accounting Period].[Fisc Period].&amp;[7]" c="7"/>
        <s v="[Accounting Period].[Fisc Period].&amp;[8]" c="8"/>
        <s v="[Accounting Period].[Fisc Period].&amp;[9]" c="9"/>
        <s v="[Accounting Period].[Fisc Period].&amp;[10]" c="10"/>
        <s v="[Accounting Period].[Fisc Period].&amp;[11]" c="11"/>
      </sharedItems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2" unbalanced="0">
      <fieldsUsage count="2">
        <fieldUsage x="-1"/>
        <fieldUsage x="8"/>
      </fieldsUsage>
    </cacheHierarchy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0" unbalanced="0"/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108217593" backgroundQuery="1" createdVersion="4" refreshedVersion="8" minRefreshableVersion="3" recordCount="0" supportSubquery="1" supportAdvancedDrill="1" xr:uid="{00000000-000A-0000-FFFF-FFFFD3040000}">
  <cacheSource type="external" connectionId="1"/>
  <cacheFields count="8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Revenue].[Rev Src].[Rev Src]" caption="Rev Src" numFmtId="0" hierarchy="196" level="1">
      <sharedItems count="23">
        <s v="[Revenue].[Rev Src].&amp;[1407]" c="1407"/>
        <s v="[Revenue].[Rev Src].&amp;[1448]" c="1448"/>
        <s v="[Revenue].[Rev Src].&amp;[1959]" c="1959"/>
        <s v="[Revenue].[Rev Src].&amp;[2206]" c="2206"/>
        <s v="[Revenue].[Rev Src].&amp;[2226]" c="2226"/>
        <s v="[Revenue].[Rev Src].&amp;[2631]" c="2631"/>
        <s v="[Revenue].[Rev Src].&amp;[2637]" c="2637"/>
        <s v="[Revenue].[Rev Src].&amp;[2651]" c="2651"/>
        <s v="[Revenue].[Rev Src].&amp;[2669]" c="2669"/>
        <s v="[Revenue].[Rev Src].&amp;[2671]" c="2671"/>
        <s v="[Revenue].[Rev Src].&amp;[2681]" c="2681"/>
        <s v="[Revenue].[Rev Src].&amp;[2686]" c="2686"/>
        <s v="[Revenue].[Rev Src].&amp;[2689]" c="2689"/>
        <s v="[Revenue].[Rev Src].&amp;[2690]" c="2690"/>
        <s v="[Revenue].[Rev Src].&amp;[2934]" c="2934"/>
        <s v="[Revenue].[Rev Src].&amp;[2952]" c="2952"/>
        <s v="[Revenue].[Rev Src].&amp;[2953]" c="2953"/>
        <s v="[Revenue].[Rev Src].&amp;[2955]" c="2955"/>
        <s v="[Revenue].[Rev Src].&amp;[2964]" c="2964"/>
        <s v="[Revenue].[Rev Src].&amp;[2968]" c="2968"/>
        <s v="[Revenue].[Rev Src].&amp;[2978]" c="2978"/>
        <s v="[Revenue].[Rev Src].&amp;[2979]" c="2979"/>
        <s v="[Revenue].[Rev Src].&amp;[2981]" c="2981"/>
      </sharedItems>
    </cacheField>
    <cacheField name="[Revenue].[Rev Src Nm].[Rev Src Nm]" caption="Rev Src Nm" numFmtId="0" hierarchy="201" level="1">
      <sharedItems count="23">
        <s v="[Revenue].[Rev Src Nm].&amp;[ADJ OF ALL OTHER BALANCE FWD]" c="ADJ OF ALL OTHER BALANCE FWD"/>
        <s v="[Revenue].[Rev Src Nm].&amp;[ADJ OF PERS SERV BALANCE FWD]" c="ADJ OF PERS SERV BALANCE FWD"/>
        <s v="[Revenue].[Rev Src Nm].&amp;[ADJ TO PRIOR YEAR BAL/UNALLOCT]" c="ADJ TO PRIOR YEAR BAL/UNALLOCT"/>
        <s v="[Revenue].[Rev Src Nm].&amp;[CASH OVER SHORT FOREIGN EX]" c="CASH OVER SHORT FOREIGN EX"/>
        <s v="[Revenue].[Rev Src Nm].&amp;[DICAP TRANSFER]" c="DICAP TRANSFER"/>
        <s v="[Revenue].[Rev Src Nm].&amp;[FED GRANTS FOR OTHER PURP]" c="FED GRANTS FOR OTHER PURP"/>
        <s v="[Revenue].[Rev Src Nm].&amp;[FED GRANTS FOR PUB HEALTH]" c="FED GRANTS FOR PUB HEALTH"/>
        <s v="[Revenue].[Rev Src Nm].&amp;[LEGIS TRANSFER OF REVENUE]" c="LEGIS TRANSFER OF REVENUE"/>
        <s v="[Revenue].[Rev Src Nm].&amp;[MISC SERVICES &amp; FEES]" c="MISC SERVICES &amp; FEES"/>
        <s v="[Revenue].[Rev Src Nm].&amp;[MISC-INCOME]" c="MISC-INCOME"/>
        <s v="[Revenue].[Rev Src Nm].&amp;[OVERPAYMENTS TO BE REFUNDED]" c="OVERPAYMENTS TO BE REFUNDED"/>
        <s v="[Revenue].[Rev Src Nm].&amp;[RECOVERED COST]" c="RECOVERED COST"/>
        <s v="[Revenue].[Rev Src Nm].&amp;[REG INSECT &amp; FUNGICIDES]" c="REG INSECT &amp; FUNGICIDES"/>
        <s v="[Revenue].[Rev Src Nm].&amp;[REG TRANSFER ALL OTHER]" c="REG TRANSFER ALL OTHER"/>
        <s v="[Revenue].[Rev Src Nm].&amp;[REG TRANSFER UNALLOCATED]" c="REG TRANSFER UNALLOCATED"/>
        <s v="[Revenue].[Rev Src Nm].&amp;[REGISTRATION FEE]" c="REGISTRATION FEE"/>
        <s v="[Revenue].[Rev Src Nm].&amp;[REGISTRATION FEES]" c="REGISTRATION FEES"/>
        <s v="[Revenue].[Rev Src Nm].&amp;[SALE LABELS CARTONS]" c="SALE LABELS CARTONS"/>
        <s v="[Revenue].[Rev Src Nm].&amp;[SALE MAILING LISTS]" c="SALE MAILING LISTS"/>
        <s v="[Revenue].[Rev Src Nm].&amp;[SALE OF PROMOTIONAL ITEMS]" c="SALE OF PROMOTIONAL ITEMS"/>
        <s v="[Revenue].[Rev Src Nm].&amp;[SPECIAL LICENSES &amp; LEASES]" c="SPECIAL LICENSES &amp; LEASES"/>
        <s v="[Revenue].[Rev Src Nm].&amp;[TRANS FROM GENERAL FD SURPLUS]" c="TRANS FROM GENERAL FD SURPLUS"/>
        <s v="[Revenue].[Rev Src Nm].&amp;[TRANSFER FOR INDIRECT COST]" c="TRANSFER FOR INDIRECT COST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0" unbalanced="0"/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142824077" backgroundQuery="1" createdVersion="4" refreshedVersion="8" minRefreshableVersion="3" recordCount="0" supportSubquery="1" supportAdvancedDrill="1" xr:uid="{00000000-000A-0000-FFFF-FFFFD6040000}">
  <cacheSource type="external" connectionId="1"/>
  <cacheFields count="8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Measures].[Jrnl Posting Am]" caption="Jrnl Posting Am" numFmtId="0" hierarchy="334" level="32767"/>
    <cacheField name="[Object].[Object Group].[Object Group]" caption="Object Group" numFmtId="0" hierarchy="126" level="1">
      <sharedItems count="29">
        <s v="[Object].[Object Group].&amp;[31]" c="31"/>
        <s v="[Object].[Object Group].&amp;[32]" c="32"/>
        <s v="[Object].[Object Group].&amp;[33]" c="33"/>
        <s v="[Object].[Object Group].&amp;[34]" c="34"/>
        <s v="[Object].[Object Group].&amp;[36]" c="36"/>
        <s v="[Object].[Object Group].&amp;[38]" c="38"/>
        <s v="[Object].[Object Group].&amp;[39]" c="39"/>
        <s v="[Object].[Object Group].&amp;[40]" c="40"/>
        <s v="[Object].[Object Group].&amp;[41]" c="41"/>
        <s v="[Object].[Object Group].&amp;[42]" c="42"/>
        <s v="[Object].[Object Group].&amp;[43]" c="43"/>
        <s v="[Object].[Object Group].&amp;[44]" c="44"/>
        <s v="[Object].[Object Group].&amp;[45]" c="45"/>
        <s v="[Object].[Object Group].&amp;[46]" c="46"/>
        <s v="[Object].[Object Group].&amp;[47]" c="47"/>
        <s v="[Object].[Object Group].&amp;[48]" c="48"/>
        <s v="[Object].[Object Group].&amp;[49]" c="49"/>
        <s v="[Object].[Object Group].&amp;[50]" c="50"/>
        <s v="[Object].[Object Group].&amp;[51]" c="51"/>
        <s v="[Object].[Object Group].&amp;[53]" c="53"/>
        <s v="[Object].[Object Group].&amp;[54]" c="54"/>
        <s v="[Object].[Object Group].&amp;[55]" c="55"/>
        <s v="[Object].[Object Group].&amp;[56]" c="56"/>
        <s v="[Object].[Object Group].&amp;[63]" c="63"/>
        <s v="[Object].[Object Group].&amp;[64]" c="64"/>
        <s v="[Object].[Object Group].&amp;[69]" c="69"/>
        <s v="[Object].[Object Group].&amp;[82]" c="82"/>
        <s v="[Object].[Object Group].&amp;[85]" c="85"/>
        <s v="[Object].[Object Group].&amp;[90]" c="90"/>
      </sharedItems>
    </cacheField>
    <cacheField name="[Object].[Obj Group Nm].[Obj Group Nm]" caption="Obj Group Nm" numFmtId="0" hierarchy="123" level="1">
      <sharedItems count="24">
        <s v="[Object].[Obj Group Nm].&amp;[ADMINISTRATIVE CHARGES AND FEE]" c="ADMINISTRATIVE CHARGES AND FEE"/>
        <s v="[Object].[Obj Group Nm].&amp;[CHARGES TO ASSETS AND LIAB.]" c="CHARGES TO ASSETS AND LIAB."/>
        <s v="[Object].[Obj Group Nm].&amp;[CLOTHING]" c="CLOTHING"/>
        <s v="[Object].[Obj Group Nm].&amp;[COMMODITIES - FOOD]" c="COMMODITIES - FOOD"/>
        <s v="[Object].[Obj Group Nm].&amp;[EMPLOYEE TRAINING]" c="EMPLOYEE TRAINING"/>
        <s v="[Object].[Obj Group Nm].&amp;[EQUIPMENT AND TECHNOLOGY]" c="EQUIPMENT AND TECHNOLOGY"/>
        <s v="[Object].[Obj Group Nm].&amp;[FRINGE BENEFITS]" c="FRINGE BENEFITS"/>
        <s v="[Object].[Obj Group Nm].&amp;[GENERAL OPERATIONS]" c="GENERAL OPERATIONS"/>
        <s v="[Object].[Obj Group Nm].&amp;[GRANTS TO CITIES AND TOWNS]" c="GRANTS TO CITIES AND TOWNS"/>
        <s v="[Object].[Obj Group Nm].&amp;[GRANTS TO PUB AND PRIV ORGNS]" c="GRANTS TO PUB AND PRIV ORGNS"/>
        <s v="[Object].[Obj Group Nm].&amp;[INSURANCE]" c="INSURANCE"/>
        <s v="[Object].[Obj Group Nm].&amp;[OFFICE &amp; OTHER SUPPLIES]" c="OFFICE &amp; OTHER SUPPLIES"/>
        <s v="[Object].[Obj Group Nm].&amp;[PENSIONS]" c="PENSIONS"/>
        <s v="[Object].[Obj Group Nm].&amp;[PROF. SERVICES, BY STATE]" c="PROF. SERVICES, BY STATE"/>
        <s v="[Object].[Obj Group Nm].&amp;[PROF. SERVICES, NOT BY STATE]" c="PROF. SERVICES, NOT BY STATE"/>
        <s v="[Object].[Obj Group Nm].&amp;[RENTS]" c="RENTS"/>
        <s v="[Object].[Obj Group Nm].&amp;[REPAIRS]" c="REPAIRS"/>
        <s v="[Object].[Obj Group Nm].&amp;[SALARIES AND WAGES]" c="SALARIES AND WAGES"/>
        <s v="[Object].[Obj Group Nm].&amp;[STATE VEHICLES OPERATION]" c="STATE VEHICLES OPERATION"/>
        <s v="[Object].[Obj Group Nm].&amp;[TECHNOLOGY]" c="TECHNOLOGY"/>
        <s v="[Object].[Obj Group Nm].&amp;[TRANSFERS]" c="TRANSFERS"/>
        <s v="[Object].[Obj Group Nm].&amp;[TRAVEL EXPENSES, IN STATE]" c="TRAVEL EXPENSES, IN STATE"/>
        <s v="[Object].[Obj Group Nm].&amp;[TRAVEL EXPENSES, OUT OF STATE]" c="TRAVEL EXPENSES, OUT OF STATE"/>
        <s v="[Object].[Obj Group Nm].&amp;[UTILITY SERVICES]" c="UTILITY SERVICES"/>
      </sharedItems>
    </cacheField>
    <cacheField name="[Posting Code].[Bucket].[Bucket]" caption="Bucket" numFmtId="0" hierarchy="144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2" unbalanced="0">
      <fieldsUsage count="2">
        <fieldUsage x="-1"/>
        <fieldUsage x="6"/>
      </fieldsUsage>
    </cacheHierarchy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2" unbalanced="0">
      <fieldsUsage count="2">
        <fieldUsage x="-1"/>
        <fieldUsage x="5"/>
      </fieldsUsage>
    </cacheHierarchy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0" unbalanced="0"/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0" unbalanced="0"/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0" unbalanced="0"/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4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ancourt, Betty" refreshedDate="45078.34616828704" backgroundQuery="1" createdVersion="4" refreshedVersion="8" minRefreshableVersion="3" recordCount="0" supportSubquery="1" supportAdvancedDrill="1" xr:uid="{00000000-000A-0000-FFFF-FFFFD9040000}">
  <cacheSource type="external" connectionId="1"/>
  <cacheFields count="9">
    <cacheField name="[Posting Code].[Financial Category].[Financial Category]" caption="Financial Category" numFmtId="0" hierarchy="148" level="1">
      <sharedItems containsSemiMixedTypes="0" containsString="0"/>
    </cacheField>
    <cacheField name="[Approp].[Approp].[Approp]" caption="Approp" numFmtId="0" hierarchy="10" level="1">
      <sharedItems containsSemiMixedTypes="0" containsString="0"/>
    </cacheField>
    <cacheField name="[Fund].[Fund].[Fund]" caption="Fund" numFmtId="0" hierarchy="86" level="1">
      <sharedItems containsSemiMixedTypes="0" containsString="0"/>
    </cacheField>
    <cacheField name="[Accounting Period].[Fisc Yr].[Fisc Yr]" caption="Fisc Yr" numFmtId="0" hierarchy="7" level="1">
      <sharedItems count="16">
        <s v="[Accounting Period].[Fisc Yr].&amp;[2008]" c="2008"/>
        <s v="[Accounting Period].[Fisc Yr].&amp;[2009]" c="2009"/>
        <s v="[Accounting Period].[Fisc Yr].&amp;[2010]" c="2010"/>
        <s v="[Accounting Period].[Fisc Yr].&amp;[2011]" c="2011"/>
        <s v="[Accounting Period].[Fisc Yr].&amp;[2012]" c="2012"/>
        <s v="[Accounting Period].[Fisc Yr].&amp;[2013]" c="2013"/>
        <s v="[Accounting Period].[Fisc Yr].&amp;[2014]" c="2014"/>
        <s v="[Accounting Period].[Fisc Yr].&amp;[2015]" c="2015"/>
        <s v="[Accounting Period].[Fisc Yr].&amp;[2016]" c="2016"/>
        <s v="[Accounting Period].[Fisc Yr].&amp;[2017]" c="2017"/>
        <s v="[Accounting Period].[Fisc Yr].&amp;[2018]" c="2018"/>
        <s v="[Accounting Period].[Fisc Yr].&amp;[2019]" c="2019"/>
        <s v="[Accounting Period].[Fisc Yr].&amp;[2020]" c="2020"/>
        <s v="[Accounting Period].[Fisc Yr].&amp;[2021]" c="2021"/>
        <s v="[Accounting Period].[Fisc Yr].&amp;[2022]" c="2022"/>
        <s v="[Accounting Period].[Fisc Yr].&amp;[2023]" c="2023"/>
      </sharedItems>
    </cacheField>
    <cacheField name="[Revenue].[Rev Src].[Rev Src]" caption="Rev Src" numFmtId="0" hierarchy="196" level="1">
      <sharedItems count="17">
        <s v="[Revenue].[Rev Src].&amp;[1407]" c="1407"/>
        <s v="[Revenue].[Rev Src].&amp;[1448]" c="1448"/>
        <s v="[Revenue].[Rev Src].&amp;[2631]" c="2631"/>
        <s v="[Revenue].[Rev Src].&amp;[2637]" c="2637"/>
        <s v="[Revenue].[Rev Src].&amp;[2651]" c="2651"/>
        <s v="[Revenue].[Rev Src].&amp;[2669]" c="2669"/>
        <s v="[Revenue].[Rev Src].&amp;[2671]" c="2671"/>
        <s v="[Revenue].[Rev Src].&amp;[2686]" c="2686"/>
        <s v="[Revenue].[Rev Src].&amp;[2689]" c="2689"/>
        <s v="[Revenue].[Rev Src].&amp;[2690]" c="2690"/>
        <s v="[Revenue].[Rev Src].&amp;[2934]" c="2934"/>
        <s v="[Revenue].[Rev Src].&amp;[2952]" c="2952"/>
        <s v="[Revenue].[Rev Src].&amp;[2953]" c="2953"/>
        <s v="[Revenue].[Rev Src].&amp;[2955]" c="2955"/>
        <s v="[Revenue].[Rev Src].&amp;[2968]" c="2968"/>
        <s v="[Revenue].[Rev Src].&amp;[2978]" c="2978"/>
        <s v="[Revenue].[Rev Src].&amp;[2981]" c="2981"/>
      </sharedItems>
    </cacheField>
    <cacheField name="[Revenue].[Rev Src Nm].[Rev Src Nm]" caption="Rev Src Nm" numFmtId="0" hierarchy="201" level="1">
      <sharedItems count="17">
        <s v="[Revenue].[Rev Src Nm].&amp;[ADJ OF ALL OTHER BALANCE FWD]" c="ADJ OF ALL OTHER BALANCE FWD"/>
        <s v="[Revenue].[Rev Src Nm].&amp;[ADJ OF PERS SERV BALANCE FWD]" c="ADJ OF PERS SERV BALANCE FWD"/>
        <s v="[Revenue].[Rev Src Nm].&amp;[ADJ TO PRIOR YEAR BAL/UNALLOCT]" c="ADJ TO PRIOR YEAR BAL/UNALLOCT"/>
        <s v="[Revenue].[Rev Src Nm].&amp;[CASH OVER SHORT FOREIGN EX]" c="CASH OVER SHORT FOREIGN EX"/>
        <s v="[Revenue].[Rev Src Nm].&amp;[DICAP TRANSFER]" c="DICAP TRANSFER"/>
        <s v="[Revenue].[Rev Src Nm].&amp;[LEGIS TRANSFER OF REVENUE]" c="LEGIS TRANSFER OF REVENUE"/>
        <s v="[Revenue].[Rev Src Nm].&amp;[MISC SERVICES &amp; FEES]" c="MISC SERVICES &amp; FEES"/>
        <s v="[Revenue].[Rev Src Nm].&amp;[MISC-INCOME]" c="MISC-INCOME"/>
        <s v="[Revenue].[Rev Src Nm].&amp;[RECOVERED COST]" c="RECOVERED COST"/>
        <s v="[Revenue].[Rev Src Nm].&amp;[REG INSECT &amp; FUNGICIDES]" c="REG INSECT &amp; FUNGICIDES"/>
        <s v="[Revenue].[Rev Src Nm].&amp;[REG TRANSFER UNALLOCATED]" c="REG TRANSFER UNALLOCATED"/>
        <s v="[Revenue].[Rev Src Nm].&amp;[REGISTRATION FEES]" c="REGISTRATION FEES"/>
        <s v="[Revenue].[Rev Src Nm].&amp;[SALE LABELS CARTONS]" c="SALE LABELS CARTONS"/>
        <s v="[Revenue].[Rev Src Nm].&amp;[SALE MAILING LISTS]" c="SALE MAILING LISTS"/>
        <s v="[Revenue].[Rev Src Nm].&amp;[SALE OF PROMOTIONAL ITEMS]" c="SALE OF PROMOTIONAL ITEMS"/>
        <s v="[Revenue].[Rev Src Nm].&amp;[SPECIAL LICENSES &amp; LEASES]" c="SPECIAL LICENSES &amp; LEASES"/>
        <s v="[Revenue].[Rev Src Nm].&amp;[TRANS FROM GENERAL FD SURPLUS]" c="TRANS FROM GENERAL FD SURPLUS"/>
      </sharedItems>
    </cacheField>
    <cacheField name="[Measures].[Jrnl Posting Am]" caption="Jrnl Posting Am" numFmtId="0" hierarchy="334" level="32767"/>
    <cacheField name="[Posting Code].[Bucket].[Bucket]" caption="Bucket" numFmtId="0" hierarchy="144" level="1">
      <sharedItems containsSemiMixedTypes="0" containsString="0"/>
    </cacheField>
    <cacheField name="[Unit].[Unit].[Unit]" caption="Unit" numFmtId="0" hierarchy="226" level="1">
      <sharedItems containsSemiMixedTypes="0" containsString="0"/>
    </cacheField>
  </cacheFields>
  <cacheHierarchies count="346">
    <cacheHierarchy uniqueName="[Accept Dt].[Accept Dt]" caption="Accept Dt.Accept Dt" attribute="1" time="1" defaultMemberUniqueName="[Accept Dt].[Accept Dt].[All]" allUniqueName="[Accept Dt].[Accept Dt].[All]" dimensionUniqueName="[Accept Dt]" displayFolder="" count="0" unbalanced="0"/>
    <cacheHierarchy uniqueName="[Accounting Period].[Acct Period Hierarchy]" caption="Acct Period Hierarchy" time="1" defaultMemberUniqueName="[Accounting Period].[Acct Period Hierarchy].[All]" allUniqueName="[Accounting Period].[Acct Period Hierarchy].[All]" dimensionUniqueName="[Accounting Period]" displayFolder="" count="0" unbalanced="0"/>
    <cacheHierarchy uniqueName="[Accounting Period].[Act Per End Date]" caption="Act Per End Date" attribute="1" time="1" defaultMemberUniqueName="[Accounting Period].[Act Per End Date].[All]" allUniqueName="[Accounting Period].[Act Per End Date].[All]" dimensionUniqueName="[Accounting Period]" displayFolder="" count="0" unbalanced="0"/>
    <cacheHierarchy uniqueName="[Accounting Period].[Act Per Nm]" caption="Act Per Nm" attribute="1" time="1" defaultMemberUniqueName="[Accounting Period].[Act Per Nm].[All]" allUniqueName="[Accounting Period].[Act Per Nm].[All]" dimensionUniqueName="[Accounting Period]" displayFolder="" count="0" unbalanced="0"/>
    <cacheHierarchy uniqueName="[Accounting Period].[Closed Flag]" caption="Closed Flag" attribute="1" time="1" defaultMemberUniqueName="[Accounting Period].[Closed Flag].[All]" allUniqueName="[Accounting Period].[Closed Flag].[All]" dimensionUniqueName="[Accounting Period]" displayFolder="" count="0" unbalanced="0"/>
    <cacheHierarchy uniqueName="[Accounting Period].[Fisc Period]" caption="Fisc Period" attribute="1" time="1" defaultMemberUniqueName="[Accounting Period].[Fisc Period].[All]" allUniqueName="[Accounting Period].[Fisc Period].[All]" dimensionUniqueName="[Accounting Period]" displayFolder="" count="0" unbalanced="0"/>
    <cacheHierarchy uniqueName="[Accounting Period].[Fisc Qtr]" caption="Fisc Qtr" attribute="1" time="1" defaultMemberUniqueName="[Accounting Period].[Fisc Qtr].[All]" allUniqueName="[Accounting Period].[Fisc Qtr].[All]" dimensionUniqueName="[Accounting Period]" displayFolder="" count="0" unbalanced="0"/>
    <cacheHierarchy uniqueName="[Accounting Period].[Fisc Yr]" caption="Fisc Yr" attribute="1" time="1" defaultMemberUniqueName="[Accounting Period].[Fisc Yr].[All]" allUniqueName="[Accounting Period].[Fisc Yr].[All]" dimensionUniqueName="[Accounting Period]" displayFolder="" count="2" unbalanced="0">
      <fieldsUsage count="2">
        <fieldUsage x="-1"/>
        <fieldUsage x="3"/>
      </fieldsUsage>
    </cacheHierarchy>
    <cacheHierarchy uniqueName="[Activity].[Activity]" caption="Activity" attribute="1" defaultMemberUniqueName="[Activity].[Activity].[All]" allUniqueName="[Activity].[Activity].[All]" dimensionUniqueName="[Activity]" displayFolder="" count="0" unbalanced="0"/>
    <cacheHierarchy uniqueName="[Activity].[Activity Nm]" caption="Activity Nm" attribute="1" defaultMemberUniqueName="[Activity].[Activity Nm].[All]" allUniqueName="[Activity].[Activity Nm].[All]" dimensionUniqueName="[Activity]" displayFolder="" count="0" unbalanced="0"/>
    <cacheHierarchy uniqueName="[Approp].[Approp]" caption="Approp" attribute="1" defaultMemberUniqueName="[Approp].[Approp].[All]" allUniqueName="[Approp].[Approp].[All]" dimensionUniqueName="[Approp]" displayFolder="" count="2" unbalanced="0">
      <fieldsUsage count="2">
        <fieldUsage x="-1"/>
        <fieldUsage x="1"/>
      </fieldsUsage>
    </cacheHierarchy>
    <cacheHierarchy uniqueName="[Approp].[Approp Desc]" caption="Approp Desc" attribute="1" defaultMemberUniqueName="[Approp].[Approp Desc].[All]" allUniqueName="[Approp].[Approp Desc].[All]" dimensionUniqueName="[Approp]" displayFolder="" count="0" unbalanced="0"/>
    <cacheHierarchy uniqueName="[Approp].[Approp Group]" caption="Approp Group" attribute="1" defaultMemberUniqueName="[Approp].[Approp Group].[All]" allUniqueName="[Approp].[Approp Group].[All]" dimensionUniqueName="[Approp]" displayFolder="" count="0" unbalanced="0"/>
    <cacheHierarchy uniqueName="[Approp].[Approp Nm]" caption="Approp Nm" attribute="1" defaultMemberUniqueName="[Approp].[Approp Nm].[All]" allUniqueName="[Approp].[Approp Nm].[All]" dimensionUniqueName="[Approp]" displayFolder="" count="0" unbalanced="0"/>
    <cacheHierarchy uniqueName="[Balance Sheet].[Bal Sheet Code]" caption="Bal Sheet Code" attribute="1" defaultMemberUniqueName="[Balance Sheet].[Bal Sheet Code].[All]" allUniqueName="[Balance Sheet].[Bal Sheet Code].[All]" dimensionUniqueName="[Balance Sheet]" displayFolder="" count="0" unbalanced="0"/>
    <cacheHierarchy uniqueName="[Balance Sheet].[Bal Sheet Nm]" caption="Bal Sheet Nm" attribute="1" defaultMemberUniqueName="[Balance Sheet].[Bal Sheet Nm].[All]" allUniqueName="[Balance Sheet].[Bal Sheet Nm].[All]" dimensionUniqueName="[Balance Sheet]" displayFolder="" count="0" unbalanced="0"/>
    <cacheHierarchy uniqueName="[Balance Sheet].[Bal Sheet Type]" caption="Bal Sheet Type" attribute="1" defaultMemberUniqueName="[Balance Sheet].[Bal Sheet Type].[All]" allUniqueName="[Balance Sheet].[Bal Sheet Type].[All]" dimensionUniqueName="[Balance Sheet]" displayFolder="" count="0" unbalanced="0"/>
    <cacheHierarchy uniqueName="[BFY].[BFY]" caption="BFY" attribute="1" keyAttribute="1" defaultMemberUniqueName="[BFY].[BFY].[All]" allUniqueName="[BFY].[BFY].[All]" dimensionUniqueName="[BFY]" displayFolder="" count="0" unbalanced="0"/>
    <cacheHierarchy uniqueName="[Billing Profile].[Billing Profile]" caption="Billing Profile" attribute="1" defaultMemberUniqueName="[Billing Profile].[Billing Profile].[All]" allUniqueName="[Billing Profile].[Billing Profile].[All]" dimensionUniqueName="[Billing Profile]" displayFolder="" count="0" unbalanced="0"/>
    <cacheHierarchy uniqueName="[Billing Profile].[Billling Profile Nm]" caption="Billling Profile Nm" attribute="1" defaultMemberUniqueName="[Billing Profile].[Billling Profile Nm].[All]" allUniqueName="[Billing Profile].[Billling Profile Nm].[All]" dimensionUniqueName="[Billing Profile]" displayFolder="" count="0" unbalanced="0"/>
    <cacheHierarchy uniqueName="[Billing Profile].[City]" caption="City" attribute="1" defaultMemberUniqueName="[Billing Profile].[City].[All]" allUniqueName="[Billing Profile].[City].[All]" dimensionUniqueName="[Billing Profile]" displayFolder="" count="0" unbalanced="0"/>
    <cacheHierarchy uniqueName="[Billing Profile].[Country]" caption="Country" attribute="1" defaultMemberUniqueName="[Billing Profile].[Country].[All]" allUniqueName="[Billing Profile].[Country].[All]" dimensionUniqueName="[Billing Profile]" displayFolder="" count="0" unbalanced="0"/>
    <cacheHierarchy uniqueName="[Billing Profile].[Street1 Nm]" caption="Street1 Nm" attribute="1" defaultMemberUniqueName="[Billing Profile].[Street1 Nm].[All]" allUniqueName="[Billing Profile].[Street1 Nm].[All]" dimensionUniqueName="[Billing Profile]" displayFolder="" count="0" unbalanced="0"/>
    <cacheHierarchy uniqueName="[Billing Profile].[Street2 Nm]" caption="Street2 Nm" attribute="1" defaultMemberUniqueName="[Billing Profile].[Street2 Nm].[All]" allUniqueName="[Billing Profile].[Street2 Nm].[All]" dimensionUniqueName="[Billing Profile]" displayFolder="" count="0" unbalanced="0"/>
    <cacheHierarchy uniqueName="[Billing Profile].[Street3 Nm]" caption="Street3 Nm" attribute="1" defaultMemberUniqueName="[Billing Profile].[Street3 Nm].[All]" allUniqueName="[Billing Profile].[Street3 Nm].[All]" dimensionUniqueName="[Billing Profile]" displayFolder="" count="0" unbalanced="0"/>
    <cacheHierarchy uniqueName="[Billing Profile].[Zip]" caption="Zip" attribute="1" defaultMemberUniqueName="[Billing Profile].[Zip].[All]" allUniqueName="[Billing Profile].[Zip].[All]" dimensionUniqueName="[Billing Profile]" displayFolder="" count="0" unbalanced="0"/>
    <cacheHierarchy uniqueName="[Budget Alot Per].[Alot Per]" caption="Alot Per" attribute="1" keyAttribute="1" defaultMemberUniqueName="[Budget Alot Per].[Alot Per].[All]" allUniqueName="[Budget Alot Per].[Alot Per].[All]" dimensionUniqueName="[Budget Alot Per]" displayFolder="" count="0" unbalanced="0"/>
    <cacheHierarchy uniqueName="[Budget Documents].[Doc Cd]" caption="Doc Cd" attribute="1" defaultMemberUniqueName="[Budget Documents].[Doc Cd].[All]" allUniqueName="[Budget Documents].[Doc Cd].[All]" dimensionUniqueName="[Budget Documents]" displayFolder="" count="0" unbalanced="0"/>
    <cacheHierarchy uniqueName="[Budget Documents].[Doc Dept]" caption="Doc Dept" attribute="1" defaultMemberUniqueName="[Budget Documents].[Doc Dept].[All]" allUniqueName="[Budget Documents].[Doc Dept].[All]" dimensionUniqueName="[Budget Documents]" displayFolder="" count="0" unbalanced="0"/>
    <cacheHierarchy uniqueName="[Budget Documents].[Doc ID]" caption="Doc ID" attribute="1" defaultMemberUniqueName="[Budget Documents].[Doc ID].[All]" allUniqueName="[Budget Documents].[Doc ID].[All]" dimensionUniqueName="[Budget Documents]" displayFolder="" count="0" unbalanced="0"/>
    <cacheHierarchy uniqueName="[Check Details].[Check Desc]" caption="Check Desc" attribute="1" time="1" defaultMemberUniqueName="[Check Details].[Check Desc].[All]" allUniqueName="[Check Details].[Check Desc].[All]" dimensionUniqueName="[Check Details]" displayFolder="" count="0" unbalanced="0"/>
    <cacheHierarchy uniqueName="[Check Details].[Check Number]" caption="Check Number" attribute="1" time="1" defaultMemberUniqueName="[Check Details].[Check Number].[All]" allUniqueName="[Check Details].[Check Number].[All]" dimensionUniqueName="[Check Details]" displayFolder="" count="0" unbalanced="0"/>
    <cacheHierarchy uniqueName="[Check Details].[Disb Cat]" caption="Disb Cat" attribute="1" time="1" defaultMemberUniqueName="[Check Details].[Disb Cat].[All]" allUniqueName="[Check Details].[Disb Cat].[All]" dimensionUniqueName="[Check Details]" displayFolder="" count="0" unbalanced="0"/>
    <cacheHierarchy uniqueName="[Check Details].[Issue Dt]" caption="Issue Dt" attribute="1" time="1" defaultMemberUniqueName="[Check Details].[Issue Dt].[All]" allUniqueName="[Check Details].[Issue Dt].[All]" dimensionUniqueName="[Check Details]" displayFolder="" count="0" unbalanced="0"/>
    <cacheHierarchy uniqueName="[Check Documents].[Doc Actg ln no]" caption="Doc Actg ln no" attribute="1" defaultMemberUniqueName="[Check Documents].[Doc Actg ln no].[All]" allUniqueName="[Check Documents].[Doc Actg ln no].[All]" dimensionUniqueName="[Check Documents]" displayFolder="" count="0" unbalanced="0"/>
    <cacheHierarchy uniqueName="[Check Documents].[Doc Code]" caption="Doc Code" attribute="1" defaultMemberUniqueName="[Check Documents].[Doc Code].[All]" allUniqueName="[Check Documents].[Doc Code].[All]" dimensionUniqueName="[Check Documents]" displayFolder="" count="0" unbalanced="0"/>
    <cacheHierarchy uniqueName="[Check Documents].[Doc Dept Code]" caption="Doc Dept Code" attribute="1" defaultMemberUniqueName="[Check Documents].[Doc Dept Code].[All]" allUniqueName="[Check Documents].[Doc Dept Code].[All]" dimensionUniqueName="[Check Documents]" displayFolder="" count="0" unbalanced="0"/>
    <cacheHierarchy uniqueName="[Check Documents].[Doc Id]" caption="Doc Id" attribute="1" defaultMemberUniqueName="[Check Documents].[Doc Id].[All]" allUniqueName="[Check Documents].[Doc Id].[All]" dimensionUniqueName="[Check Documents]" displayFolder="" count="0" unbalanced="0"/>
    <cacheHierarchy uniqueName="[Check Documents].[Doc Version No]" caption="Doc Version No" attribute="1" defaultMemberUniqueName="[Check Documents].[Doc Version No].[All]" allUniqueName="[Check Documents].[Doc Version No].[All]" dimensionUniqueName="[Check Documents]" displayFolder="" count="0" unbalanced="0"/>
    <cacheHierarchy uniqueName="[Check Documents].[Ref Doc Code]" caption="Ref Doc Code" attribute="1" defaultMemberUniqueName="[Check Documents].[Ref Doc Code].[All]" allUniqueName="[Check Documents].[Ref Doc Code].[All]" dimensionUniqueName="[Check Documents]" displayFolder="" count="0" unbalanced="0"/>
    <cacheHierarchy uniqueName="[Check Documents].[Ref Doc Dept Code]" caption="Ref Doc Dept Code" attribute="1" defaultMemberUniqueName="[Check Documents].[Ref Doc Dept Code].[All]" allUniqueName="[Check Documents].[Ref Doc Dept Code].[All]" dimensionUniqueName="[Check Documents]" displayFolder="" count="0" unbalanced="0"/>
    <cacheHierarchy uniqueName="[Check Documents].[Ref Doc Id]" caption="Ref Doc Id" attribute="1" defaultMemberUniqueName="[Check Documents].[Ref Doc Id].[All]" allUniqueName="[Check Documents].[Ref Doc Id].[All]" dimensionUniqueName="[Check Documents]" displayFolder="" count="0" unbalanced="0"/>
    <cacheHierarchy uniqueName="[Commodity].[Comm Cd]" caption="Comm Cd" attribute="1" keyAttribute="1" defaultMemberUniqueName="[Commodity].[Comm Cd].[All]" allUniqueName="[Commodity].[Comm Cd].[All]" dimensionUniqueName="[Commodity]" displayFolder="" count="0" unbalanced="0"/>
    <cacheHierarchy uniqueName="[Commodity].[Comm Desc]" caption="Comm Desc" attribute="1" defaultMemberUniqueName="[Commodity].[Comm Desc].[All]" allUniqueName="[Commodity].[Comm Desc].[All]" dimensionUniqueName="[Commodity]" displayFolder="" count="0" unbalanced="0"/>
    <cacheHierarchy uniqueName="[Commodity Line Number].[Doc Comm Ln No]" caption="Doc Comm Ln No" attribute="1" keyAttribute="1" defaultMemberUniqueName="[Commodity Line Number].[Doc Comm Ln No].[All]" allUniqueName="[Commodity Line Number].[Doc Comm Ln No].[All]" dimensionUniqueName="[Commodity Line Number]" displayFolder="" count="0" unbalanced="0"/>
    <cacheHierarchy uniqueName="[CR Documents].[Bank Acct]" caption="Bank Acct" attribute="1" time="1" defaultMemberUniqueName="[CR Documents].[Bank Acct].[All]" allUniqueName="[CR Documents].[Bank Acct].[All]" dimensionUniqueName="[CR Documents]" displayFolder="" count="0" unbalanced="0"/>
    <cacheHierarchy uniqueName="[CR Documents].[Ext Doc Dscr]" caption="Ext Doc Dscr" attribute="1" time="1" defaultMemberUniqueName="[CR Documents].[Ext Doc Dscr].[All]" allUniqueName="[CR Documents].[Ext Doc Dscr].[All]" dimensionUniqueName="[CR Documents]" displayFolder="" count="0" unbalanced="0"/>
    <cacheHierarchy uniqueName="[CR Documents].[Payment Type Name]" caption="Payment Type Name" attribute="1" time="1" defaultMemberUniqueName="[CR Documents].[Payment Type Name].[All]" allUniqueName="[CR Documents].[Payment Type Name].[All]" dimensionUniqueName="[CR Documents]" displayFolder="" count="0" unbalanced="0"/>
    <cacheHierarchy uniqueName="[CR Documents].[Transaction Dt]" caption="Transaction Dt" attribute="1" time="1" defaultMemberUniqueName="[CR Documents].[Transaction Dt].[All]" allUniqueName="[CR Documents].[Transaction Dt].[All]" dimensionUniqueName="[CR Documents]" displayFolder="" count="0" unbalanced="0"/>
    <cacheHierarchy uniqueName="[CR Documents].[Transaction ID]" caption="Transaction ID" attribute="1" time="1" defaultMemberUniqueName="[CR Documents].[Transaction ID].[All]" allUniqueName="[CR Documents].[Transaction ID].[All]" dimensionUniqueName="[CR Documents]" displayFolder="" count="0" unbalanced="0"/>
    <cacheHierarchy uniqueName="[Debit Credit Indicator].[Dr Cr]" caption="Dr Cr" attribute="1" defaultMemberUniqueName="[Debit Credit Indicator].[Dr Cr].[All]" allUniqueName="[Debit Credit Indicator].[Dr Cr].[All]" dimensionUniqueName="[Debit Credit Indicator]" displayFolder="" count="0" unbalanced="0"/>
    <cacheHierarchy uniqueName="[Dept].[Dept]" caption="Dept" attribute="1" defaultMemberUniqueName="[Dept].[Dept].[All]" allUniqueName="[Dept].[Dept].[All]" dimensionUniqueName="[Dept]" displayFolder="" count="0" unbalanced="0"/>
    <cacheHierarchy uniqueName="[Dept].[Dept Nm]" caption="Dept Nm" attribute="1" defaultMemberUniqueName="[Dept].[Dept Nm].[All]" allUniqueName="[Dept].[Dept Nm].[All]" dimensionUniqueName="[Dept]" displayFolder="" count="0" unbalanced="0"/>
    <cacheHierarchy uniqueName="[Dept-Obj].[Dept Obj]" caption="Dept Obj" attribute="1" defaultMemberUniqueName="[Dept-Obj].[Dept Obj].[All]" allUniqueName="[Dept-Obj].[Dept Obj].[All]" dimensionUniqueName="[Dept-Obj]" displayFolder="" count="0" unbalanced="0"/>
    <cacheHierarchy uniqueName="[Dept-Obj].[Dept Obj Class]" caption="Dept Obj Class" attribute="1" defaultMemberUniqueName="[Dept-Obj].[Dept Obj Class].[All]" allUniqueName="[Dept-Obj].[Dept Obj Class].[All]" dimensionUniqueName="[Dept-Obj]" displayFolder="" count="0" unbalanced="0"/>
    <cacheHierarchy uniqueName="[Dept-Obj].[Dept Obj Desc]" caption="Dept Obj Desc" attribute="1" defaultMemberUniqueName="[Dept-Obj].[Dept Obj Desc].[All]" allUniqueName="[Dept-Obj].[Dept Obj Desc].[All]" dimensionUniqueName="[Dept-Obj]" displayFolder="" count="0" unbalanced="0"/>
    <cacheHierarchy uniqueName="[Dept-Obj].[Dept Obj Group]" caption="Dept Obj Group" attribute="1" defaultMemberUniqueName="[Dept-Obj].[Dept Obj Group].[All]" allUniqueName="[Dept-Obj].[Dept Obj Group].[All]" dimensionUniqueName="[Dept-Obj]" displayFolder="" count="0" unbalanced="0"/>
    <cacheHierarchy uniqueName="[Dept-Obj].[Dept Obj Hierarchy]" caption="Dept Obj Hierarchy" defaultMemberUniqueName="[Dept-Obj].[Dept Obj Hierarchy].[All]" allUniqueName="[Dept-Obj].[Dept Obj Hierarchy].[All]" dimensionUniqueName="[Dept-Obj]" displayFolder="" count="0" unbalanced="0"/>
    <cacheHierarchy uniqueName="[Dept-Obj].[Dept Obj Nm]" caption="Dept Obj Nm" attribute="1" defaultMemberUniqueName="[Dept-Obj].[Dept Obj Nm].[All]" allUniqueName="[Dept-Obj].[Dept Obj Nm].[All]" dimensionUniqueName="[Dept-Obj]" displayFolder="" count="0" unbalanced="0"/>
    <cacheHierarchy uniqueName="[Dept-Rev].[Dept Rev Src]" caption="Dept Rev Src" attribute="1" defaultMemberUniqueName="[Dept-Rev].[Dept Rev Src].[All]" allUniqueName="[Dept-Rev].[Dept Rev Src].[All]" dimensionUniqueName="[Dept-Rev]" displayFolder="" count="0" unbalanced="0"/>
    <cacheHierarchy uniqueName="[Dept-Rev].[Dept Rev Src Class]" caption="Dept Rev Src Class" attribute="1" defaultMemberUniqueName="[Dept-Rev].[Dept Rev Src Class].[All]" allUniqueName="[Dept-Rev].[Dept Rev Src Class].[All]" dimensionUniqueName="[Dept-Rev]" displayFolder="" count="0" unbalanced="0"/>
    <cacheHierarchy uniqueName="[Dept-Rev].[Dept Rev Src Desc]" caption="Dept Rev Src Desc" attribute="1" defaultMemberUniqueName="[Dept-Rev].[Dept Rev Src Desc].[All]" allUniqueName="[Dept-Rev].[Dept Rev Src Desc].[All]" dimensionUniqueName="[Dept-Rev]" displayFolder="" count="0" unbalanced="0"/>
    <cacheHierarchy uniqueName="[Dept-Rev].[Dept Rev Src Group]" caption="Dept Rev Src Group" attribute="1" defaultMemberUniqueName="[Dept-Rev].[Dept Rev Src Group].[All]" allUniqueName="[Dept-Rev].[Dept Rev Src Group].[All]" dimensionUniqueName="[Dept-Rev]" displayFolder="" count="0" unbalanced="0"/>
    <cacheHierarchy uniqueName="[Dept-Rev].[Dept Rev Src Nm]" caption="Dept Rev Src Nm" attribute="1" defaultMemberUniqueName="[Dept-Rev].[Dept Rev Src Nm].[All]" allUniqueName="[Dept-Rev].[Dept Rev Src Nm].[All]" dimensionUniqueName="[Dept-Rev]" displayFolder="" count="0" unbalanced="0"/>
    <cacheHierarchy uniqueName="[Dept-Rev].[Dept-Rev Hierarchy]" caption="Dept-Rev Hierarchy" defaultMemberUniqueName="[Dept-Rev].[Dept-Rev Hierarchy].[All]" allUniqueName="[Dept-Rev].[Dept-Rev Hierarchy].[All]" dimensionUniqueName="[Dept-Rev]" displayFolder="" count="0" unbalanced="0"/>
    <cacheHierarchy uniqueName="[Doc Record Dt].[Doc Rec Dt]" caption="Doc Record Dt.Doc Rec Dt" attribute="1" time="1" defaultMemberUniqueName="[Doc Record Dt].[Doc Rec Dt].[All]" allUniqueName="[Doc Record Dt].[Doc Rec Dt].[All]" dimensionUniqueName="[Doc Record Dt]" displayFolder="" count="0" unbalanced="0"/>
    <cacheHierarchy uniqueName="[Document Accounting Line Dscr].[Actg Ln Dscr]" caption="Actg Ln Dscr" attribute="1" defaultMemberUniqueName="[Document Accounting Line Dscr].[Actg Ln Dscr].[All]" allUniqueName="[Document Accounting Line Dscr].[Actg Ln Dscr].[All]" dimensionUniqueName="[Document Accounting Line Dscr]" displayFolder="" count="0" unbalanced="0"/>
    <cacheHierarchy uniqueName="[Document Accounting Line Dscr].[Doc Actg Ln No]" caption="Doc Actg Ln No" attribute="1" defaultMemberUniqueName="[Document Accounting Line Dscr].[Doc Actg Ln No].[All]" allUniqueName="[Document Accounting Line Dscr].[Doc Actg Ln No].[All]" dimensionUniqueName="[Document Accounting Line Dscr]" displayFolder="" count="0" unbalanced="0"/>
    <cacheHierarchy uniqueName="[Documents].[Doc Cd]" caption="Doc Cd" attribute="1" time="1" defaultMemberUniqueName="[Documents].[Doc Cd].[All]" allUniqueName="[Documents].[Doc Cd].[All]" dimensionUniqueName="[Documents]" displayFolder="" count="0" unbalanced="0"/>
    <cacheHierarchy uniqueName="[Documents].[Doc Concat Id]" caption="Doc Concat Id" attribute="1" time="1" keyAttribute="1" defaultMemberUniqueName="[Documents].[Doc Concat Id].[All]" allUniqueName="[Documents].[Doc Concat Id].[All]" dimensionUniqueName="[Documents]" displayFolder="" count="0" memberValueDatatype="130" unbalanced="0"/>
    <cacheHierarchy uniqueName="[Documents].[Doc Crea Usid]" caption="Doc Crea Usid" attribute="1" time="1" defaultMemberUniqueName="[Documents].[Doc Crea Usid].[All]" allUniqueName="[Documents].[Doc Crea Usid].[All]" dimensionUniqueName="[Documents]" displayFolder="" count="0" unbalanced="0"/>
    <cacheHierarchy uniqueName="[Documents].[Doc Dept CD]" caption="Doc Dept CD" attribute="1" time="1" defaultMemberUniqueName="[Documents].[Doc Dept CD].[All]" allUniqueName="[Documents].[Doc Dept CD].[All]" dimensionUniqueName="[Documents]" displayFolder="" count="0" unbalanced="0"/>
    <cacheHierarchy uniqueName="[Documents].[Doc Dscr]" caption="Doc Dscr" attribute="1" time="1" defaultMemberUniqueName="[Documents].[Doc Dscr].[All]" allUniqueName="[Documents].[Doc Dscr].[All]" dimensionUniqueName="[Documents]" displayFolder="" count="0" unbalanced="0"/>
    <cacheHierarchy uniqueName="[Documents].[Doc Func]" caption="Doc Func" attribute="1" time="1" defaultMemberUniqueName="[Documents].[Doc Func].[All]" allUniqueName="[Documents].[Doc Func].[All]" dimensionUniqueName="[Documents]" displayFolder="" count="0" unbalanced="0"/>
    <cacheHierarchy uniqueName="[Documents].[Doc ID]" caption="Doc ID" attribute="1" time="1" defaultMemberUniqueName="[Documents].[Doc ID].[All]" allUniqueName="[Documents].[Doc ID].[All]" dimensionUniqueName="[Documents]" displayFolder="" count="0" unbalanced="0"/>
    <cacheHierarchy uniqueName="[Documents].[Doc Last Dt]" caption="Doc Last Dt" attribute="1" time="1" defaultMemberUniqueName="[Documents].[Doc Last Dt].[All]" allUniqueName="[Documents].[Doc Last Dt].[All]" dimensionUniqueName="[Documents]" displayFolder="" count="0" unbalanced="0"/>
    <cacheHierarchy uniqueName="[Documents].[Doc Nm]" caption="Doc Nm" attribute="1" time="1" defaultMemberUniqueName="[Documents].[Doc Nm].[All]" allUniqueName="[Documents].[Doc Nm].[All]" dimensionUniqueName="[Documents]" displayFolder="" count="0" unbalanced="0"/>
    <cacheHierarchy uniqueName="[Documents].[Doc Phase Cd]" caption="Doc Phase Cd" attribute="1" time="1" defaultMemberUniqueName="[Documents].[Doc Phase Cd].[All]" allUniqueName="[Documents].[Doc Phase Cd].[All]" dimensionUniqueName="[Documents]" displayFolder="" count="0" unbalanced="0"/>
    <cacheHierarchy uniqueName="[Documents].[Doc Unit Cd]" caption="Doc Unit Cd" attribute="1" time="1" defaultMemberUniqueName="[Documents].[Doc Unit Cd].[All]" allUniqueName="[Documents].[Doc Unit Cd].[All]" dimensionUniqueName="[Documents]" displayFolder="" count="0" unbalanced="0"/>
    <cacheHierarchy uniqueName="[Documents].[Doc Vers No]" caption="Doc Vers No" attribute="1" time="1" defaultMemberUniqueName="[Documents].[Doc Vers No].[All]" allUniqueName="[Documents].[Doc Vers No].[All]" dimensionUniqueName="[Documents]" displayFolder="" count="0" unbalanced="0"/>
    <cacheHierarchy uniqueName="[Documents].[Fortis Doc Id]" caption="Fortis Doc Id" attribute="1" time="1" defaultMemberUniqueName="[Documents].[Fortis Doc Id].[All]" allUniqueName="[Documents].[Fortis Doc Id].[All]" dimensionUniqueName="[Documents]" displayFolder="" count="0" unbalanced="0"/>
    <cacheHierarchy uniqueName="[Event Type].[Evnt Typ ID]" caption="Evnt Typ ID" attribute="1" defaultMemberUniqueName="[Event Type].[Evnt Typ ID].[All]" allUniqueName="[Event Type].[Evnt Typ ID].[All]" dimensionUniqueName="[Event Type]" displayFolder="" count="0" unbalanced="0"/>
    <cacheHierarchy uniqueName="[Event Type].[Evnt Typ Nm]" caption="Evnt Typ Nm" attribute="1" defaultMemberUniqueName="[Event Type].[Evnt Typ Nm].[All]" allUniqueName="[Event Type].[Evnt Typ Nm].[All]" dimensionUniqueName="[Event Type]" displayFolder="" count="0" unbalanced="0"/>
    <cacheHierarchy uniqueName="[Function].[Function Code]" caption="Function Code" attribute="1" defaultMemberUniqueName="[Function].[Function Code].[All]" allUniqueName="[Function].[Function Code].[All]" dimensionUniqueName="[Function]" displayFolder="" count="0" unbalanced="0"/>
    <cacheHierarchy uniqueName="[Function].[Function Desc]" caption="Function Desc" attribute="1" defaultMemberUniqueName="[Function].[Function Desc].[All]" allUniqueName="[Function].[Function Desc].[All]" dimensionUniqueName="[Function]" displayFolder="" count="0" unbalanced="0"/>
    <cacheHierarchy uniqueName="[Function].[Function Nm]" caption="Function Nm" attribute="1" defaultMemberUniqueName="[Function].[Function Nm].[All]" allUniqueName="[Function].[Function Nm].[All]" dimensionUniqueName="[Function]" displayFolder="" count="0" unbalanced="0"/>
    <cacheHierarchy uniqueName="[Fund].[Fund]" caption="Fund" attribute="1" defaultMemberUniqueName="[Fund].[Fund].[All]" allUniqueName="[Fund].[Fund].[All]" dimensionUniqueName="[Fund]" displayFolder="" count="2" unbalanced="0">
      <fieldsUsage count="2">
        <fieldUsage x="-1"/>
        <fieldUsage x="2"/>
      </fieldsUsage>
    </cacheHierarchy>
    <cacheHierarchy uniqueName="[Fund].[Fund Nm]" caption="Fund Nm" attribute="1" defaultMemberUniqueName="[Fund].[Fund Nm].[All]" allUniqueName="[Fund].[Fund Nm].[All]" dimensionUniqueName="[Fund]" displayFolder="" count="0" unbalanced="0"/>
    <cacheHierarchy uniqueName="[Funding Line].[Exp Appr Cd]" caption="Exp Appr Cd" attribute="1" defaultMemberUniqueName="[Funding Line].[Exp Appr Cd].[All]" allUniqueName="[Funding Line].[Exp Appr Cd].[All]" dimensionUniqueName="[Funding Line]" displayFolder="" count="0" unbalanced="0"/>
    <cacheHierarchy uniqueName="[Funding Line].[Exp DObj Cd]" caption="Exp DObj Cd" attribute="1" defaultMemberUniqueName="[Funding Line].[Exp DObj Cd].[All]" allUniqueName="[Funding Line].[Exp DObj Cd].[All]" dimensionUniqueName="[Funding Line]" displayFolder="" count="0" unbalanced="0"/>
    <cacheHierarchy uniqueName="[Funding Line].[Exp Func Cd]" caption="Exp Func Cd" attribute="1" defaultMemberUniqueName="[Funding Line].[Exp Func Cd].[All]" allUniqueName="[Funding Line].[Exp Func Cd].[All]" dimensionUniqueName="[Funding Line]" displayFolder="" count="0" unbalanced="0"/>
    <cacheHierarchy uniqueName="[Funding Line].[Exp Fund Cd]" caption="Exp Fund Cd" attribute="1" defaultMemberUniqueName="[Funding Line].[Exp Fund Cd].[All]" allUniqueName="[Funding Line].[Exp Fund Cd].[All]" dimensionUniqueName="[Funding Line]" displayFolder="" count="0" unbalanced="0"/>
    <cacheHierarchy uniqueName="[Funding Line].[Exp SFunc Cd]" caption="Exp SFunc Cd" attribute="1" defaultMemberUniqueName="[Funding Line].[Exp SFunc Cd].[All]" allUniqueName="[Funding Line].[Exp SFunc Cd].[All]" dimensionUniqueName="[Funding Line]" displayFolder="" count="0" unbalanced="0"/>
    <cacheHierarchy uniqueName="[Funding Line].[Exp SFund Cd]" caption="Exp SFund Cd" attribute="1" defaultMemberUniqueName="[Funding Line].[Exp SFund Cd].[All]" allUniqueName="[Funding Line].[Exp SFund Cd].[All]" dimensionUniqueName="[Funding Line]" displayFolder="" count="0" unbalanced="0"/>
    <cacheHierarchy uniqueName="[Funding Line].[Exp STask Cd]" caption="Exp STask Cd" attribute="1" defaultMemberUniqueName="[Funding Line].[Exp STask Cd].[All]" allUniqueName="[Funding Line].[Exp STask Cd].[All]" dimensionUniqueName="[Funding Line]" displayFolder="" count="0" unbalanced="0"/>
    <cacheHierarchy uniqueName="[Funding Line].[Exp SUnit Cd]" caption="Exp SUnit Cd" attribute="1" defaultMemberUniqueName="[Funding Line].[Exp SUnit Cd].[All]" allUniqueName="[Funding Line].[Exp SUnit Cd].[All]" dimensionUniqueName="[Funding Line]" displayFolder="" count="0" unbalanced="0"/>
    <cacheHierarchy uniqueName="[Funding Line].[Exp Task Cd]" caption="Exp Task Cd" attribute="1" defaultMemberUniqueName="[Funding Line].[Exp Task Cd].[All]" allUniqueName="[Funding Line].[Exp Task Cd].[All]" dimensionUniqueName="[Funding Line]" displayFolder="" count="0" unbalanced="0"/>
    <cacheHierarchy uniqueName="[Funding Line].[Exp Unit Cd]" caption="Exp Unit Cd" attribute="1" defaultMemberUniqueName="[Funding Line].[Exp Unit Cd].[All]" allUniqueName="[Funding Line].[Exp Unit Cd].[All]" dimensionUniqueName="[Funding Line]" displayFolder="" count="0" unbalanced="0"/>
    <cacheHierarchy uniqueName="[Funding Line].[Funding Line]" caption="Funding Line" attribute="1" defaultMemberUniqueName="[Funding Line].[Funding Line].[All]" allUniqueName="[Funding Line].[Funding Line].[All]" dimensionUniqueName="[Funding Line]" displayFolder="" count="0" unbalanced="0"/>
    <cacheHierarchy uniqueName="[Funding Line].[Rev Actv Cd]" caption="Rev Actv Cd" attribute="1" defaultMemberUniqueName="[Funding Line].[Rev Actv Cd].[All]" allUniqueName="[Funding Line].[Rev Actv Cd].[All]" dimensionUniqueName="[Funding Line]" displayFolder="" count="0" unbalanced="0"/>
    <cacheHierarchy uniqueName="[Funding Line].[Rev Appr Cd]" caption="Rev Appr Cd" attribute="1" defaultMemberUniqueName="[Funding Line].[Rev Appr Cd].[All]" allUniqueName="[Funding Line].[Rev Appr Cd].[All]" dimensionUniqueName="[Funding Line]" displayFolder="" count="0" unbalanced="0"/>
    <cacheHierarchy uniqueName="[Funding Line].[Rev Func Cd]" caption="Rev Func Cd" attribute="1" defaultMemberUniqueName="[Funding Line].[Rev Func Cd].[All]" allUniqueName="[Funding Line].[Rev Func Cd].[All]" dimensionUniqueName="[Funding Line]" displayFolder="" count="0" unbalanced="0"/>
    <cacheHierarchy uniqueName="[Funding Line].[Rev Fund Cd]" caption="Rev Fund Cd" attribute="1" defaultMemberUniqueName="[Funding Line].[Rev Fund Cd].[All]" allUniqueName="[Funding Line].[Rev Fund Cd].[All]" dimensionUniqueName="[Funding Line]" displayFolder="" count="0" unbalanced="0"/>
    <cacheHierarchy uniqueName="[Funding Line].[Rev Rsrc Cd]" caption="Rev Rsrc Cd" attribute="1" defaultMemberUniqueName="[Funding Line].[Rev Rsrc Cd].[All]" allUniqueName="[Funding Line].[Rev Rsrc Cd].[All]" dimensionUniqueName="[Funding Line]" displayFolder="" count="0" unbalanced="0"/>
    <cacheHierarchy uniqueName="[Funding Line].[Rev SFunc Cd]" caption="Rev SFunc Cd" attribute="1" defaultMemberUniqueName="[Funding Line].[Rev SFunc Cd].[All]" allUniqueName="[Funding Line].[Rev SFunc Cd].[All]" dimensionUniqueName="[Funding Line]" displayFolder="" count="0" unbalanced="0"/>
    <cacheHierarchy uniqueName="[Funding Line].[Rev SFund Cd]" caption="Rev SFund Cd" attribute="1" defaultMemberUniqueName="[Funding Line].[Rev SFund Cd].[All]" allUniqueName="[Funding Line].[Rev SFund Cd].[All]" dimensionUniqueName="[Funding Line]" displayFolder="" count="0" unbalanced="0"/>
    <cacheHierarchy uniqueName="[Funding Line].[Rev SRsrc Cd]" caption="Rev SRsrc Cd" attribute="1" defaultMemberUniqueName="[Funding Line].[Rev SRsrc Cd].[All]" allUniqueName="[Funding Line].[Rev SRsrc Cd].[All]" dimensionUniqueName="[Funding Line]" displayFolder="" count="0" unbalanced="0"/>
    <cacheHierarchy uniqueName="[Funding Line].[Rev STask Cd]" caption="Rev STask Cd" attribute="1" defaultMemberUniqueName="[Funding Line].[Rev STask Cd].[All]" allUniqueName="[Funding Line].[Rev STask Cd].[All]" dimensionUniqueName="[Funding Line]" displayFolder="" count="0" unbalanced="0"/>
    <cacheHierarchy uniqueName="[Funding Line].[Rev SUnit Cd]" caption="Rev SUnit Cd" attribute="1" defaultMemberUniqueName="[Funding Line].[Rev SUnit Cd].[All]" allUniqueName="[Funding Line].[Rev SUnit Cd].[All]" dimensionUniqueName="[Funding Line]" displayFolder="" count="0" unbalanced="0"/>
    <cacheHierarchy uniqueName="[Funding Line].[Rev Task Cd]" caption="Rev Task Cd" attribute="1" defaultMemberUniqueName="[Funding Line].[Rev Task Cd].[All]" allUniqueName="[Funding Line].[Rev Task Cd].[All]" dimensionUniqueName="[Funding Line]" displayFolder="" count="0" unbalanced="0"/>
    <cacheHierarchy uniqueName="[Funding Line].[Rev Unit Cd]" caption="Rev Unit Cd" attribute="1" defaultMemberUniqueName="[Funding Line].[Rev Unit Cd].[All]" allUniqueName="[Funding Line].[Rev Unit Cd].[All]" dimensionUniqueName="[Funding Line]" displayFolder="" count="0" unbalanced="0"/>
    <cacheHierarchy uniqueName="[Funding Priority].[Funding Priority]" caption="Funding Priority" attribute="1" defaultMemberUniqueName="[Funding Priority].[Funding Priority].[All]" allUniqueName="[Funding Priority].[Funding Priority].[All]" dimensionUniqueName="[Funding Priority]" displayFolder="" count="0" unbalanced="0"/>
    <cacheHierarchy uniqueName="[Funding Profile].[Funding Profile]" caption="Funding Profile" attribute="1" defaultMemberUniqueName="[Funding Profile].[Funding Profile].[All]" allUniqueName="[Funding Profile].[Funding Profile].[All]" dimensionUniqueName="[Funding Profile]" displayFolder="" count="0" unbalanced="0"/>
    <cacheHierarchy uniqueName="[Funding Profile].[Funding Profile Desc]" caption="Funding Profile Desc" attribute="1" defaultMemberUniqueName="[Funding Profile].[Funding Profile Desc].[All]" allUniqueName="[Funding Profile].[Funding Profile Desc].[All]" dimensionUniqueName="[Funding Profile]" displayFolder="" count="0" unbalanced="0"/>
    <cacheHierarchy uniqueName="[Funding Profile].[Funding Profile Nm]" caption="Funding Profile Nm" attribute="1" defaultMemberUniqueName="[Funding Profile].[Funding Profile Nm].[All]" allUniqueName="[Funding Profile].[Funding Profile Nm].[All]" dimensionUniqueName="[Funding Profile]" displayFolder="" count="0" unbalanced="0"/>
    <cacheHierarchy uniqueName="[Invoice].[Check Eft No]" caption="Check Eft No" attribute="1" time="1" defaultMemberUniqueName="[Invoice].[Check Eft No].[All]" allUniqueName="[Invoice].[Check Eft No].[All]" dimensionUniqueName="[Invoice]" displayFolder="" count="0" unbalanced="0"/>
    <cacheHierarchy uniqueName="[Invoice].[Invoice Date]" caption="Invoice Date" attribute="1" time="1" defaultMemberUniqueName="[Invoice].[Invoice Date].[All]" allUniqueName="[Invoice].[Invoice Date].[All]" dimensionUniqueName="[Invoice]" displayFolder="" count="0" unbalanced="0"/>
    <cacheHierarchy uniqueName="[Invoice].[Invoice Ln No]" caption="Invoice Ln No" attribute="1" time="1" defaultMemberUniqueName="[Invoice].[Invoice Ln No].[All]" allUniqueName="[Invoice].[Invoice Ln No].[All]" dimensionUniqueName="[Invoice]" displayFolder="" count="0" unbalanced="0"/>
    <cacheHierarchy uniqueName="[Invoice].[Invoice No]" caption="Invoice No" attribute="1" time="1" defaultMemberUniqueName="[Invoice].[Invoice No].[All]" allUniqueName="[Invoice].[Invoice No].[All]" dimensionUniqueName="[Invoice]" displayFolder="" count="0" unbalanced="0"/>
    <cacheHierarchy uniqueName="[Location].[Dept]" caption="Dept" attribute="1" defaultMemberUniqueName="[Location].[Dept].[All]" allUniqueName="[Location].[Dept].[All]" dimensionUniqueName="[Location]" displayFolder="" count="0" unbalanced="0"/>
    <cacheHierarchy uniqueName="[Location].[Location]" caption="Location" attribute="1" defaultMemberUniqueName="[Location].[Location].[All]" allUniqueName="[Location].[Location].[All]" dimensionUniqueName="[Location]" displayFolder="" count="0" unbalanced="0"/>
    <cacheHierarchy uniqueName="[Location].[Location Nm]" caption="Location Nm" attribute="1" defaultMemberUniqueName="[Location].[Location Nm].[All]" allUniqueName="[Location].[Location Nm].[All]" dimensionUniqueName="[Location]" displayFolder="" count="0" unbalanced="0"/>
    <cacheHierarchy uniqueName="[Object].[Obj Class Nm]" caption="Obj Class Nm" attribute="1" defaultMemberUniqueName="[Object].[Obj Class Nm].[All]" allUniqueName="[Object].[Obj Class Nm].[All]" dimensionUniqueName="[Object]" displayFolder="" count="0" unbalanced="0"/>
    <cacheHierarchy uniqueName="[Object].[Obj Group Nm]" caption="Obj Group Nm" attribute="1" defaultMemberUniqueName="[Object].[Obj Group Nm].[All]" allUniqueName="[Object].[Obj Group Nm].[All]" dimensionUniqueName="[Object]" displayFolder="" count="0" unbalanced="0"/>
    <cacheHierarchy uniqueName="[Object].[Object]" caption="Object" attribute="1" defaultMemberUniqueName="[Object].[Object].[All]" allUniqueName="[Object].[Object].[All]" dimensionUniqueName="[Object]" displayFolder="" count="0" unbalanced="0"/>
    <cacheHierarchy uniqueName="[Object].[Object Class]" caption="Object Class" attribute="1" defaultMemberUniqueName="[Object].[Object Class].[All]" allUniqueName="[Object].[Object Class].[All]" dimensionUniqueName="[Object]" displayFolder="" count="0" unbalanced="0"/>
    <cacheHierarchy uniqueName="[Object].[Object Group]" caption="Object Group" attribute="1" defaultMemberUniqueName="[Object].[Object Group].[All]" allUniqueName="[Object].[Object Group].[All]" dimensionUniqueName="[Object]" displayFolder="" count="0" unbalanced="0"/>
    <cacheHierarchy uniqueName="[Object].[Object Hierarchy]" caption="Object Hierarchy" defaultMemberUniqueName="[Object].[Object Hierarchy].[All]" allUniqueName="[Object].[Object Hierarchy].[All]" dimensionUniqueName="[Object]" displayFolder="" count="0" unbalanced="0"/>
    <cacheHierarchy uniqueName="[Object].[Object Name]" caption="Object Name" attribute="1" defaultMemberUniqueName="[Object].[Object Name].[All]" allUniqueName="[Object].[Object Name].[All]" dimensionUniqueName="[Object]" displayFolder="" count="0" unbalanced="0"/>
    <cacheHierarchy uniqueName="[PO Documents].[Doc Actg Ln No]" caption="Doc Actg Ln No" attribute="1" time="1" defaultMemberUniqueName="[PO Documents].[Doc Actg Ln No].[All]" allUniqueName="[PO Documents].[Doc Actg Ln No].[All]" dimensionUniqueName="[PO Documents]" displayFolder="" count="0" unbalanced="0"/>
    <cacheHierarchy uniqueName="[PO Documents].[Doc Cd]" caption="Doc Cd" attribute="1" time="1" defaultMemberUniqueName="[PO Documents].[Doc Cd].[All]" allUniqueName="[PO Documents].[Doc Cd].[All]" dimensionUniqueName="[PO Documents]" displayFolder="" count="0" unbalanced="0"/>
    <cacheHierarchy uniqueName="[PO Documents].[Doc Comm Ln No]" caption="Doc Comm Ln No" attribute="1" time="1" defaultMemberUniqueName="[PO Documents].[Doc Comm Ln No].[All]" allUniqueName="[PO Documents].[Doc Comm Ln No].[All]" dimensionUniqueName="[PO Documents]" displayFolder="" count="0" unbalanced="0"/>
    <cacheHierarchy uniqueName="[PO Documents].[Doc Crea Usid]" caption="Doc Crea Usid" attribute="1" time="1" defaultMemberUniqueName="[PO Documents].[Doc Crea Usid].[All]" allUniqueName="[PO Documents].[Doc Crea Usid].[All]" dimensionUniqueName="[PO Documents]" displayFolder="" count="0" unbalanced="0"/>
    <cacheHierarchy uniqueName="[PO Documents].[Doc Dept]" caption="Doc Dept" attribute="1" time="1" defaultMemberUniqueName="[PO Documents].[Doc Dept].[All]" allUniqueName="[PO Documents].[Doc Dept].[All]" dimensionUniqueName="[PO Documents]" displayFolder="" count="0" unbalanced="0"/>
    <cacheHierarchy uniqueName="[PO Documents].[Doc Dscr]" caption="Doc Dscr" attribute="1" time="1" defaultMemberUniqueName="[PO Documents].[Doc Dscr].[All]" allUniqueName="[PO Documents].[Doc Dscr].[All]" dimensionUniqueName="[PO Documents]" displayFolder="" count="0" unbalanced="0"/>
    <cacheHierarchy uniqueName="[PO Documents].[Doc Func]" caption="Doc Func" attribute="1" time="1" defaultMemberUniqueName="[PO Documents].[Doc Func].[All]" allUniqueName="[PO Documents].[Doc Func].[All]" dimensionUniqueName="[PO Documents]" displayFolder="" count="0" unbalanced="0"/>
    <cacheHierarchy uniqueName="[PO Documents].[Doc ID]" caption="Doc ID" attribute="1" time="1" defaultMemberUniqueName="[PO Documents].[Doc ID].[All]" allUniqueName="[PO Documents].[Doc ID].[All]" dimensionUniqueName="[PO Documents]" displayFolder="" count="0" unbalanced="0"/>
    <cacheHierarchy uniqueName="[PO Documents].[Doc Last Dt]" caption="Doc Last Dt" attribute="1" time="1" defaultMemberUniqueName="[PO Documents].[Doc Last Dt].[All]" allUniqueName="[PO Documents].[Doc Last Dt].[All]" dimensionUniqueName="[PO Documents]" displayFolder="" count="0" unbalanced="0"/>
    <cacheHierarchy uniqueName="[PO Documents].[Doc Last Usid]" caption="Doc Last Usid" attribute="1" time="1" defaultMemberUniqueName="[PO Documents].[Doc Last Usid].[All]" allUniqueName="[PO Documents].[Doc Last Usid].[All]" dimensionUniqueName="[PO Documents]" displayFolder="" count="0" unbalanced="0"/>
    <cacheHierarchy uniqueName="[PO Documents].[Doc Nm]" caption="Doc Nm" attribute="1" time="1" defaultMemberUniqueName="[PO Documents].[Doc Nm].[All]" allUniqueName="[PO Documents].[Doc Nm].[All]" dimensionUniqueName="[PO Documents]" displayFolder="" count="0" unbalanced="0"/>
    <cacheHierarchy uniqueName="[PO Documents].[Doc Phase Cd]" caption="Doc Phase Cd" attribute="1" time="1" defaultMemberUniqueName="[PO Documents].[Doc Phase Cd].[All]" allUniqueName="[PO Documents].[Doc Phase Cd].[All]" dimensionUniqueName="[PO Documents]" displayFolder="" count="0" unbalanced="0"/>
    <cacheHierarchy uniqueName="[PO Documents].[Doc Vers No]" caption="Doc Vers No" attribute="1" time="1" defaultMemberUniqueName="[PO Documents].[Doc Vers No].[All]" allUniqueName="[PO Documents].[Doc Vers No].[All]" dimensionUniqueName="[PO Documents]" displayFolder="" count="0" unbalanced="0"/>
    <cacheHierarchy uniqueName="[PO Documents].[Svc End Dt]" caption="Svc End Dt" attribute="1" time="1" defaultMemberUniqueName="[PO Documents].[Svc End Dt].[All]" allUniqueName="[PO Documents].[Svc End Dt].[All]" dimensionUniqueName="[PO Documents]" displayFolder="" count="0" unbalanced="0"/>
    <cacheHierarchy uniqueName="[PO Documents].[Svc Strt Dt]" caption="Svc Strt Dt" attribute="1" time="1" defaultMemberUniqueName="[PO Documents].[Svc Strt Dt].[All]" allUniqueName="[PO Documents].[Svc Strt Dt].[All]" dimensionUniqueName="[PO Documents]" displayFolder="" count="0" unbalanced="0"/>
    <cacheHierarchy uniqueName="[Posting Code].[Bucket]" caption="Bucket" attribute="1" defaultMemberUniqueName="[Posting Code].[Bucket].[All]" allUniqueName="[Posting Code].[Bucket].[All]" dimensionUniqueName="[Posting Code]" displayFolder="" count="2" unbalanced="0">
      <fieldsUsage count="2">
        <fieldUsage x="-1"/>
        <fieldUsage x="7"/>
      </fieldsUsage>
    </cacheHierarchy>
    <cacheHierarchy uniqueName="[Posting Code].[Bucket Nm]" caption="Bucket Nm" attribute="1" defaultMemberUniqueName="[Posting Code].[Bucket Nm].[All]" allUniqueName="[Posting Code].[Bucket Nm].[All]" dimensionUniqueName="[Posting Code]" displayFolder="" count="0" unbalanced="0"/>
    <cacheHierarchy uniqueName="[Posting Code].[Code Type Ind]" caption="Code Type Ind" attribute="1" defaultMemberUniqueName="[Posting Code].[Code Type Ind].[All]" allUniqueName="[Posting Code].[Code Type Ind].[All]" dimensionUniqueName="[Posting Code]" displayFolder="" count="0" unbalanced="0"/>
    <cacheHierarchy uniqueName="[Posting Code].[Exp Bud Fl]" caption="Exp Bud Fl" attribute="1" defaultMemberUniqueName="[Posting Code].[Exp Bud Fl].[All]" allUniqueName="[Posting Code].[Exp Bud Fl].[All]" dimensionUniqueName="[Posting Code]" displayFolder="" count="0" unbalanced="0"/>
    <cacheHierarchy uniqueName="[Posting Code].[Financial Category]" caption="Financial Category" attribute="1" defaultMemberUniqueName="[Posting Code].[Financial Category].[All]" allUniqueName="[Posting Code].[Financial Category].[All]" dimensionUniqueName="[Posting Code]" displayFolder="" count="2" unbalanced="0">
      <fieldsUsage count="2">
        <fieldUsage x="-1"/>
        <fieldUsage x="0"/>
      </fieldsUsage>
    </cacheHierarchy>
    <cacheHierarchy uniqueName="[Posting Code].[Financial Category Hierarchy]" caption="Financial Category Hierarchy" defaultMemberUniqueName="[Posting Code].[Financial Category Hierarchy].[All]" allUniqueName="[Posting Code].[Financial Category Hierarchy].[All]" dimensionUniqueName="[Posting Code]" displayFolder="" count="0" unbalanced="0"/>
    <cacheHierarchy uniqueName="[Posting Code].[Posting Code]" caption="Posting Code" attribute="1" defaultMemberUniqueName="[Posting Code].[Posting Code].[All]" allUniqueName="[Posting Code].[Posting Code].[All]" dimensionUniqueName="[Posting Code]" displayFolder="" count="0" unbalanced="0"/>
    <cacheHierarchy uniqueName="[Posting Code].[Posting Code Clos Cl Cd]" caption="Posting Code Clos Cl Cd" attribute="1" defaultMemberUniqueName="[Posting Code].[Posting Code Clos Cl Cd].[All]" allUniqueName="[Posting Code].[Posting Code Clos Cl Cd].[All]" dimensionUniqueName="[Posting Code]" displayFolder="" count="0" unbalanced="0"/>
    <cacheHierarchy uniqueName="[Posting Code].[Posting Code Clos Cl Nm]" caption="Posting Code Clos Cl Nm" attribute="1" defaultMemberUniqueName="[Posting Code].[Posting Code Clos Cl Nm].[All]" allUniqueName="[Posting Code].[Posting Code Clos Cl Nm].[All]" dimensionUniqueName="[Posting Code]" displayFolder="" count="0" unbalanced="0"/>
    <cacheHierarchy uniqueName="[Posting Code].[Posting Code Nm]" caption="Posting Code Nm" attribute="1" defaultMemberUniqueName="[Posting Code].[Posting Code Nm].[All]" allUniqueName="[Posting Code].[Posting Code Nm].[All]" dimensionUniqueName="[Posting Code]" displayFolder="" count="0" unbalanced="0"/>
    <cacheHierarchy uniqueName="[Posting Code].[Rev Bud Fl]" caption="Rev Bud Fl" attribute="1" defaultMemberUniqueName="[Posting Code].[Rev Bud Fl].[All]" allUniqueName="[Posting Code].[Rev Bud Fl].[All]" dimensionUniqueName="[Posting Code]" displayFolder="" count="0" unbalanced="0"/>
    <cacheHierarchy uniqueName="[Program].[Effective Bgn Dt]" caption="Effective Bgn Dt" attribute="1" defaultMemberUniqueName="[Program].[Effective Bgn Dt].[All]" allUniqueName="[Program].[Effective Bgn Dt].[All]" dimensionUniqueName="[Program]" displayFolder="" count="0" unbalanced="0"/>
    <cacheHierarchy uniqueName="[Program].[Effective End Dt]" caption="Effective End Dt" attribute="1" defaultMemberUniqueName="[Program].[Effective End Dt].[All]" allUniqueName="[Program].[Effective End Dt].[All]" dimensionUniqueName="[Program]" displayFolder="" count="0" unbalanced="0"/>
    <cacheHierarchy uniqueName="[Program].[Mjr Prog]" caption="Mjr Prog" attribute="1" defaultMemberUniqueName="[Program].[Mjr Prog].[All]" allUniqueName="[Program].[Mjr Prog].[All]" dimensionUniqueName="[Program]" displayFolder="" count="0" unbalanced="0"/>
    <cacheHierarchy uniqueName="[Program].[Mjr Prog EfBgn Dt]" caption="Mjr Prog EfBgn Dt" attribute="1" defaultMemberUniqueName="[Program].[Mjr Prog EfBgn Dt].[All]" allUniqueName="[Program].[Mjr Prog EfBgn Dt].[All]" dimensionUniqueName="[Program]" displayFolder="" count="0" unbalanced="0"/>
    <cacheHierarchy uniqueName="[Program].[Mjr Prog EfEnd Dt]" caption="Mjr Prog EfEnd Dt" attribute="1" defaultMemberUniqueName="[Program].[Mjr Prog EfEnd Dt].[All]" allUniqueName="[Program].[Mjr Prog EfEnd Dt].[All]" dimensionUniqueName="[Program]" displayFolder="" count="0" unbalanced="0"/>
    <cacheHierarchy uniqueName="[Program].[Mjr Prog Hierarchy]" caption="Mjr Prog Hierarchy" defaultMemberUniqueName="[Program].[Mjr Prog Hierarchy].[All]" allUniqueName="[Program].[Mjr Prog Hierarchy].[All]" dimensionUniqueName="[Program]" displayFolder="" count="0" unbalanced="0"/>
    <cacheHierarchy uniqueName="[Program].[Mjr Prog Nm]" caption="Mjr Prog Nm" attribute="1" defaultMemberUniqueName="[Program].[Mjr Prog Nm].[All]" allUniqueName="[Program].[Mjr Prog Nm].[All]" dimensionUniqueName="[Program]" displayFolder="" count="0" unbalanced="0"/>
    <cacheHierarchy uniqueName="[Program].[Prog Active Flag]" caption="Prog Active Flag" attribute="1" defaultMemberUniqueName="[Program].[Prog Active Flag].[All]" allUniqueName="[Program].[Prog Active Flag].[All]" dimensionUniqueName="[Program]" displayFolder="" count="0" unbalanced="0"/>
    <cacheHierarchy uniqueName="[Program].[Prog Group]" caption="Prog Group" attribute="1" defaultMemberUniqueName="[Program].[Prog Group].[All]" allUniqueName="[Program].[Prog Group].[All]" dimensionUniqueName="[Program]" displayFolder="" count="0" unbalanced="0"/>
    <cacheHierarchy uniqueName="[Program].[Prog Group Hierarchy]" caption="Prog Group Hierarchy" defaultMemberUniqueName="[Program].[Prog Group Hierarchy].[All]" allUniqueName="[Program].[Prog Group Hierarchy].[All]" dimensionUniqueName="[Program]" displayFolder="" count="0" unbalanced="0"/>
    <cacheHierarchy uniqueName="[Program].[Prog Grp Nm]" caption="Prog Grp Nm" attribute="1" defaultMemberUniqueName="[Program].[Prog Grp Nm].[All]" allUniqueName="[Program].[Prog Grp Nm].[All]" dimensionUniqueName="[Program]" displayFolder="" count="0" unbalanced="0"/>
    <cacheHierarchy uniqueName="[Program].[Program]" caption="Program" attribute="1" defaultMemberUniqueName="[Program].[Program].[All]" allUniqueName="[Program].[Program].[All]" dimensionUniqueName="[Program]" displayFolder="" count="0" unbalanced="0"/>
    <cacheHierarchy uniqueName="[Program].[Program Nm]" caption="Program Nm" attribute="1" defaultMemberUniqueName="[Program].[Program Nm].[All]" allUniqueName="[Program].[Program Nm].[All]" dimensionUniqueName="[Program]" displayFolder="" count="0" unbalanced="0"/>
    <cacheHierarchy uniqueName="[Program Period].[Fed Ctlg Agency]" caption="Fed Ctlg Agency" attribute="1" time="1" defaultMemberUniqueName="[Program Period].[Fed Ctlg Agency].[All]" allUniqueName="[Program Period].[Fed Ctlg Agency].[All]" dimensionUniqueName="[Program Period]" displayFolder="" count="0" unbalanced="0"/>
    <cacheHierarchy uniqueName="[Program Period].[Fed Ctlg No Sfx]" caption="Fed Ctlg No Sfx" attribute="1" time="1" defaultMemberUniqueName="[Program Period].[Fed Ctlg No Sfx].[All]" allUniqueName="[Program Period].[Fed Ctlg No Sfx].[All]" dimensionUniqueName="[Program Period]" displayFolder="" count="0" unbalanced="0"/>
    <cacheHierarchy uniqueName="[Program Period].[Ppc Infr End Dt]" caption="Ppc Infr End Dt" attribute="1" time="1" defaultMemberUniqueName="[Program Period].[Ppc Infr End Dt].[All]" allUniqueName="[Program Period].[Ppc Infr End Dt].[All]" dimensionUniqueName="[Program Period]" displayFolder="" count="0" unbalanced="0"/>
    <cacheHierarchy uniqueName="[Program Period].[Ppc Infr Strt Dt]" caption="Ppc Infr Strt Dt" attribute="1" time="1" defaultMemberUniqueName="[Program Period].[Ppc Infr Strt Dt].[All]" allUniqueName="[Program Period].[Ppc Infr Strt Dt].[All]" dimensionUniqueName="[Program Period]" displayFolder="" count="0" unbalanced="0"/>
    <cacheHierarchy uniqueName="[Program Period].[PPC Nm]" caption="PPC Nm" attribute="1" time="1" defaultMemberUniqueName="[Program Period].[PPC Nm].[All]" allUniqueName="[Program Period].[PPC Nm].[All]" dimensionUniqueName="[Program Period]" displayFolder="" count="0" unbalanced="0"/>
    <cacheHierarchy uniqueName="[Program Period].[Prog Period]" caption="Prog Period" attribute="1" time="1" defaultMemberUniqueName="[Program Period].[Prog Period].[All]" allUniqueName="[Program Period].[Prog Period].[All]" dimensionUniqueName="[Program Period]" displayFolder="" count="0" unbalanced="0"/>
    <cacheHierarchy uniqueName="[Reference Docs].[Fortis Id]" caption="Fortis Id" attribute="1" defaultMemberUniqueName="[Reference Docs].[Fortis Id].[All]" allUniqueName="[Reference Docs].[Fortis Id].[All]" dimensionUniqueName="[Reference Docs]" displayFolder="" count="0" unbalanced="0"/>
    <cacheHierarchy uniqueName="[Reference Docs].[Ref Actg ln No]" caption="Ref Actg ln No" attribute="1" defaultMemberUniqueName="[Reference Docs].[Ref Actg ln No].[All]" allUniqueName="[Reference Docs].[Ref Actg ln No].[All]" dimensionUniqueName="[Reference Docs]" displayFolder="" count="0" unbalanced="0"/>
    <cacheHierarchy uniqueName="[Reference Docs].[Ref Comm Ln No]" caption="Ref Comm Ln No" attribute="1" defaultMemberUniqueName="[Reference Docs].[Ref Comm Ln No].[All]" allUniqueName="[Reference Docs].[Ref Comm Ln No].[All]" dimensionUniqueName="[Reference Docs]" displayFolder="" count="0" unbalanced="0"/>
    <cacheHierarchy uniqueName="[Reference Docs].[Ref Doc Cd]" caption="Ref Doc Cd" attribute="1" defaultMemberUniqueName="[Reference Docs].[Ref Doc Cd].[All]" allUniqueName="[Reference Docs].[Ref Doc Cd].[All]" dimensionUniqueName="[Reference Docs]" displayFolder="" count="0" unbalanced="0"/>
    <cacheHierarchy uniqueName="[Reference Docs].[Ref Doc Dept]" caption="Ref Doc Dept" attribute="1" defaultMemberUniqueName="[Reference Docs].[Ref Doc Dept].[All]" allUniqueName="[Reference Docs].[Ref Doc Dept].[All]" dimensionUniqueName="[Reference Docs]" displayFolder="" count="0" unbalanced="0"/>
    <cacheHierarchy uniqueName="[Reference Docs].[Ref Doc Id]" caption="Ref Doc Id" attribute="1" defaultMemberUniqueName="[Reference Docs].[Ref Doc Id].[All]" allUniqueName="[Reference Docs].[Ref Doc Id].[All]" dimensionUniqueName="[Reference Docs]" displayFolder="" count="0" unbalanced="0"/>
    <cacheHierarchy uniqueName="[Reference Docs].[Ref Type]" caption="Ref Type" attribute="1" defaultMemberUniqueName="[Reference Docs].[Ref Type].[All]" allUniqueName="[Reference Docs].[Ref Type].[All]" dimensionUniqueName="[Reference Docs]" displayFolder="" count="0" unbalanced="0"/>
    <cacheHierarchy uniqueName="[Reference Docs].[Ref Vend Ln No]" caption="Ref Vend Ln No" attribute="1" defaultMemberUniqueName="[Reference Docs].[Ref Vend Ln No].[All]" allUniqueName="[Reference Docs].[Ref Vend Ln No].[All]" dimensionUniqueName="[Reference Docs]" displayFolder="" count="0" unbalanced="0"/>
    <cacheHierarchy uniqueName="[Report Code].[Reporting Active Flag]" caption="Reporting Active Flag" attribute="1" defaultMemberUniqueName="[Report Code].[Reporting Active Flag].[All]" allUniqueName="[Report Code].[Reporting Active Flag].[All]" dimensionUniqueName="[Report Code]" displayFolder="" count="0" unbalanced="0"/>
    <cacheHierarchy uniqueName="[Report Code].[Reporting Allow Budget Flag]" caption="Reporting Allow Budget Flag" attribute="1" defaultMemberUniqueName="[Report Code].[Reporting Allow Budget Flag].[All]" allUniqueName="[Report Code].[Reporting Allow Budget Flag].[All]" dimensionUniqueName="[Report Code]" displayFolder="" count="0" unbalanced="0"/>
    <cacheHierarchy uniqueName="[Report Code].[Reporting Category Code]" caption="Reporting Category Code" attribute="1" defaultMemberUniqueName="[Report Code].[Reporting Category Code].[All]" allUniqueName="[Report Code].[Reporting Category Code].[All]" dimensionUniqueName="[Report Code]" displayFolder="" count="0" unbalanced="0"/>
    <cacheHierarchy uniqueName="[Report Code].[Reporting Class Code]" caption="Reporting Class Code" attribute="1" defaultMemberUniqueName="[Report Code].[Reporting Class Code].[All]" allUniqueName="[Report Code].[Reporting Class Code].[All]" dimensionUniqueName="[Report Code]" displayFolder="" count="0" unbalanced="0"/>
    <cacheHierarchy uniqueName="[Report Code].[Reporting Code]" caption="Reporting Code" attribute="1" defaultMemberUniqueName="[Report Code].[Reporting Code].[All]" allUniqueName="[Report Code].[Reporting Code].[All]" dimensionUniqueName="[Report Code]" displayFolder="" count="0" unbalanced="0"/>
    <cacheHierarchy uniqueName="[Report Code].[Reporting Contact Code]" caption="Reporting Contact Code" attribute="1" defaultMemberUniqueName="[Report Code].[Reporting Contact Code].[All]" allUniqueName="[Report Code].[Reporting Contact Code].[All]" dimensionUniqueName="[Report Code]" displayFolder="" count="0" unbalanced="0"/>
    <cacheHierarchy uniqueName="[Report Code].[Reporting Description]" caption="Reporting Description" attribute="1" defaultMemberUniqueName="[Report Code].[Reporting Description].[All]" allUniqueName="[Report Code].[Reporting Description].[All]" dimensionUniqueName="[Report Code]" displayFolder="" count="0" unbalanced="0"/>
    <cacheHierarchy uniqueName="[Report Code].[Reporting Effective Begin Date]" caption="Reporting Effective Begin Date" attribute="1" defaultMemberUniqueName="[Report Code].[Reporting Effective Begin Date].[All]" allUniqueName="[Report Code].[Reporting Effective Begin Date].[All]" dimensionUniqueName="[Report Code]" displayFolder="" count="0" unbalanced="0"/>
    <cacheHierarchy uniqueName="[Report Code].[Reporting Effective End Date]" caption="Reporting Effective End Date" attribute="1" defaultMemberUniqueName="[Report Code].[Reporting Effective End Date].[All]" allUniqueName="[Report Code].[Reporting Effective End Date].[All]" dimensionUniqueName="[Report Code]" displayFolder="" count="0" unbalanced="0"/>
    <cacheHierarchy uniqueName="[Report Code].[Reporting Extended Description]" caption="Reporting Extended Description" attribute="1" defaultMemberUniqueName="[Report Code].[Reporting Extended Description].[All]" allUniqueName="[Report Code].[Reporting Extended Description].[All]" dimensionUniqueName="[Report Code]" displayFolder="" count="0" unbalanced="0"/>
    <cacheHierarchy uniqueName="[Report Code].[Reporting Group Code]" caption="Reporting Group Code" attribute="1" defaultMemberUniqueName="[Report Code].[Reporting Group Code].[All]" allUniqueName="[Report Code].[Reporting Group Code].[All]" dimensionUniqueName="[Report Code]" displayFolder="" count="0" unbalanced="0"/>
    <cacheHierarchy uniqueName="[Report Code].[Reporting Name]" caption="Reporting Name" attribute="1" defaultMemberUniqueName="[Report Code].[Reporting Name].[All]" allUniqueName="[Report Code].[Reporting Name].[All]" dimensionUniqueName="[Report Code]" displayFolder="" count="0" unbalanced="0"/>
    <cacheHierarchy uniqueName="[Report Code].[Reporting Short Name]" caption="Reporting Short Name" attribute="1" defaultMemberUniqueName="[Report Code].[Reporting Short Name].[All]" allUniqueName="[Report Code].[Reporting Short Name].[All]" dimensionUniqueName="[Report Code]" displayFolder="" count="0" unbalanced="0"/>
    <cacheHierarchy uniqueName="[Report Code].[Reporting Type Code]" caption="Reporting Type Code" attribute="1" defaultMemberUniqueName="[Report Code].[Reporting Type Code].[All]" allUniqueName="[Report Code].[Reporting Type Code].[All]" dimensionUniqueName="[Report Code]" displayFolder="" count="0" unbalanced="0"/>
    <cacheHierarchy uniqueName="[Revenue].[Rev Src]" caption="Rev Src" attribute="1" defaultMemberUniqueName="[Revenue].[Rev Src].[All]" allUniqueName="[Revenue].[Rev Src].[All]" dimensionUniqueName="[Revenue]" displayFolder="" count="2" unbalanced="0">
      <fieldsUsage count="2">
        <fieldUsage x="-1"/>
        <fieldUsage x="4"/>
      </fieldsUsage>
    </cacheHierarchy>
    <cacheHierarchy uniqueName="[Revenue].[Rev Src Class]" caption="Rev Src Class" attribute="1" defaultMemberUniqueName="[Revenue].[Rev Src Class].[All]" allUniqueName="[Revenue].[Rev Src Class].[All]" dimensionUniqueName="[Revenue]" displayFolder="" count="0" unbalanced="0"/>
    <cacheHierarchy uniqueName="[Revenue].[Rev Src Cls Nm]" caption="Rev Src Cls Nm" attribute="1" defaultMemberUniqueName="[Revenue].[Rev Src Cls Nm].[All]" allUniqueName="[Revenue].[Rev Src Cls Nm].[All]" dimensionUniqueName="[Revenue]" displayFolder="" count="0" unbalanced="0"/>
    <cacheHierarchy uniqueName="[Revenue].[Rev Src Group]" caption="Rev Src Group" attribute="1" defaultMemberUniqueName="[Revenue].[Rev Src Group].[All]" allUniqueName="[Revenue].[Rev Src Group].[All]" dimensionUniqueName="[Revenue]" displayFolder="" count="0" unbalanced="0"/>
    <cacheHierarchy uniqueName="[Revenue].[Rev Src Group Nm]" caption="Rev Src Group Nm" attribute="1" defaultMemberUniqueName="[Revenue].[Rev Src Group Nm].[All]" allUniqueName="[Revenue].[Rev Src Group Nm].[All]" dimensionUniqueName="[Revenue]" displayFolder="" count="0" unbalanced="0"/>
    <cacheHierarchy uniqueName="[Revenue].[Rev Src Nm]" caption="Rev Src Nm" attribute="1" defaultMemberUniqueName="[Revenue].[Rev Src Nm].[All]" allUniqueName="[Revenue].[Rev Src Nm].[All]" dimensionUniqueName="[Revenue]" displayFolder="" count="2" unbalanced="0">
      <fieldsUsage count="2">
        <fieldUsage x="-1"/>
        <fieldUsage x="5"/>
      </fieldsUsage>
    </cacheHierarchy>
    <cacheHierarchy uniqueName="[Revenue].[Revenue Hierarchy]" caption="Revenue Hierarchy" defaultMemberUniqueName="[Revenue].[Revenue Hierarchy].[All]" allUniqueName="[Revenue].[Revenue Hierarchy].[All]" dimensionUniqueName="[Revenue]" displayFolder="" count="0" unbalanced="0"/>
    <cacheHierarchy uniqueName="[Service From Dt].[Service From Dt]" caption="Service From Dt.Service From Dt" attribute="1" time="1" defaultMemberUniqueName="[Service From Dt].[Service From Dt].[All]" allUniqueName="[Service From Dt].[Service From Dt].[All]" dimensionUniqueName="[Service From Dt]" displayFolder="" count="0" unbalanced="0"/>
    <cacheHierarchy uniqueName="[Service To Dt].[Service To Dt]" caption="Service To Dt.Service To Dt" attribute="1" time="1" defaultMemberUniqueName="[Service To Dt].[Service To Dt].[All]" allUniqueName="[Service To Dt].[Service To Dt].[All]" dimensionUniqueName="[Service To Dt]" displayFolder="" count="0" unbalanced="0"/>
    <cacheHierarchy uniqueName="[SubActivity].[Sub Activity]" caption="Sub Activity" attribute="1" defaultMemberUniqueName="[SubActivity].[Sub Activity].[All]" allUniqueName="[SubActivity].[Sub Activity].[All]" dimensionUniqueName="[SubActivity]" displayFolder="" count="0" unbalanced="0"/>
    <cacheHierarchy uniqueName="[SubActivity].[Sub Activity Nm]" caption="Sub Activity Nm" attribute="1" defaultMemberUniqueName="[SubActivity].[Sub Activity Nm].[All]" allUniqueName="[SubActivity].[Sub Activity Nm].[All]" dimensionUniqueName="[SubActivity]" displayFolder="" count="0" unbalanced="0"/>
    <cacheHierarchy uniqueName="[SubTask].[Sub Task]" caption="Sub Task" attribute="1" defaultMemberUniqueName="[SubTask].[Sub Task].[All]" allUniqueName="[SubTask].[Sub Task].[All]" dimensionUniqueName="[SubTask]" displayFolder="" count="0" unbalanced="0"/>
    <cacheHierarchy uniqueName="[SubTask].[Sub Task Nm]" caption="Sub Task Nm" attribute="1" defaultMemberUniqueName="[SubTask].[Sub Task Nm].[All]" allUniqueName="[SubTask].[Sub Task Nm].[All]" dimensionUniqueName="[SubTask]" displayFolder="" count="0" unbalanced="0"/>
    <cacheHierarchy uniqueName="[SubUnit].[Active Flag]" caption="Active Flag" attribute="1" time="1" defaultMemberUniqueName="[SubUnit].[Active Flag].[All]" allUniqueName="[SubUnit].[Active Flag].[All]" dimensionUniqueName="[SubUnit]" displayFolder="" count="0" unbalanced="0"/>
    <cacheHierarchy uniqueName="[SubUnit].[EfBgn Dt]" caption="EfBgn Dt" attribute="1" time="1" defaultMemberUniqueName="[SubUnit].[EfBgn Dt].[All]" allUniqueName="[SubUnit].[EfBgn Dt].[All]" dimensionUniqueName="[SubUnit]" displayFolder="" count="0" unbalanced="0"/>
    <cacheHierarchy uniqueName="[SubUnit].[EfEnd Dt]" caption="EfEnd Dt" attribute="1" time="1" defaultMemberUniqueName="[SubUnit].[EfEnd Dt].[All]" allUniqueName="[SubUnit].[EfEnd Dt].[All]" dimensionUniqueName="[SubUnit]" displayFolder="" count="0" unbalanced="0"/>
    <cacheHierarchy uniqueName="[SubUnit].[Sub Unit]" caption="Sub Unit" attribute="1" time="1" defaultMemberUniqueName="[SubUnit].[Sub Unit].[All]" allUniqueName="[SubUnit].[Sub Unit].[All]" dimensionUniqueName="[SubUnit]" displayFolder="" count="0" unbalanced="0"/>
    <cacheHierarchy uniqueName="[SubUnit].[Sub Unit Nm]" caption="Sub Unit Nm" attribute="1" time="1" defaultMemberUniqueName="[SubUnit].[Sub Unit Nm].[All]" allUniqueName="[SubUnit].[Sub Unit Nm].[All]" dimensionUniqueName="[SubUnit]" displayFolder="" count="0" unbalanced="0"/>
    <cacheHierarchy uniqueName="[Task].[Task]" caption="Task" attribute="1" defaultMemberUniqueName="[Task].[Task].[All]" allUniqueName="[Task].[Task].[All]" dimensionUniqueName="[Task]" displayFolder="" count="0" unbalanced="0"/>
    <cacheHierarchy uniqueName="[Task].[Task Nm]" caption="Task Nm" attribute="1" defaultMemberUniqueName="[Task].[Task Nm].[All]" allUniqueName="[Task].[Task Nm].[All]" dimensionUniqueName="[Task]" displayFolder="" count="0" unbalanced="0"/>
    <cacheHierarchy uniqueName="[Task Order].[Task Ord Cd]" caption="Task Ord Cd" attribute="1" defaultMemberUniqueName="[Task Order].[Task Ord Cd].[All]" allUniqueName="[Task Order].[Task Ord Cd].[All]" dimensionUniqueName="[Task Order]" displayFolder="" count="0" unbalanced="0"/>
    <cacheHierarchy uniqueName="[Task Order].[Task Order Nm]" caption="Task Order Nm" attribute="1" defaultMemberUniqueName="[Task Order].[Task Order Nm].[All]" allUniqueName="[Task Order].[Task Order Nm].[All]" dimensionUniqueName="[Task Order]" displayFolder="" count="0" unbalanced="0"/>
    <cacheHierarchy uniqueName="[Unit].[Active Fl]" caption="Active Fl" attribute="1" defaultMemberUniqueName="[Unit].[Active Fl].[All]" allUniqueName="[Unit].[Active Fl].[All]" dimensionUniqueName="[Unit]" displayFolder="" count="0" unbalanced="0"/>
    <cacheHierarchy uniqueName="[Unit].[Bureau]" caption="Bureau" attribute="1" defaultMemberUniqueName="[Unit].[Bureau].[All]" allUniqueName="[Unit].[Bureau].[All]" dimensionUniqueName="[Unit]" displayFolder="" count="0" unbalanced="0"/>
    <cacheHierarchy uniqueName="[Unit].[Bureau - Unit Hierarchy]" caption="Bureau - Unit Hierarchy" defaultMemberUniqueName="[Unit].[Bureau - Unit Hierarchy].[All]" allUniqueName="[Unit].[Bureau - Unit Hierarchy].[All]" dimensionUniqueName="[Unit]" displayFolder="" count="0" unbalanced="0"/>
    <cacheHierarchy uniqueName="[Unit].[Bureau Nm]" caption="Bureau Nm" attribute="1" defaultMemberUniqueName="[Unit].[Bureau Nm].[All]" allUniqueName="[Unit].[Bureau Nm].[All]" dimensionUniqueName="[Unit]" displayFolder="" count="0" unbalanced="0"/>
    <cacheHierarchy uniqueName="[Unit].[Cabinet]" caption="Cabinet" attribute="1" defaultMemberUniqueName="[Unit].[Cabinet].[All]" allUniqueName="[Unit].[Cabinet].[All]" dimensionUniqueName="[Unit]" displayFolder="" count="0" unbalanced="0"/>
    <cacheHierarchy uniqueName="[Unit].[Flx Rpt 1]" caption="Flx Rpt 1" attribute="1" defaultMemberUniqueName="[Unit].[Flx Rpt 1].[All]" allUniqueName="[Unit].[Flx Rpt 1].[All]" dimensionUniqueName="[Unit]" displayFolder="" count="0" unbalanced="0"/>
    <cacheHierarchy uniqueName="[Unit].[Flx Rpt 1 -  Unit Hierarchy]" caption="Flx Rpt 1 -  Unit Hierarchy" defaultMemberUniqueName="[Unit].[Flx Rpt 1 -  Unit Hierarchy].[All]" allUniqueName="[Unit].[Flx Rpt 1 -  Unit Hierarchy].[All]" dimensionUniqueName="[Unit]" displayFolder="" count="0" unbalanced="0"/>
    <cacheHierarchy uniqueName="[Unit].[Flx Rpt 1 Nm]" caption="Flx Rpt 1 Nm" attribute="1" defaultMemberUniqueName="[Unit].[Flx Rpt 1 Nm].[All]" allUniqueName="[Unit].[Flx Rpt 1 Nm].[All]" dimensionUniqueName="[Unit]" displayFolder="" count="0" unbalanced="0"/>
    <cacheHierarchy uniqueName="[Unit].[Unit]" caption="Unit" attribute="1" defaultMemberUniqueName="[Unit].[Unit].[All]" allUniqueName="[Unit].[Unit].[All]" dimensionUniqueName="[Unit]" displayFolder="" count="2" unbalanced="0">
      <fieldsUsage count="2">
        <fieldUsage x="-1"/>
        <fieldUsage x="8"/>
      </fieldsUsage>
    </cacheHierarchy>
    <cacheHierarchy uniqueName="[Unit].[Unit Nm]" caption="Unit Nm" attribute="1" defaultMemberUniqueName="[Unit].[Unit Nm].[All]" allUniqueName="[Unit].[Unit Nm].[All]" dimensionUniqueName="[Unit]" displayFolder="" count="0" unbalanced="0"/>
    <cacheHierarchy uniqueName="[Vendor Customer].[Alias Name]" caption="Alias Name" attribute="1" time="1" defaultMemberUniqueName="[Vendor Customer].[Alias Name].[All]" allUniqueName="[Vendor Customer].[Alias Name].[All]" dimensionUniqueName="[Vendor Customer]" displayFolder="" count="0" unbalanced="0"/>
    <cacheHierarchy uniqueName="[Vendor Customer].[Cust Active Status]" caption="Cust Active Status" attribute="1" time="1" defaultMemberUniqueName="[Vendor Customer].[Cust Active Status].[All]" allUniqueName="[Vendor Customer].[Cust Active Status].[All]" dimensionUniqueName="[Vendor Customer]" displayFolder="" count="0" unbalanced="0"/>
    <cacheHierarchy uniqueName="[Vendor Customer].[Cust Approve Status]" caption="Cust Approve Status" attribute="1" time="1" defaultMemberUniqueName="[Vendor Customer].[Cust Approve Status].[All]" allUniqueName="[Vendor Customer].[Cust Approve Status].[All]" dimensionUniqueName="[Vendor Customer]" displayFolder="" count="0" unbalanced="0"/>
    <cacheHierarchy uniqueName="[Vendor Customer].[Eft Status]" caption="Eft Status" attribute="1" time="1" defaultMemberUniqueName="[Vendor Customer].[Eft Status].[All]" allUniqueName="[Vendor Customer].[Eft Status].[All]" dimensionUniqueName="[Vendor Customer]" displayFolder="" count="0" unbalanced="0"/>
    <cacheHierarchy uniqueName="[Vendor Customer].[First Name]" caption="First Name" attribute="1" time="1" defaultMemberUniqueName="[Vendor Customer].[First Name].[All]" allUniqueName="[Vendor Customer].[First Name].[All]" dimensionUniqueName="[Vendor Customer]" displayFolder="" count="0" unbalanced="0"/>
    <cacheHierarchy uniqueName="[Vendor Customer].[Hold Pymt Flag]" caption="Hold Pymt Flag" attribute="1" time="1" defaultMemberUniqueName="[Vendor Customer].[Hold Pymt Flag].[All]" allUniqueName="[Vendor Customer].[Hold Pymt Flag].[All]" dimensionUniqueName="[Vendor Customer]" displayFolder="" count="0" unbalanced="0"/>
    <cacheHierarchy uniqueName="[Vendor Customer].[Int Acct Flag]" caption="Int Acct Flag" attribute="1" time="1" defaultMemberUniqueName="[Vendor Customer].[Int Acct Flag].[All]" allUniqueName="[Vendor Customer].[Int Acct Flag].[All]" dimensionUniqueName="[Vendor Customer]" displayFolder="" count="0" unbalanced="0"/>
    <cacheHierarchy uniqueName="[Vendor Customer].[Last Name]" caption="Last Name" attribute="1" time="1" defaultMemberUniqueName="[Vendor Customer].[Last Name].[All]" allUniqueName="[Vendor Customer].[Last Name].[All]" dimensionUniqueName="[Vendor Customer]" displayFolder="" count="0" unbalanced="0"/>
    <cacheHierarchy uniqueName="[Vendor Customer].[Legal Name]" caption="Legal Name" attribute="1" time="1" defaultMemberUniqueName="[Vendor Customer].[Legal Name].[All]" allUniqueName="[Vendor Customer].[Legal Name].[All]" dimensionUniqueName="[Vendor Customer]" displayFolder="" count="0" unbalanced="0"/>
    <cacheHierarchy uniqueName="[Vendor Customer].[Parent Acct Code]" caption="Parent Acct Code" attribute="1" time="1" defaultMemberUniqueName="[Vendor Customer].[Parent Acct Code].[All]" allUniqueName="[Vendor Customer].[Parent Acct Code].[All]" dimensionUniqueName="[Vendor Customer]" displayFolder="" count="0" unbalanced="0"/>
    <cacheHierarchy uniqueName="[Vendor Customer].[Parent Acct Flag]" caption="Parent Acct Flag" attribute="1" time="1" defaultMemberUniqueName="[Vendor Customer].[Parent Acct Flag].[All]" allUniqueName="[Vendor Customer].[Parent Acct Flag].[All]" dimensionUniqueName="[Vendor Customer]" displayFolder="" count="0" unbalanced="0"/>
    <cacheHierarchy uniqueName="[Vendor Customer].[Payable Auth Date]" caption="Payable Auth Date" attribute="1" time="1" defaultMemberUniqueName="[Vendor Customer].[Payable Auth Date].[All]" allUniqueName="[Vendor Customer].[Payable Auth Date].[All]" dimensionUniqueName="[Vendor Customer]" displayFolder="" count="0" unbalanced="0"/>
    <cacheHierarchy uniqueName="[Vendor Customer].[Payable Auth Usid]" caption="Payable Auth Usid" attribute="1" time="1" defaultMemberUniqueName="[Vendor Customer].[Payable Auth Usid].[All]" allUniqueName="[Vendor Customer].[Payable Auth Usid].[All]" dimensionUniqueName="[Vendor Customer]" displayFolder="" count="0" unbalanced="0"/>
    <cacheHierarchy uniqueName="[Vendor Customer].[Restricted Use Flag]" caption="Restricted Use Flag" attribute="1" time="1" defaultMemberUniqueName="[Vendor Customer].[Restricted Use Flag].[All]" allUniqueName="[Vendor Customer].[Restricted Use Flag].[All]" dimensionUniqueName="[Vendor Customer]" displayFolder="" count="0" unbalanced="0"/>
    <cacheHierarchy uniqueName="[Vendor Customer].[Vend Active Status]" caption="Vend Active Status" attribute="1" time="1" defaultMemberUniqueName="[Vendor Customer].[Vend Active Status].[All]" allUniqueName="[Vendor Customer].[Vend Active Status].[All]" dimensionUniqueName="[Vendor Customer]" displayFolder="" count="0" unbalanced="0"/>
    <cacheHierarchy uniqueName="[Vendor Customer].[Vend Approve Status]" caption="Vend Approve Status" attribute="1" time="1" defaultMemberUniqueName="[Vendor Customer].[Vend Approve Status].[All]" allUniqueName="[Vendor Customer].[Vend Approve Status].[All]" dimensionUniqueName="[Vendor Customer]" displayFolder="" count="0" unbalanced="0"/>
    <cacheHierarchy uniqueName="[Vendor Customer].[Vend Cust Cd]" caption="Vend Cust Cd" attribute="1" time="1" keyAttribute="1" defaultMemberUniqueName="[Vendor Customer].[Vend Cust Cd].[All]" allUniqueName="[Vendor Customer].[Vend Cust Cd].[All]" dimensionUniqueName="[Vendor Customer]" displayFolder="" count="0" memberValueDatatype="130" unbalanced="0"/>
    <cacheHierarchy uniqueName="[Vendor Customer].[Web Address]" caption="Web Address" attribute="1" time="1" defaultMemberUniqueName="[Vendor Customer].[Web Address].[All]" allUniqueName="[Vendor Customer].[Web Address].[All]" dimensionUniqueName="[Vendor Customer]" displayFolder="" count="0" unbalanced="0"/>
    <cacheHierarchy uniqueName="[Accept Dt].[Date Ky]" caption="Accept Dt.Date Ky" attribute="1" time="1" keyAttribute="1" defaultMemberUniqueName="[Accept Dt].[Date Ky].[All]" allUniqueName="[Accept Dt].[Date Ky].[All]" dimensionUniqueName="[Accept Dt]" displayFolder="" count="0" memberValueDatatype="7" unbalanced="0" hidden="1"/>
    <cacheHierarchy uniqueName="[Accept Dt].[Date Val Str]" caption="Accept Dt.Date Val Str" attribute="1" time="1" defaultMemberUniqueName="[Accept Dt].[Date Val Str].[All]" allUniqueName="[Accept Dt].[Date Val Str].[All]" dimensionUniqueName="[Accept Dt]" displayFolder="" count="0" unbalanced="0" hidden="1"/>
    <cacheHierarchy uniqueName="[Accept Dt].[Doc Rec Dt]" caption="Accept Dt.Doc Rec Dt" attribute="1" time="1" defaultMemberUniqueName="[Accept Dt].[Doc Rec Dt].[All]" allUniqueName="[Accept Dt].[Doc Rec Dt].[All]" dimensionUniqueName="[Accept Dt]" displayFolder="" count="0" unbalanced="0" hidden="1"/>
    <cacheHierarchy uniqueName="[Accept Dt].[Service From Dt]" caption="Accept Dt.Service From Dt" attribute="1" time="1" defaultMemberUniqueName="[Accept Dt].[Service From Dt].[All]" allUniqueName="[Accept Dt].[Service From Dt].[All]" dimensionUniqueName="[Accept Dt]" displayFolder="" count="0" unbalanced="0" hidden="1"/>
    <cacheHierarchy uniqueName="[Accept Dt].[Service To Dt]" caption="Accept Dt.Service To Dt" attribute="1" time="1" defaultMemberUniqueName="[Accept Dt].[Service To Dt].[All]" allUniqueName="[Accept Dt].[Service To Dt].[All]" dimensionUniqueName="[Accept Dt]" displayFolder="" count="0" unbalanced="0" hidden="1"/>
    <cacheHierarchy uniqueName="[Accounting Period].[APD KY]" caption="APD KY" attribute="1" time="1" keyAttribute="1" defaultMemberUniqueName="[Accounting Period].[APD KY].[All]" allUniqueName="[Accounting Period].[APD KY].[All]" dimensionUniqueName="[Accounting Period]" displayFolder="" count="0" memberValueDatatype="130" unbalanced="0" hidden="1"/>
    <cacheHierarchy uniqueName="[Accounting Period].[Fisc Period Hierarchy]" caption="Fisc Period Hierarchy" attribute="1" time="1" defaultMemberUniqueName="[Accounting Period].[Fisc Period Hierarchy].[All]" allUniqueName="[Accounting Period].[Fisc Period Hierarchy].[All]" dimensionUniqueName="[Accounting Period]" displayFolder="" count="0" unbalanced="0" hidden="1"/>
    <cacheHierarchy uniqueName="[Accounting Period].[Fisc Period Str]" caption="Fisc Period Str" attribute="1" time="1" defaultMemberUniqueName="[Accounting Period].[Fisc Period Str].[All]" allUniqueName="[Accounting Period].[Fisc Period Str].[All]" dimensionUniqueName="[Accounting Period]" displayFolder="" count="0" unbalanced="0" hidden="1"/>
    <cacheHierarchy uniqueName="[Accounting Period].[Fisc Qtr Hierarchy]" caption="Fisc Qtr Hierarchy" attribute="1" time="1" defaultMemberUniqueName="[Accounting Period].[Fisc Qtr Hierarchy].[All]" allUniqueName="[Accounting Period].[Fisc Qtr Hierarchy].[All]" dimensionUniqueName="[Accounting Period]" displayFolder="" count="0" unbalanced="0" hidden="1"/>
    <cacheHierarchy uniqueName="[Activity].[Actv Ky]" caption="Actv Ky" attribute="1" keyAttribute="1" defaultMemberUniqueName="[Activity].[Actv Ky].[All]" allUniqueName="[Activity].[Actv Ky].[All]" dimensionUniqueName="[Activity]" displayFolder="" count="0" unbalanced="0" hidden="1"/>
    <cacheHierarchy uniqueName="[Activity].[Dept]" caption="Dept" attribute="1" defaultMemberUniqueName="[Activity].[Dept].[All]" allUniqueName="[Activity].[Dept].[All]" dimensionUniqueName="[Activity]" displayFolder="" count="0" unbalanced="0" hidden="1"/>
    <cacheHierarchy uniqueName="[Approp].[Appr Ky]" caption="Appr Ky" attribute="1" keyAttribute="1" defaultMemberUniqueName="[Approp].[Appr Ky].[All]" allUniqueName="[Approp].[Appr Ky].[All]" dimensionUniqueName="[Approp]" displayFolder="" count="0" unbalanced="0" hidden="1"/>
    <cacheHierarchy uniqueName="[Balance Sheet].[Bsa Ky]" caption="Bsa Ky" attribute="1" keyAttribute="1" defaultMemberUniqueName="[Balance Sheet].[Bsa Ky].[All]" allUniqueName="[Balance Sheet].[Bsa Ky].[All]" dimensionUniqueName="[Balance Sheet]" displayFolder="" count="0" unbalanced="0" hidden="1"/>
    <cacheHierarchy uniqueName="[Billing Profile].[Bpro Ky]" caption="Bpro Ky" attribute="1" keyAttribute="1" defaultMemberUniqueName="[Billing Profile].[Bpro Ky].[All]" allUniqueName="[Billing Profile].[Bpro Ky].[All]" dimensionUniqueName="[Billing Profile]" displayFolder="" count="0" unbalanced="0" hidden="1"/>
    <cacheHierarchy uniqueName="[Budget Documents].[DOC KEY]" caption="DOC KEY" attribute="1" keyAttribute="1" defaultMemberUniqueName="[Budget Documents].[DOC KEY].[All]" allUniqueName="[Budget Documents].[DOC KEY].[All]" dimensionUniqueName="[Budget Documents]" displayFolder="" count="0" unbalanced="0" hidden="1"/>
    <cacheHierarchy uniqueName="[Check Details].[CHECK KY]" caption="CHECK KY" attribute="1" time="1" keyAttribute="1" defaultMemberUniqueName="[Check Details].[CHECK KY].[All]" allUniqueName="[Check Details].[CHECK KY].[All]" dimensionUniqueName="[Check Details]" displayFolder="" count="0" memberValueDatatype="130" unbalanced="0" hidden="1"/>
    <cacheHierarchy uniqueName="[Check Details].[Doc Actg Ln No]" caption="Doc Actg Ln No" attribute="1" time="1" defaultMemberUniqueName="[Check Details].[Doc Actg Ln No].[All]" allUniqueName="[Check Details].[Doc Actg Ln No].[All]" dimensionUniqueName="[Check Details]" displayFolder="" count="0" unbalanced="0" hidden="1"/>
    <cacheHierarchy uniqueName="[Check Documents].[DOC KEY]" caption="DOC KEY" attribute="1" keyAttribute="1" defaultMemberUniqueName="[Check Documents].[DOC KEY].[All]" allUniqueName="[Check Documents].[DOC KEY].[All]" dimensionUniqueName="[Check Documents]" displayFolder="" count="0" unbalanced="0" hidden="1"/>
    <cacheHierarchy uniqueName="[CR Documents].[CR DOC HDR KY]" caption="CR DOC HDR KY" attribute="1" time="1" keyAttribute="1" defaultMemberUniqueName="[CR Documents].[CR DOC HDR KY].[All]" allUniqueName="[CR Documents].[CR DOC HDR KY].[All]" dimensionUniqueName="[CR Documents]" displayFolder="" count="0" memberValueDatatype="130" unbalanced="0" hidden="1"/>
    <cacheHierarchy uniqueName="[Debit Credit Indicator].[Drcr Ind]" caption="Drcr Ind" attribute="1" keyAttribute="1" defaultMemberUniqueName="[Debit Credit Indicator].[Drcr Ind].[All]" allUniqueName="[Debit Credit Indicator].[Drcr Ind].[All]" dimensionUniqueName="[Debit Credit Indicator]" displayFolder="" count="0" unbalanced="0" hidden="1"/>
    <cacheHierarchy uniqueName="[Dept].[Dept Ky]" caption="Dept Ky" attribute="1" keyAttribute="1" defaultMemberUniqueName="[Dept].[Dept Ky].[All]" allUniqueName="[Dept].[Dept Ky].[All]" dimensionUniqueName="[Dept]" displayFolder="" count="0" unbalanced="0" hidden="1"/>
    <cacheHierarchy uniqueName="[Dept-Obj].[Dept]" caption="Dept" attribute="1" defaultMemberUniqueName="[Dept-Obj].[Dept].[All]" allUniqueName="[Dept-Obj].[Dept].[All]" dimensionUniqueName="[Dept-Obj]" displayFolder="" count="0" unbalanced="0" hidden="1"/>
    <cacheHierarchy uniqueName="[Dept-Obj].[Dobj Ky]" caption="Dobj Ky" attribute="1" keyAttribute="1" defaultMemberUniqueName="[Dept-Obj].[Dobj Ky].[All]" allUniqueName="[Dept-Obj].[Dobj Ky].[All]" dimensionUniqueName="[Dept-Obj]" displayFolder="" count="0" unbalanced="0" hidden="1"/>
    <cacheHierarchy uniqueName="[Dept-Rev].[Dept]" caption="Dept" attribute="1" defaultMemberUniqueName="[Dept-Rev].[Dept].[All]" allUniqueName="[Dept-Rev].[Dept].[All]" dimensionUniqueName="[Dept-Rev]" displayFolder="" count="0" unbalanced="0" hidden="1"/>
    <cacheHierarchy uniqueName="[Dept-Rev].[Drsrc Ky]" caption="Drsrc Ky" attribute="1" keyAttribute="1" defaultMemberUniqueName="[Dept-Rev].[Drsrc Ky].[All]" allUniqueName="[Dept-Rev].[Drsrc Ky].[All]" dimensionUniqueName="[Dept-Rev]" displayFolder="" count="0" unbalanced="0" hidden="1"/>
    <cacheHierarchy uniqueName="[Doc Record Dt].[Accept Dt]" caption="Doc Record Dt.Accept Dt" attribute="1" time="1" defaultMemberUniqueName="[Doc Record Dt].[Accept Dt].[All]" allUniqueName="[Doc Record Dt].[Accept Dt].[All]" dimensionUniqueName="[Doc Record Dt]" displayFolder="" count="0" unbalanced="0" hidden="1"/>
    <cacheHierarchy uniqueName="[Doc Record Dt].[Date Ky]" caption="Doc Record Dt.Date Ky" attribute="1" time="1" keyAttribute="1" defaultMemberUniqueName="[Doc Record Dt].[Date Ky].[All]" allUniqueName="[Doc Record Dt].[Date Ky].[All]" dimensionUniqueName="[Doc Record Dt]" displayFolder="" count="0" memberValueDatatype="7" unbalanced="0" hidden="1"/>
    <cacheHierarchy uniqueName="[Doc Record Dt].[Date Val Str]" caption="Doc Record Dt.Date Val Str" attribute="1" time="1" defaultMemberUniqueName="[Doc Record Dt].[Date Val Str].[All]" allUniqueName="[Doc Record Dt].[Date Val Str].[All]" dimensionUniqueName="[Doc Record Dt]" displayFolder="" count="0" unbalanced="0" hidden="1"/>
    <cacheHierarchy uniqueName="[Doc Record Dt].[Service From Dt]" caption="Doc Record Dt.Service From Dt" attribute="1" time="1" defaultMemberUniqueName="[Doc Record Dt].[Service From Dt].[All]" allUniqueName="[Doc Record Dt].[Service From Dt].[All]" dimensionUniqueName="[Doc Record Dt]" displayFolder="" count="0" unbalanced="0" hidden="1"/>
    <cacheHierarchy uniqueName="[Doc Record Dt].[Service To Dt]" caption="Doc Record Dt.Service To Dt" attribute="1" time="1" defaultMemberUniqueName="[Doc Record Dt].[Service To Dt].[All]" allUniqueName="[Doc Record Dt].[Service To Dt].[All]" dimensionUniqueName="[Doc Record Dt]" displayFolder="" count="0" unbalanced="0" hidden="1"/>
    <cacheHierarchy uniqueName="[Document Accounting Line Dscr].[Doc Actg Ky]" caption="Doc Actg Ky" attribute="1" keyAttribute="1" defaultMemberUniqueName="[Document Accounting Line Dscr].[Doc Actg Ky].[All]" allUniqueName="[Document Accounting Line Dscr].[Doc Actg Ky].[All]" dimensionUniqueName="[Document Accounting Line Dscr]" displayFolder="" count="0" unbalanced="0" hidden="1"/>
    <cacheHierarchy uniqueName="[Event Type].[Evnt Typ KY]" caption="Evnt Typ KY" attribute="1" keyAttribute="1" defaultMemberUniqueName="[Event Type].[Evnt Typ KY].[All]" allUniqueName="[Event Type].[Evnt Typ KY].[All]" dimensionUniqueName="[Event Type]" displayFolder="" count="0" unbalanced="0" hidden="1"/>
    <cacheHierarchy uniqueName="[Function].[Dept]" caption="Dept" attribute="1" defaultMemberUniqueName="[Function].[Dept].[All]" allUniqueName="[Function].[Dept].[All]" dimensionUniqueName="[Function]" displayFolder="" count="0" unbalanced="0" hidden="1"/>
    <cacheHierarchy uniqueName="[Function].[Func KY]" caption="Func KY" attribute="1" keyAttribute="1" defaultMemberUniqueName="[Function].[Func KY].[All]" allUniqueName="[Function].[Func KY].[All]" dimensionUniqueName="[Function]" displayFolder="" count="0" unbalanced="0" hidden="1"/>
    <cacheHierarchy uniqueName="[Fund].[Fund KY]" caption="Fund KY" attribute="1" keyAttribute="1" defaultMemberUniqueName="[Fund].[Fund KY].[All]" allUniqueName="[Fund].[Fund KY].[All]" dimensionUniqueName="[Fund]" displayFolder="" count="0" unbalanced="0" hidden="1"/>
    <cacheHierarchy uniqueName="[Funding Line].[Dept]" caption="Dept" attribute="1" defaultMemberUniqueName="[Funding Line].[Dept].[All]" allUniqueName="[Funding Line].[Dept].[All]" dimensionUniqueName="[Funding Line]" displayFolder="" count="0" unbalanced="0" hidden="1"/>
    <cacheHierarchy uniqueName="[Funding Line].[Fline Ky]" caption="Fline Ky" attribute="1" keyAttribute="1" defaultMemberUniqueName="[Funding Line].[Fline Ky].[All]" allUniqueName="[Funding Line].[Fline Ky].[All]" dimensionUniqueName="[Funding Line]" displayFolder="" count="0" unbalanced="0" hidden="1"/>
    <cacheHierarchy uniqueName="[Funding Priority].[Dept]" caption="Dept" attribute="1" defaultMemberUniqueName="[Funding Priority].[Dept].[All]" allUniqueName="[Funding Priority].[Dept].[All]" dimensionUniqueName="[Funding Priority]" displayFolder="" count="0" unbalanced="0" hidden="1"/>
    <cacheHierarchy uniqueName="[Funding Priority].[Fprt Ky]" caption="Fprt Ky" attribute="1" keyAttribute="1" defaultMemberUniqueName="[Funding Priority].[Fprt Ky].[All]" allUniqueName="[Funding Priority].[Fprt Ky].[All]" dimensionUniqueName="[Funding Priority]" displayFolder="" count="0" unbalanced="0" hidden="1"/>
    <cacheHierarchy uniqueName="[Funding Profile].[Dept]" caption="Dept" attribute="1" defaultMemberUniqueName="[Funding Profile].[Dept].[All]" allUniqueName="[Funding Profile].[Dept].[All]" dimensionUniqueName="[Funding Profile]" displayFolder="" count="0" unbalanced="0" hidden="1"/>
    <cacheHierarchy uniqueName="[Funding Profile].[Fprfl Ky]" caption="Fprfl Ky" attribute="1" keyAttribute="1" defaultMemberUniqueName="[Funding Profile].[Fprfl Ky].[All]" allUniqueName="[Funding Profile].[Fprfl Ky].[All]" dimensionUniqueName="[Funding Profile]" displayFolder="" count="0" unbalanced="0" hidden="1"/>
    <cacheHierarchy uniqueName="[Invoice].[REC NO]" caption="REC NO" attribute="1" time="1" keyAttribute="1" defaultMemberUniqueName="[Invoice].[REC NO].[All]" allUniqueName="[Invoice].[REC NO].[All]" dimensionUniqueName="[Invoice]" displayFolder="" count="0" memberValueDatatype="20" unbalanced="0" hidden="1"/>
    <cacheHierarchy uniqueName="[Location].[Loc Ky]" caption="Loc Ky" attribute="1" keyAttribute="1" defaultMemberUniqueName="[Location].[Loc Ky].[All]" allUniqueName="[Location].[Loc Ky].[All]" dimensionUniqueName="[Location]" displayFolder="" count="0" unbalanced="0" hidden="1"/>
    <cacheHierarchy uniqueName="[Object].[OBJ KY]" caption="OBJ KY" attribute="1" keyAttribute="1" defaultMemberUniqueName="[Object].[OBJ KY].[All]" allUniqueName="[Object].[OBJ KY].[All]" dimensionUniqueName="[Object]" displayFolder="" count="0" unbalanced="0" hidden="1"/>
    <cacheHierarchy uniqueName="[Object].[OCLS KY]" caption="OCLS KY" attribute="1" defaultMemberUniqueName="[Object].[OCLS KY].[All]" allUniqueName="[Object].[OCLS KY].[All]" dimensionUniqueName="[Object]" displayFolder="" count="0" unbalanced="0" hidden="1"/>
    <cacheHierarchy uniqueName="[Object].[OGRP KY]" caption="OGRP KY" attribute="1" defaultMemberUniqueName="[Object].[OGRP KY].[All]" allUniqueName="[Object].[OGRP KY].[All]" dimensionUniqueName="[Object]" displayFolder="" count="0" unbalanced="0" hidden="1"/>
    <cacheHierarchy uniqueName="[PO Documents].[Doc Vend Ky]" caption="Doc Vend Ky" attribute="1" time="1" defaultMemberUniqueName="[PO Documents].[Doc Vend Ky].[All]" allUniqueName="[PO Documents].[Doc Vend Ky].[All]" dimensionUniqueName="[PO Documents]" displayFolder="" count="0" unbalanced="0" hidden="1"/>
    <cacheHierarchy uniqueName="[PO Documents].[Primary KY]" caption="Primary KY" attribute="1" time="1" keyAttribute="1" defaultMemberUniqueName="[PO Documents].[Primary KY].[All]" allUniqueName="[PO Documents].[Primary KY].[All]" dimensionUniqueName="[PO Documents]" displayFolder="" count="0" memberValueDatatype="130" unbalanced="0" hidden="1"/>
    <cacheHierarchy uniqueName="[Posting Code].[Pscd Ky]" caption="Pscd Ky" attribute="1" keyAttribute="1" defaultMemberUniqueName="[Posting Code].[Pscd Ky].[All]" allUniqueName="[Posting Code].[Pscd Ky].[All]" dimensionUniqueName="[Posting Code]" displayFolder="" count="0" unbalanced="0" hidden="1"/>
    <cacheHierarchy uniqueName="[Program].[Dept]" caption="Dept" attribute="1" defaultMemberUniqueName="[Program].[Dept].[All]" allUniqueName="[Program].[Dept].[All]" dimensionUniqueName="[Program]" displayFolder="" count="0" unbalanced="0" hidden="1"/>
    <cacheHierarchy uniqueName="[Program].[Mjr Prog KY]" caption="Mjr Prog KY" attribute="1" defaultMemberUniqueName="[Program].[Mjr Prog KY].[All]" allUniqueName="[Program].[Mjr Prog KY].[All]" dimensionUniqueName="[Program]" displayFolder="" count="0" unbalanced="0" hidden="1"/>
    <cacheHierarchy uniqueName="[Program].[Prog Grp KY]" caption="Prog Grp KY" attribute="1" defaultMemberUniqueName="[Program].[Prog Grp KY].[All]" allUniqueName="[Program].[Prog Grp KY].[All]" dimensionUniqueName="[Program]" displayFolder="" count="0" unbalanced="0" hidden="1"/>
    <cacheHierarchy uniqueName="[Program].[Prog KY]" caption="Prog KY" attribute="1" keyAttribute="1" defaultMemberUniqueName="[Program].[Prog KY].[All]" allUniqueName="[Program].[Prog KY].[All]" dimensionUniqueName="[Program]" displayFolder="" count="0" unbalanced="0" hidden="1"/>
    <cacheHierarchy uniqueName="[Program Period].[Dept]" caption="Dept" attribute="1" time="1" defaultMemberUniqueName="[Program Period].[Dept].[All]" allUniqueName="[Program Period].[Dept].[All]" dimensionUniqueName="[Program Period]" displayFolder="" count="0" unbalanced="0" hidden="1"/>
    <cacheHierarchy uniqueName="[Program Period].[Ppc Ky]" caption="Ppc Ky" attribute="1" time="1" keyAttribute="1" defaultMemberUniqueName="[Program Period].[Ppc Ky].[All]" allUniqueName="[Program Period].[Ppc Ky].[All]" dimensionUniqueName="[Program Period]" displayFolder="" count="0" memberValueDatatype="130" unbalanced="0" hidden="1"/>
    <cacheHierarchy uniqueName="[Reference Docs].[Ref Doc Key]" caption="Ref Doc Key" attribute="1" keyAttribute="1" defaultMemberUniqueName="[Reference Docs].[Ref Doc Key].[All]" allUniqueName="[Reference Docs].[Ref Doc Key].[All]" dimensionUniqueName="[Reference Docs]" displayFolder="" count="0" unbalanced="0" hidden="1"/>
    <cacheHierarchy uniqueName="[Report Code].[AMS Row Vers No]" caption="AMS Row Vers No" attribute="1" defaultMemberUniqueName="[Report Code].[AMS Row Vers No].[All]" allUniqueName="[Report Code].[AMS Row Vers No].[All]" dimensionUniqueName="[Report Code]" displayFolder="" count="0" unbalanced="0" hidden="1"/>
    <cacheHierarchy uniqueName="[Report Code].[Fy]" caption="Fy" attribute="1" defaultMemberUniqueName="[Report Code].[Fy].[All]" allUniqueName="[Report Code].[Fy].[All]" dimensionUniqueName="[Report Code]" displayFolder="" count="0" unbalanced="0" hidden="1"/>
    <cacheHierarchy uniqueName="[Report Code].[RPT KY]" caption="RPT KY" attribute="1" keyAttribute="1" defaultMemberUniqueName="[Report Code].[RPT KY].[All]" allUniqueName="[Report Code].[RPT KY].[All]" dimensionUniqueName="[Report Code]" displayFolder="" count="0" unbalanced="0" hidden="1"/>
    <cacheHierarchy uniqueName="[Report Code].[Rpt Nm Up]" caption="Rpt Nm Up" attribute="1" defaultMemberUniqueName="[Report Code].[Rpt Nm Up].[All]" allUniqueName="[Report Code].[Rpt Nm Up].[All]" dimensionUniqueName="[Report Code]" displayFolder="" count="0" unbalanced="0" hidden="1"/>
    <cacheHierarchy uniqueName="[Report Code].[Table Last Date]" caption="Table Last Date" attribute="1" defaultMemberUniqueName="[Report Code].[Table Last Date].[All]" allUniqueName="[Report Code].[Table Last Date].[All]" dimensionUniqueName="[Report Code]" displayFolder="" count="0" unbalanced="0" hidden="1"/>
    <cacheHierarchy uniqueName="[Revenue].[Rev Src  Hierarchy]" caption="Rev Src  Hierarchy" attribute="1" defaultMemberUniqueName="[Revenue].[Rev Src  Hierarchy].[All]" allUniqueName="[Revenue].[Rev Src  Hierarchy].[All]" dimensionUniqueName="[Revenue]" displayFolder="" count="0" unbalanced="0" hidden="1"/>
    <cacheHierarchy uniqueName="[Revenue].[Rev Src Group Hierarchy]" caption="Rev Src Group Hierarchy" attribute="1" defaultMemberUniqueName="[Revenue].[Rev Src Group Hierarchy].[All]" allUniqueName="[Revenue].[Rev Src Group Hierarchy].[All]" dimensionUniqueName="[Revenue]" displayFolder="" count="0" unbalanced="0" hidden="1"/>
    <cacheHierarchy uniqueName="[Revenue].[Rsrc Ky]" caption="Rsrc Ky" attribute="1" keyAttribute="1" defaultMemberUniqueName="[Revenue].[Rsrc Ky].[All]" allUniqueName="[Revenue].[Rsrc Ky].[All]" dimensionUniqueName="[Revenue]" displayFolder="" count="0" unbalanced="0" hidden="1"/>
    <cacheHierarchy uniqueName="[Service From Dt].[Accept Dt]" caption="Service From Dt.Accept Dt" attribute="1" time="1" defaultMemberUniqueName="[Service From Dt].[Accept Dt].[All]" allUniqueName="[Service From Dt].[Accept Dt].[All]" dimensionUniqueName="[Service From Dt]" displayFolder="" count="0" unbalanced="0" hidden="1"/>
    <cacheHierarchy uniqueName="[Service From Dt].[Date Ky]" caption="Service From Dt.Date Ky" attribute="1" time="1" keyAttribute="1" defaultMemberUniqueName="[Service From Dt].[Date Ky].[All]" allUniqueName="[Service From Dt].[Date Ky].[All]" dimensionUniqueName="[Service From Dt]" displayFolder="" count="0" memberValueDatatype="7" unbalanced="0" hidden="1"/>
    <cacheHierarchy uniqueName="[Service From Dt].[Date Val Str]" caption="Service From Dt.Date Val Str" attribute="1" time="1" defaultMemberUniqueName="[Service From Dt].[Date Val Str].[All]" allUniqueName="[Service From Dt].[Date Val Str].[All]" dimensionUniqueName="[Service From Dt]" displayFolder="" count="0" unbalanced="0" hidden="1"/>
    <cacheHierarchy uniqueName="[Service From Dt].[Doc Rec Dt]" caption="Service From Dt.Doc Rec Dt" attribute="1" time="1" defaultMemberUniqueName="[Service From Dt].[Doc Rec Dt].[All]" allUniqueName="[Service From Dt].[Doc Rec Dt].[All]" dimensionUniqueName="[Service From Dt]" displayFolder="" count="0" unbalanced="0" hidden="1"/>
    <cacheHierarchy uniqueName="[Service From Dt].[Service To Dt]" caption="Service From Dt.Service To Dt" attribute="1" time="1" defaultMemberUniqueName="[Service From Dt].[Service To Dt].[All]" allUniqueName="[Service From Dt].[Service To Dt].[All]" dimensionUniqueName="[Service From Dt]" displayFolder="" count="0" unbalanced="0" hidden="1"/>
    <cacheHierarchy uniqueName="[Service To Dt].[Accept Dt]" caption="Service To Dt.Accept Dt" attribute="1" time="1" defaultMemberUniqueName="[Service To Dt].[Accept Dt].[All]" allUniqueName="[Service To Dt].[Accept Dt].[All]" dimensionUniqueName="[Service To Dt]" displayFolder="" count="0" unbalanced="0" hidden="1"/>
    <cacheHierarchy uniqueName="[Service To Dt].[Date Ky]" caption="Service To Dt.Date Ky" attribute="1" time="1" keyAttribute="1" defaultMemberUniqueName="[Service To Dt].[Date Ky].[All]" allUniqueName="[Service To Dt].[Date Ky].[All]" dimensionUniqueName="[Service To Dt]" displayFolder="" count="0" memberValueDatatype="7" unbalanced="0" hidden="1"/>
    <cacheHierarchy uniqueName="[Service To Dt].[Date Val Str]" caption="Service To Dt.Date Val Str" attribute="1" time="1" defaultMemberUniqueName="[Service To Dt].[Date Val Str].[All]" allUniqueName="[Service To Dt].[Date Val Str].[All]" dimensionUniqueName="[Service To Dt]" displayFolder="" count="0" unbalanced="0" hidden="1"/>
    <cacheHierarchy uniqueName="[Service To Dt].[Doc Rec Dt]" caption="Service To Dt.Doc Rec Dt" attribute="1" time="1" defaultMemberUniqueName="[Service To Dt].[Doc Rec Dt].[All]" allUniqueName="[Service To Dt].[Doc Rec Dt].[All]" dimensionUniqueName="[Service To Dt]" displayFolder="" count="0" unbalanced="0" hidden="1"/>
    <cacheHierarchy uniqueName="[Service To Dt].[Service From Dt]" caption="Service To Dt.Service From Dt" attribute="1" time="1" defaultMemberUniqueName="[Service To Dt].[Service From Dt].[All]" allUniqueName="[Service To Dt].[Service From Dt].[All]" dimensionUniqueName="[Service To Dt]" displayFolder="" count="0" unbalanced="0" hidden="1"/>
    <cacheHierarchy uniqueName="[SubActivity].[SUB ACTIVITY KY]" caption="SUB ACTIVITY KY" attribute="1" keyAttribute="1" defaultMemberUniqueName="[SubActivity].[SUB ACTIVITY KY].[All]" allUniqueName="[SubActivity].[SUB ACTIVITY KY].[All]" dimensionUniqueName="[SubActivity]" displayFolder="" count="0" unbalanced="0" hidden="1"/>
    <cacheHierarchy uniqueName="[SubTask].[Dept]" caption="Dept" attribute="1" defaultMemberUniqueName="[SubTask].[Dept].[All]" allUniqueName="[SubTask].[Dept].[All]" dimensionUniqueName="[SubTask]" displayFolder="" count="0" unbalanced="0" hidden="1"/>
    <cacheHierarchy uniqueName="[SubTask].[Stask Ky]" caption="Stask Ky" attribute="1" keyAttribute="1" defaultMemberUniqueName="[SubTask].[Stask Ky].[All]" allUniqueName="[SubTask].[Stask Ky].[All]" dimensionUniqueName="[SubTask]" displayFolder="" count="0" unbalanced="0" hidden="1"/>
    <cacheHierarchy uniqueName="[SubUnit].[Dept]" caption="Dept" attribute="1" time="1" defaultMemberUniqueName="[SubUnit].[Dept].[All]" allUniqueName="[SubUnit].[Dept].[All]" dimensionUniqueName="[SubUnit]" displayFolder="" count="0" unbalanced="0" hidden="1"/>
    <cacheHierarchy uniqueName="[SubUnit].[Sunit Ky]" caption="Sunit Ky" attribute="1" time="1" keyAttribute="1" defaultMemberUniqueName="[SubUnit].[Sunit Ky].[All]" allUniqueName="[SubUnit].[Sunit Ky].[All]" dimensionUniqueName="[SubUnit]" displayFolder="" count="0" memberValueDatatype="130" unbalanced="0" hidden="1"/>
    <cacheHierarchy uniqueName="[Task].[Dept]" caption="Dept" attribute="1" defaultMemberUniqueName="[Task].[Dept].[All]" allUniqueName="[Task].[Dept].[All]" dimensionUniqueName="[Task]" displayFolder="" count="0" unbalanced="0" hidden="1"/>
    <cacheHierarchy uniqueName="[Task].[Task Ky]" caption="Task Ky" attribute="1" keyAttribute="1" defaultMemberUniqueName="[Task].[Task Ky].[All]" allUniqueName="[Task].[Task Ky].[All]" dimensionUniqueName="[Task]" displayFolder="" count="0" unbalanced="0" hidden="1"/>
    <cacheHierarchy uniqueName="[Task Order].[Dept]" caption="Dept" attribute="1" defaultMemberUniqueName="[Task Order].[Dept].[All]" allUniqueName="[Task Order].[Dept].[All]" dimensionUniqueName="[Task Order]" displayFolder="" count="0" unbalanced="0" hidden="1"/>
    <cacheHierarchy uniqueName="[Task Order].[Task Ord KY]" caption="Task Ord KY" attribute="1" keyAttribute="1" defaultMemberUniqueName="[Task Order].[Task Ord KY].[All]" allUniqueName="[Task Order].[Task Ord KY].[All]" dimensionUniqueName="[Task Order]" displayFolder="" count="0" unbalanced="0" hidden="1"/>
    <cacheHierarchy uniqueName="[Unit].[Bureau Unit]" caption="Bureau Unit" attribute="1" defaultMemberUniqueName="[Unit].[Bureau Unit].[All]" allUniqueName="[Unit].[Bureau Unit].[All]" dimensionUniqueName="[Unit]" displayFolder="" count="0" unbalanced="0" hidden="1"/>
    <cacheHierarchy uniqueName="[Unit].[Dept]" caption="Dept" attribute="1" defaultMemberUniqueName="[Unit].[Dept].[All]" allUniqueName="[Unit].[Dept].[All]" dimensionUniqueName="[Unit]" displayFolder="" count="0" unbalanced="0" hidden="1"/>
    <cacheHierarchy uniqueName="[Unit].[Flx Unit]" caption="Flx Unit" attribute="1" defaultMemberUniqueName="[Unit].[Flx Unit].[All]" allUniqueName="[Unit].[Flx Unit].[All]" dimensionUniqueName="[Unit]" displayFolder="" count="0" unbalanced="0" hidden="1"/>
    <cacheHierarchy uniqueName="[Unit].[Unit Ky]" caption="Unit Ky" attribute="1" keyAttribute="1" defaultMemberUniqueName="[Unit].[Unit Ky].[All]" allUniqueName="[Unit].[Unit Ky].[All]" dimensionUniqueName="[Unit]" displayFolder="" count="0" unbalanced="0" hidden="1"/>
    <cacheHierarchy uniqueName="[Measures].[Jrnl Row Count]" caption="Jrnl Row Count" measure="1" displayFolder="" measureGroup="Journal Accounting" count="0"/>
    <cacheHierarchy uniqueName="[Measures].[Jrnl Posting Am]" caption="Jrnl Posting Am" measure="1" displayFolder="" measureGroup="Journal Accounting" count="0" oneField="1">
      <fieldsUsage count="1">
        <fieldUsage x="6"/>
      </fieldsUsage>
    </cacheHierarchy>
    <cacheHierarchy uniqueName="[Measures].[Begin Bal Row Count]" caption="Begin Bal Row Count" measure="1" displayFolder="" measureGroup="Beginning Balances" count="0"/>
    <cacheHierarchy uniqueName="[Measures].[Begin Bal Am]" caption="Begin Bal Am" measure="1" displayFolder="" measureGroup="Beginning Balances" count="0"/>
    <cacheHierarchy uniqueName="[Measures].[PO Row Count]" caption="PO Row Count" measure="1" displayFolder="" measureGroup="PO Documents" count="0"/>
    <cacheHierarchy uniqueName="[Measures].[PO Line Am]" caption="PO Line Am" measure="1" displayFolder="" measureGroup="PO Documents" count="0"/>
    <cacheHierarchy uniqueName="[Measures].[PO Closed Am]" caption="PO Closed Am" measure="1" displayFolder="" measureGroup="PO Documents" count="0"/>
    <cacheHierarchy uniqueName="[Measures].[Budget Row Count]" caption="Budget Row Count" measure="1" displayFolder="" measureGroup="Journal Budget" count="0"/>
    <cacheHierarchy uniqueName="[Measures].[Line Amount]" caption="Line Amount" measure="1" displayFolder="" measureGroup="Journal Budget" count="0"/>
    <cacheHierarchy uniqueName="[Measures].[Alot Line Amount]" caption="Alot Line Amount" measure="1" displayFolder="" measureGroup="Journal Budget" count="0"/>
    <cacheHierarchy uniqueName="[Measures].[Budget Line Am]" caption="Budget Line Am" measure="1" displayFolder="" measureGroup="Journal Budget" count="0"/>
    <cacheHierarchy uniqueName="[Measures].[Check Row Count]" caption="Check Row Count" measure="1" displayFolder="" measureGroup="AP Disbursements" count="0"/>
    <cacheHierarchy uniqueName="[Measures].[Check Line Amount]" caption="Check Line Amount" measure="1" displayFolder="" measureGroup="AP Disbursements" count="0"/>
  </cacheHierarchies>
  <kpis count="0"/>
  <dimensions count="47">
    <dimension name="Accept Dt" uniqueName="[Accept Dt]" caption="Accept Dt"/>
    <dimension name="Accounting Period" uniqueName="[Accounting Period]" caption="Accounting Period"/>
    <dimension name="Activity" uniqueName="[Activity]" caption="Activity"/>
    <dimension name="Approp" uniqueName="[Approp]" caption="Approp"/>
    <dimension name="Balance Sheet" uniqueName="[Balance Sheet]" caption="Balance Sheet"/>
    <dimension name="BFY" uniqueName="[BFY]" caption="BFY"/>
    <dimension name="Billing Profile" uniqueName="[Billing Profile]" caption="Billing Profile"/>
    <dimension name="Budget Alot Per" uniqueName="[Budget Alot Per]" caption="Budget Alot Per"/>
    <dimension name="Budget Documents" uniqueName="[Budget Documents]" caption="Budget Documents"/>
    <dimension name="Check Details" uniqueName="[Check Details]" caption="Check Details"/>
    <dimension name="Check Documents" uniqueName="[Check Documents]" caption="Check Documents"/>
    <dimension name="Commodity" uniqueName="[Commodity]" caption="Commodity"/>
    <dimension name="Commodity Line Number" uniqueName="[Commodity Line Number]" caption="Commodity Line Number"/>
    <dimension name="CR Documents" uniqueName="[CR Documents]" caption="CR Documents"/>
    <dimension name="Debit Credit Indicator" uniqueName="[Debit Credit Indicator]" caption="Debit Credit Indicator"/>
    <dimension name="Dept" uniqueName="[Dept]" caption="Dept"/>
    <dimension name="Dept-Obj" uniqueName="[Dept-Obj]" caption="Dept-Obj"/>
    <dimension name="Dept-Rev" uniqueName="[Dept-Rev]" caption="Dept-Rev"/>
    <dimension name="Doc Record Dt" uniqueName="[Doc Record Dt]" caption="Doc Record Dt"/>
    <dimension name="Document Accounting Line Dscr" uniqueName="[Document Accounting Line Dscr]" caption="Document Accounting Line Dscr"/>
    <dimension name="Documents" uniqueName="[Documents]" caption="Documents"/>
    <dimension name="Event Type" uniqueName="[Event Type]" caption="Event Type"/>
    <dimension name="Function" uniqueName="[Function]" caption="Function"/>
    <dimension name="Fund" uniqueName="[Fund]" caption="Fund"/>
    <dimension name="Funding Line" uniqueName="[Funding Line]" caption="Funding Line"/>
    <dimension name="Funding Priority" uniqueName="[Funding Priority]" caption="Funding Priority"/>
    <dimension name="Funding Profile" uniqueName="[Funding Profile]" caption="Funding Profile"/>
    <dimension name="Invoice" uniqueName="[Invoice]" caption="Invoice"/>
    <dimension name="Location" uniqueName="[Location]" caption="Location"/>
    <dimension measure="1" name="Measures" uniqueName="[Measures]" caption="Measures"/>
    <dimension name="Object" uniqueName="[Object]" caption="Object"/>
    <dimension name="PO Documents" uniqueName="[PO Documents]" caption="PO Documents"/>
    <dimension name="Posting Code" uniqueName="[Posting Code]" caption="Posting Code"/>
    <dimension name="Program" uniqueName="[Program]" caption="Program"/>
    <dimension name="Program Period" uniqueName="[Program Period]" caption="Program Period"/>
    <dimension name="Reference Docs" uniqueName="[Reference Docs]" caption="Reference Docs"/>
    <dimension name="Report Code" uniqueName="[Report Code]" caption="Report Code"/>
    <dimension name="Revenue" uniqueName="[Revenue]" caption="Revenue"/>
    <dimension name="Service From Dt" uniqueName="[Service From Dt]" caption="Service From Dt"/>
    <dimension name="Service To Dt" uniqueName="[Service To Dt]" caption="Service To Dt"/>
    <dimension name="SubActivity" uniqueName="[SubActivity]" caption="SubActivity"/>
    <dimension name="SubTask" uniqueName="[SubTask]" caption="SubTask"/>
    <dimension name="SubUnit" uniqueName="[SubUnit]" caption="SubUnit"/>
    <dimension name="Task" uniqueName="[Task]" caption="Task"/>
    <dimension name="Task Order" uniqueName="[Task Order]" caption="Task Order"/>
    <dimension name="Unit" uniqueName="[Unit]" caption="Unit"/>
    <dimension name="Vendor Customer" uniqueName="[Vendor Customer]" caption="Vendor Customer"/>
  </dimensions>
  <measureGroups count="5">
    <measureGroup name="AP Disbursements" caption="AP Disbursements"/>
    <measureGroup name="Beginning Balances" caption="Beginning Balances"/>
    <measureGroup name="Journal Accounting" caption="Journal Accounting"/>
    <measureGroup name="Journal Budget" caption="Journal Budget"/>
    <measureGroup name="PO Documents" caption="PO Documents"/>
  </measureGroups>
  <maps count="99">
    <map measureGroup="0" dimension="1"/>
    <map measureGroup="0" dimension="2"/>
    <map measureGroup="0" dimension="3"/>
    <map measureGroup="0" dimension="4"/>
    <map measureGroup="0" dimension="9"/>
    <map measureGroup="0" dimension="10"/>
    <map measureGroup="0" dimension="15"/>
    <map measureGroup="0" dimension="16"/>
    <map measureGroup="0" dimension="17"/>
    <map measureGroup="0" dimension="20"/>
    <map measureGroup="0" dimension="21"/>
    <map measureGroup="0" dimension="22"/>
    <map measureGroup="0" dimension="23"/>
    <map measureGroup="0" dimension="28"/>
    <map measureGroup="0" dimension="30"/>
    <map measureGroup="0" dimension="33"/>
    <map measureGroup="0" dimension="34"/>
    <map measureGroup="0" dimension="37"/>
    <map measureGroup="0" dimension="38"/>
    <map measureGroup="0" dimension="39"/>
    <map measureGroup="0" dimension="41"/>
    <map measureGroup="0" dimension="42"/>
    <map measureGroup="0" dimension="43"/>
    <map measureGroup="0" dimension="44"/>
    <map measureGroup="0" dimension="45"/>
    <map measureGroup="0" dimension="46"/>
    <map measureGroup="1" dimension="1"/>
    <map measureGroup="1" dimension="3"/>
    <map measureGroup="1" dimension="15"/>
    <map measureGroup="1" dimension="23"/>
    <map measureGroup="1" dimension="45"/>
    <map measureGroup="2" dimension="0"/>
    <map measureGroup="2" dimension="1"/>
    <map measureGroup="2" dimension="2"/>
    <map measureGroup="2" dimension="3"/>
    <map measureGroup="2" dimension="4"/>
    <map measureGroup="2" dimension="5"/>
    <map measureGroup="2" dimension="6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30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3" dimension="1"/>
    <map measureGroup="3" dimension="3"/>
    <map measureGroup="3" dimension="5"/>
    <map measureGroup="3" dimension="7"/>
    <map measureGroup="3" dimension="8"/>
    <map measureGroup="3" dimension="15"/>
    <map measureGroup="3" dimension="21"/>
    <map measureGroup="3" dimension="23"/>
    <map measureGroup="3" dimension="30"/>
    <map measureGroup="3" dimension="32"/>
    <map measureGroup="4" dimension="1"/>
    <map measureGroup="4" dimension="2"/>
    <map measureGroup="4" dimension="3"/>
    <map measureGroup="4" dimension="5"/>
    <map measureGroup="4" dimension="11"/>
    <map measureGroup="4" dimension="12"/>
    <map measureGroup="4" dimension="15"/>
    <map measureGroup="4" dimension="21"/>
    <map measureGroup="4" dimension="23"/>
    <map measureGroup="4" dimension="30"/>
    <map measureGroup="4" dimension="31"/>
    <map measureGroup="4" dimension="33"/>
    <map measureGroup="4" dimension="34"/>
    <map measureGroup="4" dimension="36"/>
    <map measureGroup="4" dimension="42"/>
    <map measureGroup="4" dimension="43"/>
    <map measureGroup="4" dimension="45"/>
    <map measureGroup="4" dimension="4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">
  <r>
    <x v="0"/>
    <x v="0"/>
    <n v="266.35000000000002"/>
  </r>
  <r>
    <x v="0"/>
    <x v="0"/>
    <n v="213.08"/>
  </r>
  <r>
    <x v="0"/>
    <x v="0"/>
    <n v="159.81"/>
  </r>
  <r>
    <x v="0"/>
    <x v="0"/>
    <n v="506.07"/>
  </r>
  <r>
    <x v="0"/>
    <x v="0"/>
    <n v="665.88"/>
  </r>
  <r>
    <x v="0"/>
    <x v="0"/>
    <n v="372.89"/>
  </r>
  <r>
    <x v="0"/>
    <x v="0"/>
    <n v="1012.13"/>
  </r>
  <r>
    <x v="0"/>
    <x v="0"/>
    <n v="213.08"/>
  </r>
  <r>
    <x v="0"/>
    <x v="0"/>
    <n v="452.8"/>
  </r>
  <r>
    <x v="0"/>
    <x v="0"/>
    <n v="452.8"/>
  </r>
  <r>
    <x v="0"/>
    <x v="0"/>
    <n v="106.54"/>
  </r>
  <r>
    <x v="0"/>
    <x v="0"/>
    <n v="319.62"/>
  </r>
  <r>
    <x v="0"/>
    <x v="0"/>
    <n v="452.8"/>
  </r>
  <r>
    <x v="0"/>
    <x v="0"/>
    <n v="452.8"/>
  </r>
  <r>
    <x v="0"/>
    <x v="0"/>
    <n v="346.26"/>
  </r>
  <r>
    <x v="0"/>
    <x v="0"/>
    <n v="612.61"/>
  </r>
  <r>
    <x v="0"/>
    <x v="0"/>
    <n v="665.88"/>
  </r>
  <r>
    <x v="0"/>
    <x v="0"/>
    <n v="559.34"/>
  </r>
  <r>
    <x v="0"/>
    <x v="0"/>
    <n v="319.62"/>
  </r>
  <r>
    <x v="0"/>
    <x v="0"/>
    <n v="532.70000000000005"/>
  </r>
  <r>
    <x v="0"/>
    <x v="0"/>
    <n v="665.88"/>
  </r>
  <r>
    <x v="0"/>
    <x v="0"/>
    <n v="426.16"/>
  </r>
  <r>
    <x v="0"/>
    <x v="0"/>
    <n v="506.07"/>
  </r>
  <r>
    <x v="0"/>
    <x v="0"/>
    <n v="479.43"/>
  </r>
  <r>
    <x v="0"/>
    <x v="0"/>
    <n v="372.89"/>
  </r>
  <r>
    <x v="0"/>
    <x v="0"/>
    <n v="346.26"/>
  </r>
  <r>
    <x v="0"/>
    <x v="0"/>
    <n v="559.34"/>
  </r>
  <r>
    <x v="0"/>
    <x v="0"/>
    <n v="479.43"/>
  </r>
  <r>
    <x v="0"/>
    <x v="0"/>
    <n v="639.24"/>
  </r>
  <r>
    <x v="0"/>
    <x v="0"/>
    <n v="159.81"/>
  </r>
  <r>
    <x v="0"/>
    <x v="0"/>
    <n v="292.99"/>
  </r>
  <r>
    <x v="0"/>
    <x v="0"/>
    <n v="399.53"/>
  </r>
  <r>
    <x v="0"/>
    <x v="0"/>
    <n v="266.35000000000002"/>
  </r>
  <r>
    <x v="0"/>
    <x v="0"/>
    <n v="213.08"/>
  </r>
  <r>
    <x v="0"/>
    <x v="0"/>
    <n v="452.8"/>
  </r>
  <r>
    <x v="0"/>
    <x v="0"/>
    <n v="479.43"/>
  </r>
  <r>
    <x v="0"/>
    <x v="0"/>
    <n v="346.26"/>
  </r>
  <r>
    <x v="1"/>
    <x v="1"/>
    <m/>
  </r>
  <r>
    <x v="0"/>
    <x v="2"/>
    <n v="199.32"/>
  </r>
  <r>
    <x v="0"/>
    <x v="2"/>
    <n v="443.94"/>
  </r>
  <r>
    <x v="0"/>
    <x v="3"/>
    <n v="350.17"/>
  </r>
  <r>
    <x v="0"/>
    <x v="4"/>
    <n v="552.24"/>
  </r>
  <r>
    <x v="0"/>
    <x v="3"/>
    <n v="460.75"/>
  </r>
  <r>
    <x v="0"/>
    <x v="4"/>
    <n v="563.75"/>
  </r>
  <r>
    <x v="0"/>
    <x v="2"/>
    <n v="996.6"/>
  </r>
  <r>
    <x v="0"/>
    <x v="2"/>
    <n v="362.4"/>
  </r>
  <r>
    <x v="0"/>
    <x v="3"/>
    <n v="460.75"/>
  </r>
  <r>
    <x v="0"/>
    <x v="4"/>
    <n v="552.24"/>
  </r>
  <r>
    <x v="0"/>
    <x v="3"/>
    <n v="276.45"/>
  </r>
  <r>
    <x v="0"/>
    <x v="4"/>
    <n v="552.24"/>
  </r>
  <r>
    <x v="0"/>
    <x v="3"/>
    <n v="110.58"/>
  </r>
  <r>
    <x v="0"/>
    <x v="4"/>
    <n v="494.72"/>
  </r>
  <r>
    <x v="0"/>
    <x v="4"/>
    <n v="552.24"/>
  </r>
  <r>
    <x v="0"/>
    <x v="2"/>
    <n v="543.6"/>
  </r>
  <r>
    <x v="0"/>
    <x v="2"/>
    <n v="616.07999999999993"/>
  </r>
  <r>
    <x v="0"/>
    <x v="2"/>
    <n v="543.6"/>
  </r>
  <r>
    <x v="0"/>
    <x v="2"/>
    <n v="543.6"/>
  </r>
  <r>
    <x v="0"/>
    <x v="2"/>
    <n v="543.6"/>
  </r>
  <r>
    <x v="0"/>
    <x v="4"/>
    <n v="540.74"/>
  </r>
  <r>
    <x v="0"/>
    <x v="4"/>
    <n v="276.12"/>
  </r>
  <r>
    <x v="0"/>
    <x v="2"/>
    <n v="335.22"/>
  </r>
  <r>
    <x v="0"/>
    <x v="2"/>
    <n v="507.36"/>
  </r>
  <r>
    <x v="0"/>
    <x v="2"/>
    <n v="398.64"/>
  </r>
  <r>
    <x v="0"/>
    <x v="2"/>
    <n v="362.4"/>
  </r>
  <r>
    <x v="0"/>
    <x v="2"/>
    <n v="398.64"/>
  </r>
  <r>
    <x v="0"/>
    <x v="3"/>
    <n v="359.39"/>
  </r>
  <r>
    <x v="0"/>
    <x v="3"/>
    <n v="460.75"/>
  </r>
  <r>
    <x v="0"/>
    <x v="4"/>
    <n v="552.24"/>
  </r>
  <r>
    <x v="0"/>
    <x v="2"/>
    <n v="453"/>
  </r>
  <r>
    <x v="0"/>
    <x v="3"/>
    <n v="331.74"/>
  </r>
  <r>
    <x v="0"/>
    <x v="4"/>
    <n v="552.24"/>
  </r>
  <r>
    <x v="0"/>
    <x v="4"/>
    <n v="552.24"/>
  </r>
  <r>
    <x v="0"/>
    <x v="4"/>
    <n v="529.23"/>
  </r>
  <r>
    <x v="0"/>
    <x v="2"/>
    <n v="434.88"/>
  </r>
  <r>
    <x v="0"/>
    <x v="2"/>
    <n v="434.88"/>
  </r>
  <r>
    <x v="0"/>
    <x v="4"/>
    <n v="356.66"/>
  </r>
  <r>
    <x v="0"/>
    <x v="5"/>
    <n v="552.24"/>
  </r>
  <r>
    <x v="0"/>
    <x v="5"/>
    <n v="552.24"/>
  </r>
  <r>
    <x v="0"/>
    <x v="2"/>
    <n v="434.88"/>
  </r>
  <r>
    <x v="0"/>
    <x v="5"/>
    <n v="506.22"/>
  </r>
  <r>
    <x v="0"/>
    <x v="5"/>
    <n v="552.24"/>
  </r>
  <r>
    <x v="0"/>
    <x v="5"/>
    <n v="368.16"/>
  </r>
  <r>
    <x v="0"/>
    <x v="5"/>
    <n v="483.21"/>
  </r>
  <r>
    <x v="0"/>
    <x v="5"/>
    <n v="184.08"/>
  </r>
  <r>
    <x v="0"/>
    <x v="5"/>
    <n v="161.07"/>
  </r>
  <r>
    <x v="0"/>
    <x v="5"/>
    <n v="494.72"/>
  </r>
  <r>
    <x v="0"/>
    <x v="2"/>
    <n v="652.52"/>
  </r>
  <r>
    <x v="0"/>
    <x v="2"/>
    <n v="579.84"/>
  </r>
  <r>
    <x v="0"/>
    <x v="5"/>
    <n v="437.19"/>
  </r>
  <r>
    <x v="0"/>
    <x v="5"/>
    <n v="552.24"/>
  </r>
  <r>
    <x v="0"/>
    <x v="5"/>
    <n v="368.16"/>
  </r>
  <r>
    <x v="0"/>
    <x v="2"/>
    <n v="724.8"/>
  </r>
  <r>
    <x v="0"/>
    <x v="2"/>
    <n v="688.56"/>
  </r>
  <r>
    <x v="0"/>
    <x v="2"/>
    <n v="724.8"/>
  </r>
  <r>
    <x v="0"/>
    <x v="2"/>
    <n v="579.84"/>
  </r>
  <r>
    <x v="0"/>
    <x v="5"/>
    <n v="552.24"/>
  </r>
  <r>
    <x v="0"/>
    <x v="5"/>
    <n v="483.21"/>
  </r>
  <r>
    <x v="0"/>
    <x v="5"/>
    <n v="460.2"/>
  </r>
  <r>
    <x v="0"/>
    <x v="2"/>
    <n v="579.84"/>
  </r>
  <r>
    <x v="0"/>
    <x v="2"/>
    <n v="1195.92"/>
  </r>
  <r>
    <x v="0"/>
    <x v="5"/>
    <n v="368.16"/>
  </r>
  <r>
    <x v="0"/>
    <x v="5"/>
    <n v="563.75"/>
  </r>
  <r>
    <x v="0"/>
    <x v="5"/>
    <n v="529.23"/>
  </r>
  <r>
    <x v="0"/>
    <x v="5"/>
    <n v="552.24"/>
  </r>
  <r>
    <x v="0"/>
    <x v="5"/>
    <n v="529.23"/>
  </r>
  <r>
    <x v="0"/>
    <x v="5"/>
    <n v="552.24"/>
  </r>
  <r>
    <x v="0"/>
    <x v="5"/>
    <n v="437.19"/>
  </r>
  <r>
    <x v="0"/>
    <x v="5"/>
    <n v="368.16"/>
  </r>
  <r>
    <x v="0"/>
    <x v="2"/>
    <n v="1014.72"/>
  </r>
  <r>
    <x v="0"/>
    <x v="5"/>
    <n v="552.24"/>
  </r>
  <r>
    <x v="0"/>
    <x v="5"/>
    <n v="483.21"/>
  </r>
  <r>
    <x v="2"/>
    <x v="6"/>
    <n v="500"/>
  </r>
  <r>
    <x v="0"/>
    <x v="5"/>
    <n v="552.24"/>
  </r>
  <r>
    <x v="0"/>
    <x v="2"/>
    <n v="1304.6400000000001"/>
  </r>
  <r>
    <x v="0"/>
    <x v="2"/>
    <n v="1449.6"/>
  </r>
  <r>
    <x v="0"/>
    <x v="5"/>
    <n v="368.16"/>
  </r>
  <r>
    <x v="0"/>
    <x v="5"/>
    <n v="552.24"/>
  </r>
  <r>
    <x v="0"/>
    <x v="2"/>
    <n v="1449.6"/>
  </r>
  <r>
    <x v="0"/>
    <x v="5"/>
    <n v="552.24"/>
  </r>
  <r>
    <x v="0"/>
    <x v="2"/>
    <n v="724.8"/>
  </r>
  <r>
    <x v="0"/>
    <x v="5"/>
    <n v="552.24"/>
  </r>
  <r>
    <x v="0"/>
    <x v="5"/>
    <n v="552.24"/>
  </r>
  <r>
    <x v="0"/>
    <x v="2"/>
    <n v="434.88"/>
  </r>
  <r>
    <x v="0"/>
    <x v="5"/>
    <n v="368.16"/>
  </r>
  <r>
    <x v="0"/>
    <x v="2"/>
    <n v="670.44"/>
  </r>
  <r>
    <x v="0"/>
    <x v="2"/>
    <n v="525.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413C0D-FA51-4DFC-8B89-667E53DE2FA8}" name="PivotTable1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 fieldListSortAscending="1">
  <location ref="A9:H138" firstHeaderRow="2" firstDataRow="2" firstDataCol="7" rowPageCount="7" colPageCount="1"/>
  <pivotFields count="19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10"/>
    <field x="11"/>
    <field x="12"/>
    <field x="13"/>
    <field x="18"/>
    <field x="17"/>
    <field x="15"/>
  </rowFields>
  <rowItems count="128">
    <i>
      <x/>
      <x v="1"/>
      <x v="1"/>
      <x v="4"/>
      <x/>
      <x v="3"/>
      <x v="1"/>
    </i>
    <i r="3">
      <x v="5"/>
      <x/>
      <x v="3"/>
      <x v="1"/>
    </i>
    <i r="1">
      <x v="4"/>
      <x v="1"/>
      <x v="11"/>
      <x/>
      <x v="3"/>
      <x v="1"/>
    </i>
    <i r="1">
      <x v="6"/>
      <x v="1"/>
      <x v="15"/>
      <x/>
      <x v="3"/>
      <x v="1"/>
    </i>
    <i r="1">
      <x v="7"/>
      <x v="1"/>
      <x v="18"/>
      <x/>
      <x v="3"/>
      <x v="1"/>
    </i>
    <i r="1">
      <x v="8"/>
      <x v="1"/>
      <x v="19"/>
      <x/>
      <x v="3"/>
      <x v="1"/>
    </i>
    <i r="1">
      <x v="9"/>
      <x v="1"/>
      <x v="20"/>
      <x/>
      <x v="3"/>
      <x v="1"/>
    </i>
    <i r="1">
      <x v="10"/>
      <x v="1"/>
      <x v="21"/>
      <x/>
      <x v="3"/>
      <x v="1"/>
    </i>
    <i r="1">
      <x v="14"/>
      <x v="1"/>
      <x v="30"/>
      <x/>
      <x v="3"/>
      <x v="1"/>
    </i>
    <i r="3">
      <x v="31"/>
      <x/>
      <x v="3"/>
      <x v="1"/>
    </i>
    <i r="1">
      <x v="18"/>
      <x v="1"/>
      <x v="40"/>
      <x/>
      <x v="3"/>
      <x v="1"/>
    </i>
    <i r="1">
      <x v="20"/>
      <x v="1"/>
      <x v="42"/>
      <x/>
      <x v="3"/>
      <x v="1"/>
    </i>
    <i r="1">
      <x v="21"/>
      <x v="1"/>
      <x v="44"/>
      <x/>
      <x v="3"/>
      <x v="1"/>
    </i>
    <i r="1">
      <x v="24"/>
      <x v="1"/>
      <x v="49"/>
      <x/>
      <x v="3"/>
      <x v="1"/>
    </i>
    <i r="1">
      <x v="26"/>
      <x v="1"/>
      <x v="52"/>
      <x/>
      <x v="3"/>
      <x v="1"/>
    </i>
    <i r="1">
      <x v="27"/>
      <x v="1"/>
      <x v="54"/>
      <x/>
      <x v="3"/>
      <x v="1"/>
    </i>
    <i r="1">
      <x v="30"/>
      <x v="1"/>
      <x v="59"/>
      <x/>
      <x v="3"/>
      <x v="1"/>
    </i>
    <i r="1">
      <x v="32"/>
      <x v="1"/>
      <x v="62"/>
      <x/>
      <x v="3"/>
      <x v="1"/>
    </i>
    <i r="1">
      <x v="33"/>
      <x v="1"/>
      <x v="65"/>
      <x/>
      <x v="3"/>
      <x v="1"/>
    </i>
    <i r="1">
      <x v="35"/>
      <x v="1"/>
      <x v="68"/>
      <x/>
      <x v="3"/>
      <x v="1"/>
    </i>
    <i r="1">
      <x v="36"/>
      <x v="1"/>
      <x v="70"/>
      <x/>
      <x v="3"/>
      <x v="1"/>
    </i>
    <i r="1">
      <x v="37"/>
      <x v="1"/>
      <x v="71"/>
      <x/>
      <x v="3"/>
      <x v="1"/>
    </i>
    <i r="3">
      <x v="72"/>
      <x/>
      <x v="3"/>
      <x v="1"/>
    </i>
    <i r="3">
      <x v="73"/>
      <x/>
      <x v="3"/>
      <x v="1"/>
    </i>
    <i r="3">
      <x v="75"/>
      <x/>
      <x v="3"/>
      <x v="1"/>
    </i>
    <i r="1">
      <x v="39"/>
      <x v="1"/>
      <x v="83"/>
      <x/>
      <x v="3"/>
      <x v="1"/>
    </i>
    <i r="1">
      <x v="40"/>
      <x v="1"/>
      <x v="84"/>
      <x/>
      <x v="3"/>
      <x v="1"/>
    </i>
    <i r="3">
      <x v="85"/>
      <x/>
      <x v="3"/>
      <x v="1"/>
    </i>
    <i r="1">
      <x v="42"/>
      <x v="1"/>
      <x v="91"/>
      <x/>
      <x v="3"/>
      <x v="1"/>
    </i>
    <i r="3">
      <x v="93"/>
      <x/>
      <x v="3"/>
      <x v="1"/>
    </i>
    <i r="1">
      <x v="44"/>
      <x v="1"/>
      <x v="98"/>
      <x/>
      <x v="3"/>
      <x v="1"/>
    </i>
    <i r="3">
      <x v="101"/>
      <x/>
      <x v="3"/>
      <x v="1"/>
    </i>
    <i r="1">
      <x v="46"/>
      <x v="1"/>
      <x v="103"/>
      <x/>
      <x v="3"/>
      <x v="1"/>
    </i>
    <i r="3">
      <x v="104"/>
      <x/>
      <x v="3"/>
      <x v="1"/>
    </i>
    <i r="1">
      <x v="48"/>
      <x v="1"/>
      <x v="106"/>
      <x/>
      <x v="3"/>
      <x v="1"/>
    </i>
    <i r="1">
      <x v="52"/>
      <x v="1"/>
      <x v="116"/>
      <x/>
      <x v="3"/>
      <x v="1"/>
    </i>
    <i r="1">
      <x v="53"/>
      <x v="1"/>
      <x v="119"/>
      <x/>
      <x v="3"/>
      <x v="1"/>
    </i>
    <i t="default">
      <x/>
    </i>
    <i>
      <x v="1"/>
      <x/>
      <x v="1"/>
      <x/>
      <x/>
      <x v="2"/>
      <x v="1"/>
    </i>
    <i r="3">
      <x v="1"/>
      <x/>
      <x v="2"/>
      <x v="1"/>
    </i>
    <i r="1">
      <x v="1"/>
      <x v="1"/>
      <x v="2"/>
      <x/>
      <x v="1"/>
      <x v="1"/>
    </i>
    <i r="3">
      <x v="3"/>
      <x/>
      <x/>
      <x/>
    </i>
    <i r="3">
      <x v="6"/>
      <x/>
      <x v="1"/>
      <x v="1"/>
    </i>
    <i r="3">
      <x v="7"/>
      <x/>
      <x/>
      <x/>
    </i>
    <i r="1">
      <x v="2"/>
      <x v="1"/>
      <x v="8"/>
      <x/>
      <x v="2"/>
      <x v="1"/>
    </i>
    <i r="1">
      <x v="3"/>
      <x v="1"/>
      <x v="9"/>
      <x/>
      <x v="2"/>
      <x v="1"/>
    </i>
    <i r="1">
      <x v="4"/>
      <x v="1"/>
      <x v="10"/>
      <x/>
      <x v="1"/>
      <x v="1"/>
    </i>
    <i r="1">
      <x v="5"/>
      <x v="1"/>
      <x v="12"/>
      <x/>
      <x/>
      <x/>
    </i>
    <i r="1">
      <x v="6"/>
      <x v="1"/>
      <x v="13"/>
      <x/>
      <x v="1"/>
      <x v="1"/>
    </i>
    <i r="3">
      <x v="14"/>
      <x/>
      <x/>
      <x/>
    </i>
    <i r="3">
      <x v="16"/>
      <x/>
      <x v="1"/>
      <x v="1"/>
    </i>
    <i r="3">
      <x v="17"/>
      <x/>
      <x/>
      <x/>
    </i>
    <i r="1">
      <x v="10"/>
      <x v="1"/>
      <x v="22"/>
      <x/>
      <x/>
      <x/>
    </i>
    <i r="1">
      <x v="11"/>
      <x v="1"/>
      <x v="23"/>
      <x/>
      <x v="2"/>
      <x v="1"/>
    </i>
    <i r="1">
      <x v="12"/>
      <x v="1"/>
      <x v="24"/>
      <x/>
      <x v="2"/>
      <x v="1"/>
    </i>
    <i r="3">
      <x v="25"/>
      <x/>
      <x v="2"/>
      <x v="1"/>
    </i>
    <i r="3">
      <x v="26"/>
      <x/>
      <x v="2"/>
      <x v="1"/>
    </i>
    <i r="3">
      <x v="27"/>
      <x/>
      <x v="2"/>
      <x v="1"/>
    </i>
    <i r="1">
      <x v="13"/>
      <x v="1"/>
      <x v="28"/>
      <x/>
      <x/>
      <x/>
    </i>
    <i r="3">
      <x v="29"/>
      <x/>
      <x/>
      <x/>
    </i>
    <i r="1">
      <x v="15"/>
      <x v="1"/>
      <x v="32"/>
      <x/>
      <x v="2"/>
      <x v="1"/>
    </i>
    <i r="3">
      <x v="33"/>
      <x/>
      <x v="2"/>
      <x v="1"/>
    </i>
    <i r="3">
      <x v="34"/>
      <x/>
      <x v="2"/>
      <x v="1"/>
    </i>
    <i r="1">
      <x v="16"/>
      <x v="1"/>
      <x v="35"/>
      <x/>
      <x v="2"/>
      <x v="1"/>
    </i>
    <i r="1">
      <x v="17"/>
      <x v="1"/>
      <x v="36"/>
      <x/>
      <x v="2"/>
      <x v="1"/>
    </i>
    <i r="3">
      <x v="37"/>
      <x/>
      <x v="1"/>
      <x v="1"/>
    </i>
    <i r="1">
      <x v="18"/>
      <x v="1"/>
      <x v="38"/>
      <x/>
      <x v="1"/>
      <x v="1"/>
    </i>
    <i r="3">
      <x v="39"/>
      <x/>
      <x/>
      <x/>
    </i>
    <i r="1">
      <x v="19"/>
      <x v="1"/>
      <x v="41"/>
      <x/>
      <x v="2"/>
      <x v="1"/>
    </i>
    <i r="1">
      <x v="20"/>
      <x v="1"/>
      <x v="43"/>
      <x/>
      <x v="1"/>
      <x v="1"/>
    </i>
    <i r="1">
      <x v="21"/>
      <x v="1"/>
      <x v="45"/>
      <x/>
      <x/>
      <x/>
    </i>
    <i r="3">
      <x v="46"/>
      <x/>
      <x/>
      <x/>
    </i>
    <i r="1">
      <x v="22"/>
      <x v="1"/>
      <x v="47"/>
      <x/>
      <x/>
      <x/>
    </i>
    <i r="1">
      <x v="23"/>
      <x v="1"/>
      <x v="48"/>
      <x/>
      <x v="2"/>
      <x v="1"/>
    </i>
    <i r="1">
      <x v="25"/>
      <x v="1"/>
      <x v="50"/>
      <x/>
      <x v="2"/>
      <x v="1"/>
    </i>
    <i r="3">
      <x v="51"/>
      <x/>
      <x/>
      <x/>
    </i>
    <i r="1">
      <x v="27"/>
      <x v="1"/>
      <x v="53"/>
      <x/>
      <x v="4"/>
      <x/>
    </i>
    <i r="3">
      <x v="55"/>
      <x/>
      <x v="4"/>
      <x/>
    </i>
    <i r="1">
      <x v="28"/>
      <x v="1"/>
      <x v="56"/>
      <x/>
      <x v="2"/>
      <x v="1"/>
    </i>
    <i r="1">
      <x v="29"/>
      <x v="1"/>
      <x v="57"/>
      <x/>
      <x v="4"/>
      <x/>
    </i>
    <i r="3">
      <x v="58"/>
      <x/>
      <x v="4"/>
      <x/>
    </i>
    <i r="1">
      <x v="30"/>
      <x v="1"/>
      <x v="60"/>
      <x/>
      <x v="4"/>
      <x/>
    </i>
    <i r="1">
      <x v="31"/>
      <x v="1"/>
      <x v="61"/>
      <x/>
      <x v="4"/>
      <x/>
    </i>
    <i r="1">
      <x v="32"/>
      <x v="1"/>
      <x v="63"/>
      <x/>
      <x v="4"/>
      <x/>
    </i>
    <i r="1">
      <x v="33"/>
      <x v="1"/>
      <x v="64"/>
      <x/>
      <x v="4"/>
      <x/>
    </i>
    <i r="3">
      <x v="66"/>
      <x/>
      <x v="4"/>
      <x/>
    </i>
    <i r="1">
      <x v="34"/>
      <x v="1"/>
      <x v="67"/>
      <x/>
      <x v="2"/>
      <x v="1"/>
    </i>
    <i r="1">
      <x v="35"/>
      <x v="1"/>
      <x v="69"/>
      <x/>
      <x v="2"/>
      <x v="1"/>
    </i>
    <i r="1">
      <x v="37"/>
      <x v="1"/>
      <x v="74"/>
      <x/>
      <x v="4"/>
      <x/>
    </i>
    <i r="3">
      <x v="76"/>
      <x/>
      <x v="4"/>
      <x/>
    </i>
    <i r="3">
      <x v="77"/>
      <x/>
      <x v="4"/>
      <x/>
    </i>
    <i r="1">
      <x v="38"/>
      <x v="1"/>
      <x v="78"/>
      <x/>
      <x v="2"/>
      <x v="1"/>
    </i>
    <i r="3">
      <x v="79"/>
      <x/>
      <x v="2"/>
      <x v="1"/>
    </i>
    <i r="3">
      <x v="80"/>
      <x/>
      <x v="2"/>
      <x v="1"/>
    </i>
    <i r="3">
      <x v="81"/>
      <x/>
      <x v="2"/>
      <x v="1"/>
    </i>
    <i r="1">
      <x v="39"/>
      <x v="1"/>
      <x v="82"/>
      <x/>
      <x v="4"/>
      <x/>
    </i>
    <i r="1">
      <x v="40"/>
      <x v="1"/>
      <x v="86"/>
      <x/>
      <x v="4"/>
      <x/>
    </i>
    <i r="3">
      <x v="87"/>
      <x/>
      <x v="4"/>
      <x/>
    </i>
    <i r="1">
      <x v="41"/>
      <x v="1"/>
      <x v="88"/>
      <x/>
      <x v="2"/>
      <x v="1"/>
    </i>
    <i r="3">
      <x v="89"/>
      <x/>
      <x v="2"/>
      <x v="1"/>
    </i>
    <i r="1">
      <x v="42"/>
      <x v="1"/>
      <x v="90"/>
      <x/>
      <x v="4"/>
      <x/>
    </i>
    <i r="3">
      <x v="92"/>
      <x/>
      <x v="4"/>
      <x/>
    </i>
    <i r="1">
      <x v="43"/>
      <x v="1"/>
      <x v="94"/>
      <x/>
      <x v="4"/>
      <x/>
    </i>
    <i r="1">
      <x v="44"/>
      <x v="1"/>
      <x v="95"/>
      <x/>
      <x v="4"/>
      <x/>
    </i>
    <i r="3">
      <x v="96"/>
      <x/>
      <x v="4"/>
      <x/>
    </i>
    <i r="3">
      <x v="97"/>
      <x/>
      <x v="4"/>
      <x/>
    </i>
    <i r="3">
      <x v="99"/>
      <x/>
      <x v="4"/>
      <x/>
    </i>
    <i r="3">
      <x v="100"/>
      <x/>
      <x v="4"/>
      <x/>
    </i>
    <i r="1">
      <x v="45"/>
      <x v="1"/>
      <x v="102"/>
      <x/>
      <x v="2"/>
      <x v="1"/>
    </i>
    <i r="1">
      <x v="47"/>
      <x v="1"/>
      <x v="105"/>
      <x/>
      <x v="4"/>
      <x/>
    </i>
    <i r="1">
      <x v="48"/>
      <x v="1"/>
      <x v="107"/>
      <x/>
      <x v="4"/>
      <x/>
    </i>
    <i r="1">
      <x v="49"/>
      <x/>
      <x v="108"/>
      <x v="1"/>
      <x v="5"/>
      <x v="2"/>
    </i>
    <i r="1">
      <x v="50"/>
      <x v="1"/>
      <x v="109"/>
      <x/>
      <x v="4"/>
      <x/>
    </i>
    <i r="3">
      <x v="110"/>
      <x/>
      <x v="2"/>
      <x v="1"/>
    </i>
    <i r="1">
      <x v="51"/>
      <x v="1"/>
      <x v="111"/>
      <x/>
      <x v="2"/>
      <x v="1"/>
    </i>
    <i r="1">
      <x v="52"/>
      <x v="1"/>
      <x v="112"/>
      <x/>
      <x v="4"/>
      <x/>
    </i>
    <i r="3">
      <x v="113"/>
      <x/>
      <x v="4"/>
      <x/>
    </i>
    <i r="3">
      <x v="114"/>
      <x/>
      <x v="2"/>
      <x v="1"/>
    </i>
    <i r="3">
      <x v="115"/>
      <x/>
      <x v="4"/>
      <x/>
    </i>
    <i r="3">
      <x v="117"/>
      <x/>
      <x v="2"/>
      <x v="1"/>
    </i>
    <i r="1">
      <x v="53"/>
      <x v="1"/>
      <x v="118"/>
      <x/>
      <x v="4"/>
      <x/>
    </i>
    <i r="3">
      <x v="120"/>
      <x/>
      <x v="4"/>
      <x/>
    </i>
    <i r="1">
      <x v="54"/>
      <x v="1"/>
      <x v="121"/>
      <x/>
      <x v="2"/>
      <x v="1"/>
    </i>
    <i r="3">
      <x v="122"/>
      <x/>
      <x v="4"/>
      <x/>
    </i>
    <i r="1">
      <x v="55"/>
      <x v="1"/>
      <x v="123"/>
      <x/>
      <x v="2"/>
      <x v="1"/>
    </i>
    <i r="3">
      <x v="124"/>
      <x/>
      <x v="2"/>
      <x v="1"/>
    </i>
    <i t="default">
      <x v="1"/>
    </i>
    <i t="grand">
      <x/>
    </i>
  </rowItems>
  <colItems count="1">
    <i/>
  </colItems>
  <pageFields count="7">
    <pageField fld="0" hier="10" name="[Approp].[Approp].&amp;[028701]" cap="028701"/>
    <pageField fld="1" hier="51" name="[Dept].[Dept].&amp;[01A]" cap="01A"/>
    <pageField fld="2" hier="86" name="[Fund].[Fund].&amp;[014]" cap="014"/>
    <pageField fld="3" hier="1" name="[Accounting Period].[Acct Period Hierarchy].[Fisc Yr].&amp;[2023]" cap="2023"/>
    <pageField fld="14" hier="148" name="[Posting Code].[Financial Category].&amp;[EXPENSE]" cap="EXPENSE"/>
    <pageField fld="9" hier="125" name="[Object].[Object Class].&amp;[2]" cap="2"/>
    <pageField fld="8" hier="126" name="[Object].[Object Group].&amp;[40]" cap="40"/>
  </pageFields>
  <dataFields count="1">
    <dataField fld="16" baseField="0" baseItem="0"/>
  </dataFields>
  <formats count="1">
    <format dxfId="353">
      <pivotArea dataOnly="0" outline="0" fieldPosition="0">
        <references count="1">
          <reference field="10" count="0" defaultSubtotal="1"/>
        </references>
      </pivotArea>
    </format>
  </formats>
  <pivotHierarchies count="346">
    <pivotHierarchy/>
    <pivotHierarchy>
      <mps count="2">
        <mp field="6"/>
        <mp field="7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embers count="87" level="1">
        <member name=""/>
        <member name=""/>
        <member name="[Documents].[Doc Cd].&amp;[CT]"/>
        <member name="[Documents].[Doc Cd].&amp;[DC]"/>
        <member name="[Documents].[Doc Cd].&amp;[DO]"/>
        <member name="[Documents].[Doc Cd].&amp;[EV]"/>
        <member name="[Documents].[Doc Cd].&amp;[FA]"/>
        <member name="[Documents].[Doc Cd].&amp;[FC]"/>
        <member name="[Documents].[Doc Cd].&amp;[FD]"/>
        <member name="[Documents].[Doc Cd].&amp;[FE]"/>
        <member name="[Documents].[Doc Cd].&amp;[FI]"/>
        <member name="[Documents].[Doc Cd].&amp;[FM]"/>
        <member name="[Documents].[Doc Cd].&amp;[FP]"/>
        <member name="[Documents].[Doc Cd].&amp;[FT]"/>
        <member name="[Documents].[Doc Cd].&amp;[FX]"/>
        <member name="[Documents].[Doc Cd].&amp;[GR]"/>
        <member name="[Documents].[Doc Cd].&amp;[IN]"/>
        <member name="[Documents].[Doc Cd].&amp;[IT]"/>
        <member name="[Documents].[Doc Cd].&amp;[JV]"/>
        <member name="[Documents].[Doc Cd].&amp;[MA]"/>
        <member name="[Documents].[Doc Cd].&amp;[PE]"/>
        <member name="[Documents].[Doc Cd].&amp;[PO]"/>
        <member name="[Documents].[Doc Cd].&amp;[RC]"/>
        <member name=""/>
        <member name="[Documents].[Doc Cd].&amp;[RN]"/>
        <member name="[Documents].[Doc Cd].&amp;[SR]"/>
        <member name="[Documents].[Doc Cd].&amp;[TM]"/>
        <member name="[Documents].[Doc Cd].&amp;[UR]"/>
        <member name="[Documents].[Doc Cd].&amp;[WO]"/>
        <member name="[Documents].[Doc Cd].&amp;[BAC]"/>
        <member name="[Documents].[Doc Cd].&amp;[BPO]"/>
        <member name="[Documents].[Doc Cd].&amp;[CAS]"/>
        <member name="[Documents].[Doc Cd].&amp;[CEC]"/>
        <member name="[Documents].[Doc Cd].&amp;[CTB]"/>
        <member name="[Documents].[Doc Cd].&amp;[CTI]"/>
        <member name="[Documents].[Doc Cd].&amp;[CTM]"/>
        <member name="[Documents].[Doc Cd].&amp;[CTP]"/>
        <member name="[Documents].[Doc Cd].&amp;[GAE]"/>
        <member name=""/>
        <member name="[Documents].[Doc Cd].&amp;[GFO]"/>
        <member name=""/>
        <member name="[Documents].[Doc Cd].&amp;[IRM]"/>
        <member name="[Documents].[Doc Cd].&amp;[JVA]"/>
        <member name="[Documents].[Doc Cd].&amp;[JVC]"/>
        <member name="[Documents].[Doc Cd].&amp;[MAW]"/>
        <member name=""/>
        <member name="[Documents].[Doc Cd].&amp;[PRM]"/>
        <member name="[Documents].[Doc Cd].&amp;[PRN]"/>
        <member name="[Documents].[Doc Cd].&amp;[PRW]"/>
        <member name="[Documents].[Doc Cd].&amp;[PRX]"/>
        <member name="[Documents].[Doc Cd].&amp;[REM]"/>
        <member name="[Documents].[Doc Cd].&amp;[RES]"/>
        <member name="[Documents].[Doc Cd].&amp;[RFQ]"/>
        <member name="[Documents].[Doc Cd].&amp;[RQA]"/>
        <member name="[Documents].[Doc Cd].&amp;[RQN]"/>
        <member name="[Documents].[Doc Cd].&amp;[RQS]"/>
        <member name="[Documents].[Doc Cd].&amp;[SSB]"/>
        <member name="[Documents].[Doc Cd].&amp;[TRF]"/>
        <member name="[Documents].[Doc Cd].&amp;[VCC]"/>
        <member name="[Documents].[Doc Cd].&amp;[VCM]"/>
        <member name="[Documents].[Doc Cd].&amp;[ZBA]"/>
        <member name="[Documents].[Doc Cd].&amp;[ABDL]"/>
        <member name="[Documents].[Doc Cd].&amp;[ABSJ]"/>
        <member name="[Documents].[Doc Cd].&amp;[BGCA]"/>
        <member name="[Documents].[Doc Cd].&amp;[CBDL]"/>
        <member name="[Documents].[Doc Cd].&amp;[COAJ]"/>
        <member name="[Documents].[Doc Cd].&amp;[CRAJ]"/>
        <member name=""/>
        <member name="[Documents].[Doc Cd].&amp;[CREF]"/>
        <member name="[Documents].[Doc Cd].&amp;[CRNG]"/>
        <member name="[Documents].[Doc Cd].&amp;[CRPM]"/>
        <member name="[Documents].[Doc Cd].&amp;[CRRT]"/>
        <member name="[Documents].[Doc Cd].&amp;[CTMV]"/>
        <member name="[Documents].[Doc Cd].&amp;[GAEC]"/>
        <member name="[Documents].[Doc Cd].&amp;[GAIP]"/>
        <member name="[Documents].[Doc Cd].&amp;[GASA]"/>
        <member name="[Documents].[Doc Cd].&amp;[GASE]"/>
        <member name=""/>
        <member name="[Documents].[Doc Cd].&amp;[JVAC]"/>
        <member name="[Documents].[Doc Cd].&amp;[PAJV]"/>
        <member name="[Documents].[Doc Cd].&amp;[BGPDR]"/>
        <member name="[Documents].[Doc Cd].&amp;[BGPHR]"/>
        <member name="[Documents].[Doc Cd].&amp;[INVSS]"/>
        <member name="[Documents].[Doc Cd].&amp;[M1099]"/>
        <member name="[Documents].[Doc Cd].&amp;[CRCCPM]"/>
        <member name="[Documents].[Doc Cd].&amp;[CREFPM]"/>
        <member name="[Documents].[Doc Cd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7">
    <rowHierarchyUsage hierarchyUsage="124"/>
    <rowHierarchyUsage hierarchyUsage="0"/>
    <rowHierarchyUsage hierarchyUsage="68"/>
    <rowHierarchyUsage hierarchyUsage="74"/>
    <rowHierarchyUsage hierarchyUsage="177"/>
    <rowHierarchyUsage hierarchyUsage="179"/>
    <rowHierarchyUsage hierarchyUsage="236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Z6:AR37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dataField="1" showAll="0"/>
    <pivotField axis="axisRow" allDrilled="1" outline="0" showAll="0" dataSourceSort="1" defaultSubtotal="0" defaultAttributeDrillState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2">
    <field x="5"/>
    <field x="6"/>
  </rowFields>
  <rowItems count="30">
    <i>
      <x/>
      <x v="17"/>
    </i>
    <i>
      <x v="1"/>
      <x v="17"/>
    </i>
    <i>
      <x v="2"/>
      <x v="17"/>
    </i>
    <i>
      <x v="3"/>
      <x v="17"/>
    </i>
    <i>
      <x v="4"/>
      <x v="17"/>
    </i>
    <i>
      <x v="5"/>
      <x v="17"/>
    </i>
    <i>
      <x v="6"/>
      <x v="6"/>
    </i>
    <i>
      <x v="7"/>
      <x v="14"/>
    </i>
    <i>
      <x v="8"/>
      <x v="13"/>
    </i>
    <i>
      <x v="9"/>
      <x v="21"/>
    </i>
    <i>
      <x v="10"/>
      <x v="22"/>
    </i>
    <i>
      <x v="11"/>
      <x v="18"/>
    </i>
    <i>
      <x v="12"/>
      <x v="23"/>
    </i>
    <i>
      <x v="13"/>
      <x v="15"/>
    </i>
    <i>
      <x v="14"/>
      <x v="16"/>
    </i>
    <i>
      <x v="15"/>
      <x v="10"/>
    </i>
    <i>
      <x v="16"/>
      <x v="7"/>
    </i>
    <i>
      <x v="17"/>
      <x v="4"/>
    </i>
    <i>
      <x v="18"/>
      <x v="3"/>
    </i>
    <i>
      <x v="19"/>
      <x v="19"/>
    </i>
    <i>
      <x v="20"/>
      <x v="2"/>
    </i>
    <i>
      <x v="21"/>
      <x v="5"/>
    </i>
    <i>
      <x v="22"/>
      <x v="11"/>
    </i>
    <i>
      <x v="23"/>
      <x v="8"/>
    </i>
    <i>
      <x v="24"/>
      <x v="9"/>
    </i>
    <i>
      <x v="25"/>
      <x v="12"/>
    </i>
    <i>
      <x v="26"/>
      <x/>
    </i>
    <i>
      <x v="27"/>
      <x v="20"/>
    </i>
    <i>
      <x v="28"/>
      <x v="1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226" name="[Unit].[Unit].&amp;[4003]" cap="4003"/>
  </pageFields>
  <dataFields count="1">
    <dataField fld="4" baseField="0" baseItem="0" numFmtId="43"/>
  </dataFields>
  <formats count="11">
    <format dxfId="273">
      <pivotArea field="0" type="button" dataOnly="0" labelOnly="1" outline="0" axis="axisPage" fieldPosition="0"/>
    </format>
    <format dxfId="272">
      <pivotArea dataOnly="0" labelOnly="1" outline="0" fieldPosition="0">
        <references count="1">
          <reference field="0" count="0"/>
        </references>
      </pivotArea>
    </format>
    <format dxfId="271">
      <pivotArea field="1" type="button" dataOnly="0" labelOnly="1" outline="0" axis="axisPage" fieldPosition="1"/>
    </format>
    <format dxfId="270">
      <pivotArea dataOnly="0" labelOnly="1" outline="0" fieldPosition="0">
        <references count="1">
          <reference field="1" count="0"/>
        </references>
      </pivotArea>
    </format>
    <format dxfId="269">
      <pivotArea field="2" type="button" dataOnly="0" labelOnly="1" outline="0" axis="axisPage" fieldPosition="2"/>
    </format>
    <format dxfId="268">
      <pivotArea dataOnly="0" labelOnly="1" outline="0" fieldPosition="0">
        <references count="1">
          <reference field="2" count="0"/>
        </references>
      </pivotArea>
    </format>
    <format dxfId="267">
      <pivotArea outline="0" collapsedLevelsAreSubtotals="1" fieldPosition="0"/>
    </format>
    <format dxfId="266">
      <pivotArea field="3" type="button" dataOnly="0" labelOnly="1" outline="0" axis="axisCol" fieldPosition="0"/>
    </format>
    <format dxfId="265">
      <pivotArea type="topRight" dataOnly="0" labelOnly="1" outline="0" fieldPosition="0"/>
    </format>
    <format dxfId="264">
      <pivotArea dataOnly="0" labelOnly="1" fieldPosition="0">
        <references count="1">
          <reference field="3" count="0"/>
        </references>
      </pivotArea>
    </format>
    <format dxfId="263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5:N84" firstHeaderRow="1" firstDataRow="2" firstDataCol="2" rowPageCount="6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8">
    <i>
      <x/>
      <x v="4"/>
    </i>
    <i>
      <x v="1"/>
      <x v="6"/>
    </i>
    <i>
      <x v="2"/>
      <x v="3"/>
    </i>
    <i>
      <x v="3"/>
      <x/>
    </i>
    <i>
      <x v="4"/>
      <x v="5"/>
    </i>
    <i>
      <x v="5"/>
      <x v="1"/>
    </i>
    <i>
      <x v="6"/>
      <x v="2"/>
    </i>
    <i t="grand">
      <x/>
    </i>
  </rowItems>
  <colFields count="1">
    <field x="8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3" hier="7" name="[Accounting Period].[Fisc Yr].&amp;[2023]" cap="2023"/>
    <pageField fld="9" hier="226" name="[Unit].[Unit].&amp;[4003]" cap="4003"/>
  </pageFields>
  <dataFields count="1">
    <dataField fld="6" baseField="0" baseItem="0" numFmtId="43"/>
  </dataFields>
  <formats count="11">
    <format dxfId="284">
      <pivotArea field="0" type="button" dataOnly="0" labelOnly="1" outline="0" axis="axisPage" fieldPosition="0"/>
    </format>
    <format dxfId="283">
      <pivotArea dataOnly="0" labelOnly="1" outline="0" fieldPosition="0">
        <references count="1">
          <reference field="0" count="0"/>
        </references>
      </pivotArea>
    </format>
    <format dxfId="282">
      <pivotArea field="1" type="button" dataOnly="0" labelOnly="1" outline="0" axis="axisPage" fieldPosition="1"/>
    </format>
    <format dxfId="281">
      <pivotArea dataOnly="0" labelOnly="1" outline="0" fieldPosition="0">
        <references count="1">
          <reference field="1" count="0"/>
        </references>
      </pivotArea>
    </format>
    <format dxfId="280">
      <pivotArea field="2" type="button" dataOnly="0" labelOnly="1" outline="0" axis="axisPage" fieldPosition="2"/>
    </format>
    <format dxfId="279">
      <pivotArea dataOnly="0" labelOnly="1" outline="0" fieldPosition="0">
        <references count="1">
          <reference field="2" count="0"/>
        </references>
      </pivotArea>
    </format>
    <format dxfId="278">
      <pivotArea outline="0" collapsedLevelsAreSubtotals="1" fieldPosition="0"/>
    </format>
    <format dxfId="277">
      <pivotArea field="3" type="button" dataOnly="0" labelOnly="1" outline="0" axis="axisPage" fieldPosition="4"/>
    </format>
    <format dxfId="276">
      <pivotArea type="topRight" dataOnly="0" labelOnly="1" outline="0" fieldPosition="0"/>
    </format>
    <format dxfId="275">
      <pivotArea dataOnly="0" labelOnly="1" fieldPosition="0">
        <references count="1">
          <reference field="3" count="0"/>
        </references>
      </pivotArea>
    </format>
    <format dxfId="274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PivotTable5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Z73:AM95" firstHeaderRow="1" firstDataRow="2" firstDataCol="2" rowPageCount="5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21">
    <i>
      <x/>
      <x v="12"/>
    </i>
    <i>
      <x v="1"/>
      <x v="12"/>
    </i>
    <i>
      <x v="2"/>
      <x v="12"/>
    </i>
    <i>
      <x v="3"/>
      <x v="12"/>
    </i>
    <i>
      <x v="4"/>
      <x v="5"/>
    </i>
    <i>
      <x v="5"/>
      <x v="10"/>
    </i>
    <i>
      <x v="6"/>
      <x v="15"/>
    </i>
    <i>
      <x v="7"/>
      <x v="16"/>
    </i>
    <i>
      <x v="8"/>
      <x v="11"/>
    </i>
    <i>
      <x v="9"/>
      <x v="8"/>
    </i>
    <i>
      <x v="10"/>
      <x v="6"/>
    </i>
    <i>
      <x v="11"/>
      <x v="3"/>
    </i>
    <i>
      <x v="12"/>
      <x v="2"/>
    </i>
    <i>
      <x v="13"/>
      <x v="13"/>
    </i>
    <i>
      <x v="14"/>
      <x v="4"/>
    </i>
    <i>
      <x v="15"/>
      <x v="9"/>
    </i>
    <i>
      <x v="16"/>
      <x v="7"/>
    </i>
    <i>
      <x v="17"/>
      <x/>
    </i>
    <i>
      <x v="18"/>
      <x v="14"/>
    </i>
    <i>
      <x v="19"/>
      <x v="1"/>
    </i>
    <i t="grand">
      <x/>
    </i>
  </rowItems>
  <colFields count="1">
    <field x="7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5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7" name="[Accounting Period].[Fisc Yr].&amp;[2023]" cap="2023"/>
    <pageField fld="9" hier="226" name="[Unit].[Unit].&amp;[4003]" cap="4003"/>
  </pageFields>
  <dataFields count="1">
    <dataField fld="3" baseField="0" baseItem="0" numFmtId="43"/>
  </dataFields>
  <formats count="9">
    <format dxfId="293">
      <pivotArea field="0" type="button" dataOnly="0" labelOnly="1" outline="0" axis="axisPage" fieldPosition="0"/>
    </format>
    <format dxfId="292">
      <pivotArea dataOnly="0" labelOnly="1" outline="0" fieldPosition="0">
        <references count="1">
          <reference field="0" count="0"/>
        </references>
      </pivotArea>
    </format>
    <format dxfId="291">
      <pivotArea field="1" type="button" dataOnly="0" labelOnly="1" outline="0" axis="axisPage" fieldPosition="1"/>
    </format>
    <format dxfId="290">
      <pivotArea dataOnly="0" labelOnly="1" outline="0" fieldPosition="0">
        <references count="1">
          <reference field="1" count="0"/>
        </references>
      </pivotArea>
    </format>
    <format dxfId="289">
      <pivotArea field="2" type="button" dataOnly="0" labelOnly="1" outline="0" axis="axisPage" fieldPosition="2"/>
    </format>
    <format dxfId="288">
      <pivotArea dataOnly="0" labelOnly="1" outline="0" fieldPosition="0">
        <references count="1">
          <reference field="2" count="0"/>
        </references>
      </pivotArea>
    </format>
    <format dxfId="287">
      <pivotArea outline="0" collapsedLevelsAreSubtotals="1" fieldPosition="0"/>
    </format>
    <format dxfId="286">
      <pivotArea type="topRight" dataOnly="0" labelOnly="1" outline="0" fieldPosition="0"/>
    </format>
    <format dxfId="285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U6:AD17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axis="axisRow" allDrilled="1" outline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2">
    <field x="5"/>
    <field x="6"/>
  </rowFields>
  <rowItems count="10">
    <i>
      <x/>
      <x v="4"/>
    </i>
    <i>
      <x v="1"/>
      <x v="7"/>
    </i>
    <i>
      <x v="2"/>
      <x v="8"/>
    </i>
    <i>
      <x v="3"/>
      <x v="5"/>
    </i>
    <i>
      <x v="4"/>
      <x v="2"/>
    </i>
    <i>
      <x v="5"/>
      <x v="1"/>
    </i>
    <i>
      <x v="6"/>
      <x/>
    </i>
    <i>
      <x v="7"/>
      <x v="3"/>
    </i>
    <i>
      <x v="8"/>
      <x v="6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226" name="[Unit].[Unit].&amp;[4302]" cap="4302"/>
  </pageFields>
  <dataFields count="1">
    <dataField fld="4" baseField="0" baseItem="0" numFmtId="43"/>
  </dataFields>
  <formats count="11">
    <format dxfId="220">
      <pivotArea field="0" type="button" dataOnly="0" labelOnly="1" outline="0" axis="axisPage" fieldPosition="0"/>
    </format>
    <format dxfId="219">
      <pivotArea dataOnly="0" labelOnly="1" outline="0" fieldPosition="0">
        <references count="1">
          <reference field="0" count="0"/>
        </references>
      </pivotArea>
    </format>
    <format dxfId="218">
      <pivotArea field="1" type="button" dataOnly="0" labelOnly="1" outline="0" axis="axisPage" fieldPosition="1"/>
    </format>
    <format dxfId="217">
      <pivotArea dataOnly="0" labelOnly="1" outline="0" fieldPosition="0">
        <references count="1">
          <reference field="1" count="0"/>
        </references>
      </pivotArea>
    </format>
    <format dxfId="216">
      <pivotArea field="2" type="button" dataOnly="0" labelOnly="1" outline="0" axis="axisPage" fieldPosition="2"/>
    </format>
    <format dxfId="215">
      <pivotArea dataOnly="0" labelOnly="1" outline="0" fieldPosition="0">
        <references count="1">
          <reference field="2" count="0"/>
        </references>
      </pivotArea>
    </format>
    <format dxfId="214">
      <pivotArea outline="0" collapsedLevelsAreSubtotals="1" fieldPosition="0"/>
    </format>
    <format dxfId="213">
      <pivotArea field="3" type="button" dataOnly="0" labelOnly="1" outline="0" axis="axisCol" fieldPosition="0"/>
    </format>
    <format dxfId="212">
      <pivotArea type="topRight" dataOnly="0" labelOnly="1" outline="0" fieldPosition="0"/>
    </format>
    <format dxfId="211">
      <pivotArea dataOnly="0" labelOnly="1" fieldPosition="0">
        <references count="1">
          <reference field="3" count="0"/>
        </references>
      </pivotArea>
    </format>
    <format dxfId="210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:K14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allDrilled="1" outline="0" showAll="0" dataSourceSort="1" defaultSubtotal="0" defaultAttributeDrillState="1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6">
    <i>
      <x/>
      <x v="4"/>
    </i>
    <i>
      <x v="1"/>
      <x v="3"/>
    </i>
    <i>
      <x v="2"/>
      <x v="1"/>
    </i>
    <i>
      <x v="3"/>
      <x/>
    </i>
    <i>
      <x v="4"/>
      <x v="2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8" hier="226" name="[Unit].[Unit].&amp;[4302]" cap="4302"/>
  </pageFields>
  <dataFields count="1">
    <dataField fld="6" baseField="0" baseItem="0" numFmtId="43"/>
  </dataFields>
  <formats count="11">
    <format dxfId="231">
      <pivotArea field="0" type="button" dataOnly="0" labelOnly="1" outline="0" axis="axisPage" fieldPosition="0"/>
    </format>
    <format dxfId="230">
      <pivotArea dataOnly="0" labelOnly="1" outline="0" fieldPosition="0">
        <references count="1">
          <reference field="0" count="0"/>
        </references>
      </pivotArea>
    </format>
    <format dxfId="229">
      <pivotArea field="1" type="button" dataOnly="0" labelOnly="1" outline="0" axis="axisPage" fieldPosition="1"/>
    </format>
    <format dxfId="228">
      <pivotArea dataOnly="0" labelOnly="1" outline="0" fieldPosition="0">
        <references count="1">
          <reference field="1" count="0"/>
        </references>
      </pivotArea>
    </format>
    <format dxfId="227">
      <pivotArea field="2" type="button" dataOnly="0" labelOnly="1" outline="0" axis="axisPage" fieldPosition="2"/>
    </format>
    <format dxfId="226">
      <pivotArea dataOnly="0" labelOnly="1" outline="0" fieldPosition="0">
        <references count="1">
          <reference field="2" count="0"/>
        </references>
      </pivotArea>
    </format>
    <format dxfId="225">
      <pivotArea outline="0" collapsedLevelsAreSubtotals="1" fieldPosition="0"/>
    </format>
    <format dxfId="224">
      <pivotArea field="3" type="button" dataOnly="0" labelOnly="1" outline="0" axis="axisCol" fieldPosition="0"/>
    </format>
    <format dxfId="223">
      <pivotArea type="topRight" dataOnly="0" labelOnly="1" outline="0" fieldPosition="0"/>
    </format>
    <format dxfId="222">
      <pivotArea dataOnly="0" labelOnly="1" fieldPosition="0">
        <references count="1">
          <reference field="3" count="0"/>
        </references>
      </pivotArea>
    </format>
    <format dxfId="221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PivotTable5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U73:W74" firstHeaderRow="1" firstDataRow="2" firstDataCol="2" rowPageCount="5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2">
        <item x="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colFields count="1">
    <field x="7"/>
  </colFields>
  <pageFields count="5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7" name="[Accounting Period].[Fisc Yr].&amp;[2023]" cap="2023"/>
    <pageField fld="9" hier="226" name="[Unit].[Unit].&amp;[4302]" cap="4302"/>
  </pageFields>
  <dataFields count="1">
    <dataField fld="3" baseField="0" baseItem="0" numFmtId="43"/>
  </dataFields>
  <formats count="9">
    <format dxfId="240">
      <pivotArea field="0" type="button" dataOnly="0" labelOnly="1" outline="0" axis="axisPage" fieldPosition="0"/>
    </format>
    <format dxfId="239">
      <pivotArea dataOnly="0" labelOnly="1" outline="0" fieldPosition="0">
        <references count="1">
          <reference field="0" count="0"/>
        </references>
      </pivotArea>
    </format>
    <format dxfId="238">
      <pivotArea field="1" type="button" dataOnly="0" labelOnly="1" outline="0" axis="axisPage" fieldPosition="1"/>
    </format>
    <format dxfId="237">
      <pivotArea dataOnly="0" labelOnly="1" outline="0" fieldPosition="0">
        <references count="1">
          <reference field="1" count="0"/>
        </references>
      </pivotArea>
    </format>
    <format dxfId="236">
      <pivotArea field="2" type="button" dataOnly="0" labelOnly="1" outline="0" axis="axisPage" fieldPosition="2"/>
    </format>
    <format dxfId="235">
      <pivotArea dataOnly="0" labelOnly="1" outline="0" fieldPosition="0">
        <references count="1">
          <reference field="2" count="0"/>
        </references>
      </pivotArea>
    </format>
    <format dxfId="234">
      <pivotArea outline="0" collapsedLevelsAreSubtotals="1" fieldPosition="0"/>
    </format>
    <format dxfId="233">
      <pivotArea type="topRight" dataOnly="0" labelOnly="1" outline="0" fieldPosition="0"/>
    </format>
    <format dxfId="232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4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5:C76" firstHeaderRow="1" firstDataRow="2" firstDataCol="2" rowPageCount="6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1">
        <item x="0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colFields count="1">
    <field x="8"/>
  </colFields>
  <pageFields count="6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3" hier="7" name="[Accounting Period].[Fisc Yr].&amp;[2023]" cap="2023"/>
    <pageField fld="9" hier="226" name="[Unit].[Unit].&amp;[4302]" cap="4302"/>
  </pageFields>
  <dataFields count="1">
    <dataField fld="6" baseField="0" baseItem="0" numFmtId="43"/>
  </dataFields>
  <formats count="11">
    <format dxfId="251">
      <pivotArea field="0" type="button" dataOnly="0" labelOnly="1" outline="0" axis="axisPage" fieldPosition="0"/>
    </format>
    <format dxfId="250">
      <pivotArea dataOnly="0" labelOnly="1" outline="0" fieldPosition="0">
        <references count="1">
          <reference field="0" count="0"/>
        </references>
      </pivotArea>
    </format>
    <format dxfId="249">
      <pivotArea field="1" type="button" dataOnly="0" labelOnly="1" outline="0" axis="axisPage" fieldPosition="1"/>
    </format>
    <format dxfId="248">
      <pivotArea dataOnly="0" labelOnly="1" outline="0" fieldPosition="0">
        <references count="1">
          <reference field="1" count="0"/>
        </references>
      </pivotArea>
    </format>
    <format dxfId="247">
      <pivotArea field="2" type="button" dataOnly="0" labelOnly="1" outline="0" axis="axisPage" fieldPosition="2"/>
    </format>
    <format dxfId="246">
      <pivotArea dataOnly="0" labelOnly="1" outline="0" fieldPosition="0">
        <references count="1">
          <reference field="2" count="0"/>
        </references>
      </pivotArea>
    </format>
    <format dxfId="245">
      <pivotArea outline="0" collapsedLevelsAreSubtotals="1" fieldPosition="0"/>
    </format>
    <format dxfId="244">
      <pivotArea field="3" type="button" dataOnly="0" labelOnly="1" outline="0" axis="axisPage" fieldPosition="4"/>
    </format>
    <format dxfId="243">
      <pivotArea type="topRight" dataOnly="0" labelOnly="1" outline="0" fieldPosition="0"/>
    </format>
    <format dxfId="242">
      <pivotArea dataOnly="0" labelOnly="1" fieldPosition="0">
        <references count="1">
          <reference field="3" count="0"/>
        </references>
      </pivotArea>
    </format>
    <format dxfId="241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:S17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outline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9">
    <i>
      <x/>
      <x v="4"/>
    </i>
    <i>
      <x v="1"/>
      <x v="6"/>
    </i>
    <i>
      <x v="2"/>
      <x v="7"/>
    </i>
    <i>
      <x v="3"/>
      <x v="3"/>
    </i>
    <i>
      <x v="4"/>
      <x v="1"/>
    </i>
    <i>
      <x v="5"/>
      <x/>
    </i>
    <i>
      <x v="6"/>
      <x v="5"/>
    </i>
    <i>
      <x v="7"/>
      <x v="2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8" hier="226" name="[Unit].[Unit].&amp;[4343]" cap="4343"/>
  </pageFields>
  <dataFields count="1">
    <dataField fld="6" baseField="0" baseItem="0" numFmtId="43"/>
  </dataFields>
  <formats count="11">
    <format dxfId="178">
      <pivotArea field="0" type="button" dataOnly="0" labelOnly="1" outline="0" axis="axisPage" fieldPosition="0"/>
    </format>
    <format dxfId="177">
      <pivotArea dataOnly="0" labelOnly="1" outline="0" fieldPosition="0">
        <references count="1">
          <reference field="0" count="0"/>
        </references>
      </pivotArea>
    </format>
    <format dxfId="176">
      <pivotArea field="1" type="button" dataOnly="0" labelOnly="1" outline="0" axis="axisPage" fieldPosition="1"/>
    </format>
    <format dxfId="175">
      <pivotArea dataOnly="0" labelOnly="1" outline="0" fieldPosition="0">
        <references count="1">
          <reference field="1" count="0"/>
        </references>
      </pivotArea>
    </format>
    <format dxfId="174">
      <pivotArea field="2" type="button" dataOnly="0" labelOnly="1" outline="0" axis="axisPage" fieldPosition="2"/>
    </format>
    <format dxfId="173">
      <pivotArea dataOnly="0" labelOnly="1" outline="0" fieldPosition="0">
        <references count="1">
          <reference field="2" count="0"/>
        </references>
      </pivotArea>
    </format>
    <format dxfId="172">
      <pivotArea outline="0" collapsedLevelsAreSubtotals="1" fieldPosition="0"/>
    </format>
    <format dxfId="171">
      <pivotArea field="3" type="button" dataOnly="0" labelOnly="1" outline="0" axis="axisCol" fieldPosition="0"/>
    </format>
    <format dxfId="170">
      <pivotArea type="topRight" dataOnly="0" labelOnly="1" outline="0" fieldPosition="0"/>
    </format>
    <format dxfId="169">
      <pivotArea dataOnly="0" labelOnly="1" fieldPosition="0">
        <references count="1">
          <reference field="3" count="0"/>
        </references>
      </pivotArea>
    </format>
    <format dxfId="168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PivotTable2" cacheId="13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4" indent="0" outline="1" outlineData="1" multipleFieldFilters="0" fieldListSortAscending="1">
  <location ref="W6:AO27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dataField="1" showAll="0"/>
    <pivotField axis="axisRow" allDrilled="1" outline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2">
    <field x="5"/>
    <field x="6"/>
  </rowFields>
  <rowItems count="20">
    <i>
      <x/>
      <x v="10"/>
    </i>
    <i>
      <x v="1"/>
      <x v="10"/>
    </i>
    <i>
      <x v="2"/>
      <x v="10"/>
    </i>
    <i>
      <x v="3"/>
      <x v="3"/>
    </i>
    <i>
      <x v="4"/>
      <x v="7"/>
    </i>
    <i>
      <x v="5"/>
      <x v="14"/>
    </i>
    <i>
      <x v="6"/>
      <x v="15"/>
    </i>
    <i>
      <x v="7"/>
      <x v="11"/>
    </i>
    <i>
      <x v="8"/>
      <x v="16"/>
    </i>
    <i>
      <x v="9"/>
      <x v="8"/>
    </i>
    <i>
      <x v="10"/>
      <x v="9"/>
    </i>
    <i>
      <x v="11"/>
      <x v="5"/>
    </i>
    <i>
      <x v="12"/>
      <x v="4"/>
    </i>
    <i>
      <x v="13"/>
      <x v="1"/>
    </i>
    <i>
      <x v="14"/>
      <x/>
    </i>
    <i>
      <x v="15"/>
      <x v="12"/>
    </i>
    <i>
      <x v="16"/>
      <x v="2"/>
    </i>
    <i>
      <x v="17"/>
      <x v="6"/>
    </i>
    <i>
      <x v="18"/>
      <x v="13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226" name="[Unit].[Unit].&amp;[4343]" cap="4343"/>
  </pageFields>
  <dataFields count="1">
    <dataField fld="4" baseField="0" baseItem="0" numFmtId="43"/>
  </dataFields>
  <formats count="11">
    <format dxfId="189">
      <pivotArea field="0" type="button" dataOnly="0" labelOnly="1" outline="0" axis="axisPage" fieldPosition="0"/>
    </format>
    <format dxfId="188">
      <pivotArea dataOnly="0" labelOnly="1" outline="0" fieldPosition="0">
        <references count="1">
          <reference field="0" count="0"/>
        </references>
      </pivotArea>
    </format>
    <format dxfId="187">
      <pivotArea field="1" type="button" dataOnly="0" labelOnly="1" outline="0" axis="axisPage" fieldPosition="1"/>
    </format>
    <format dxfId="186">
      <pivotArea dataOnly="0" labelOnly="1" outline="0" fieldPosition="0">
        <references count="1">
          <reference field="1" count="0"/>
        </references>
      </pivotArea>
    </format>
    <format dxfId="185">
      <pivotArea field="2" type="button" dataOnly="0" labelOnly="1" outline="0" axis="axisPage" fieldPosition="2"/>
    </format>
    <format dxfId="184">
      <pivotArea dataOnly="0" labelOnly="1" outline="0" fieldPosition="0">
        <references count="1">
          <reference field="2" count="0"/>
        </references>
      </pivotArea>
    </format>
    <format dxfId="183">
      <pivotArea outline="0" collapsedLevelsAreSubtotals="1" fieldPosition="0"/>
    </format>
    <format dxfId="182">
      <pivotArea field="3" type="button" dataOnly="0" labelOnly="1" outline="0" axis="axisCol" fieldPosition="0"/>
    </format>
    <format dxfId="181">
      <pivotArea type="topRight" dataOnly="0" labelOnly="1" outline="0" fieldPosition="0"/>
    </format>
    <format dxfId="180">
      <pivotArea dataOnly="0" labelOnly="1" fieldPosition="0">
        <references count="1">
          <reference field="3" count="0"/>
        </references>
      </pivotArea>
    </format>
    <format dxfId="179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PivotTable4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5:N78" firstHeaderRow="1" firstDataRow="2" firstDataCol="2" rowPageCount="6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2">
        <item x="0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2">
    <i>
      <x/>
      <x/>
    </i>
    <i t="grand">
      <x/>
    </i>
  </rowItems>
  <colFields count="1">
    <field x="8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3" hier="7" name="[Accounting Period].[Fisc Yr].&amp;[2023]" cap="2023"/>
    <pageField fld="9" hier="226" name="[Unit].[Unit].&amp;[4343]" cap="4343"/>
  </pageFields>
  <dataFields count="1">
    <dataField fld="6" baseField="0" baseItem="0" numFmtId="43"/>
  </dataFields>
  <formats count="11">
    <format dxfId="200">
      <pivotArea field="0" type="button" dataOnly="0" labelOnly="1" outline="0" axis="axisPage" fieldPosition="0"/>
    </format>
    <format dxfId="199">
      <pivotArea dataOnly="0" labelOnly="1" outline="0" fieldPosition="0">
        <references count="1">
          <reference field="0" count="0"/>
        </references>
      </pivotArea>
    </format>
    <format dxfId="198">
      <pivotArea field="1" type="button" dataOnly="0" labelOnly="1" outline="0" axis="axisPage" fieldPosition="1"/>
    </format>
    <format dxfId="197">
      <pivotArea dataOnly="0" labelOnly="1" outline="0" fieldPosition="0">
        <references count="1">
          <reference field="1" count="0"/>
        </references>
      </pivotArea>
    </format>
    <format dxfId="196">
      <pivotArea field="2" type="button" dataOnly="0" labelOnly="1" outline="0" axis="axisPage" fieldPosition="2"/>
    </format>
    <format dxfId="195">
      <pivotArea dataOnly="0" labelOnly="1" outline="0" fieldPosition="0">
        <references count="1">
          <reference field="2" count="0"/>
        </references>
      </pivotArea>
    </format>
    <format dxfId="194">
      <pivotArea outline="0" collapsedLevelsAreSubtotals="1" fieldPosition="0"/>
    </format>
    <format dxfId="193">
      <pivotArea field="3" type="button" dataOnly="0" labelOnly="1" outline="0" axis="axisPage" fieldPosition="4"/>
    </format>
    <format dxfId="192">
      <pivotArea type="topRight" dataOnly="0" labelOnly="1" outline="0" fieldPosition="0"/>
    </format>
    <format dxfId="191">
      <pivotArea dataOnly="0" labelOnly="1" fieldPosition="0">
        <references count="1">
          <reference field="3" count="0"/>
        </references>
      </pivotArea>
    </format>
    <format dxfId="190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A6:AS37" firstHeaderRow="1" firstDataRow="2" firstDataCol="2" rowPageCount="3" colPageCount="1"/>
  <pivotFields count="8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dataField="1" showAll="0"/>
    <pivotField axis="axisRow" allDrilled="1" outline="0" showAll="0" dataSourceSort="1" defaultSubtotal="0" defaultAttributeDrillState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llDrilled="1" showAll="0" dataSourceSort="1" defaultAttributeDrillState="1"/>
  </pivotFields>
  <rowFields count="2">
    <field x="5"/>
    <field x="6"/>
  </rowFields>
  <rowItems count="30">
    <i>
      <x/>
      <x v="17"/>
    </i>
    <i>
      <x v="1"/>
      <x v="17"/>
    </i>
    <i>
      <x v="2"/>
      <x v="17"/>
    </i>
    <i>
      <x v="3"/>
      <x v="17"/>
    </i>
    <i>
      <x v="4"/>
      <x v="17"/>
    </i>
    <i>
      <x v="5"/>
      <x v="17"/>
    </i>
    <i>
      <x v="6"/>
      <x v="6"/>
    </i>
    <i>
      <x v="7"/>
      <x v="14"/>
    </i>
    <i>
      <x v="8"/>
      <x v="13"/>
    </i>
    <i>
      <x v="9"/>
      <x v="21"/>
    </i>
    <i>
      <x v="10"/>
      <x v="22"/>
    </i>
    <i>
      <x v="11"/>
      <x v="18"/>
    </i>
    <i>
      <x v="12"/>
      <x v="23"/>
    </i>
    <i>
      <x v="13"/>
      <x v="15"/>
    </i>
    <i>
      <x v="14"/>
      <x v="16"/>
    </i>
    <i>
      <x v="15"/>
      <x v="10"/>
    </i>
    <i>
      <x v="16"/>
      <x v="7"/>
    </i>
    <i>
      <x v="17"/>
      <x v="4"/>
    </i>
    <i>
      <x v="18"/>
      <x v="3"/>
    </i>
    <i>
      <x v="19"/>
      <x v="19"/>
    </i>
    <i>
      <x v="20"/>
      <x v="2"/>
    </i>
    <i>
      <x v="21"/>
      <x v="5"/>
    </i>
    <i>
      <x v="22"/>
      <x v="11"/>
    </i>
    <i>
      <x v="23"/>
      <x v="8"/>
    </i>
    <i>
      <x v="24"/>
      <x v="9"/>
    </i>
    <i>
      <x v="25"/>
      <x v="12"/>
    </i>
    <i>
      <x v="26"/>
      <x/>
    </i>
    <i>
      <x v="27"/>
      <x v="20"/>
    </i>
    <i>
      <x v="28"/>
      <x v="1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3">
    <pageField fld="0" hier="148" name="[Posting Code].[Financial Category].&amp;[EXPENSE]" cap="EXPENSE"/>
    <pageField fld="1" hier="10" name="[Approp].[Approp].&amp;[028701]" cap="028701"/>
    <pageField fld="2" hier="86" name="[Fund].[Fund].&amp;[014]" cap="014"/>
  </pageFields>
  <dataFields count="1">
    <dataField fld="4" baseField="0" baseItem="0" numFmtId="43"/>
  </dataFields>
  <formats count="11">
    <format dxfId="321">
      <pivotArea field="0" type="button" dataOnly="0" labelOnly="1" outline="0" axis="axisPage" fieldPosition="0"/>
    </format>
    <format dxfId="320">
      <pivotArea dataOnly="0" labelOnly="1" outline="0" fieldPosition="0">
        <references count="1">
          <reference field="0" count="0"/>
        </references>
      </pivotArea>
    </format>
    <format dxfId="319">
      <pivotArea field="1" type="button" dataOnly="0" labelOnly="1" outline="0" axis="axisPage" fieldPosition="1"/>
    </format>
    <format dxfId="318">
      <pivotArea dataOnly="0" labelOnly="1" outline="0" fieldPosition="0">
        <references count="1">
          <reference field="1" count="0"/>
        </references>
      </pivotArea>
    </format>
    <format dxfId="317">
      <pivotArea field="2" type="button" dataOnly="0" labelOnly="1" outline="0" axis="axisPage" fieldPosition="2"/>
    </format>
    <format dxfId="316">
      <pivotArea dataOnly="0" labelOnly="1" outline="0" fieldPosition="0">
        <references count="1">
          <reference field="2" count="0"/>
        </references>
      </pivotArea>
    </format>
    <format dxfId="315">
      <pivotArea outline="0" collapsedLevelsAreSubtotals="1" fieldPosition="0"/>
    </format>
    <format dxfId="314">
      <pivotArea field="3" type="button" dataOnly="0" labelOnly="1" outline="0" axis="axisCol" fieldPosition="0"/>
    </format>
    <format dxfId="313">
      <pivotArea type="topRight" dataOnly="0" labelOnly="1" outline="0" fieldPosition="0"/>
    </format>
    <format dxfId="312">
      <pivotArea dataOnly="0" labelOnly="1" fieldPosition="0">
        <references count="1">
          <reference field="3" count="0"/>
        </references>
      </pivotArea>
    </format>
    <format dxfId="311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PivotTable5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W73:AJ81" firstHeaderRow="1" firstDataRow="2" firstDataCol="2" rowPageCount="5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7">
    <i>
      <x/>
      <x v="2"/>
    </i>
    <i>
      <x v="1"/>
      <x v="2"/>
    </i>
    <i>
      <x v="2"/>
      <x v="2"/>
    </i>
    <i>
      <x v="3"/>
      <x/>
    </i>
    <i>
      <x v="4"/>
      <x v="1"/>
    </i>
    <i>
      <x v="5"/>
      <x v="3"/>
    </i>
    <i t="grand">
      <x/>
    </i>
  </rowItems>
  <colFields count="1">
    <field x="7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5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7" name="[Accounting Period].[Fisc Yr].&amp;[2023]" cap="2023"/>
    <pageField fld="9" hier="226" name="[Unit].[Unit].&amp;[4343]" cap="4343"/>
  </pageFields>
  <dataFields count="1">
    <dataField fld="3" baseField="0" baseItem="0" numFmtId="43"/>
  </dataFields>
  <formats count="9">
    <format dxfId="209">
      <pivotArea field="0" type="button" dataOnly="0" labelOnly="1" outline="0" axis="axisPage" fieldPosition="0"/>
    </format>
    <format dxfId="208">
      <pivotArea dataOnly="0" labelOnly="1" outline="0" fieldPosition="0">
        <references count="1">
          <reference field="0" count="0"/>
        </references>
      </pivotArea>
    </format>
    <format dxfId="207">
      <pivotArea field="1" type="button" dataOnly="0" labelOnly="1" outline="0" axis="axisPage" fieldPosition="1"/>
    </format>
    <format dxfId="206">
      <pivotArea dataOnly="0" labelOnly="1" outline="0" fieldPosition="0">
        <references count="1">
          <reference field="1" count="0"/>
        </references>
      </pivotArea>
    </format>
    <format dxfId="205">
      <pivotArea field="2" type="button" dataOnly="0" labelOnly="1" outline="0" axis="axisPage" fieldPosition="2"/>
    </format>
    <format dxfId="204">
      <pivotArea dataOnly="0" labelOnly="1" outline="0" fieldPosition="0">
        <references count="1">
          <reference field="2" count="0"/>
        </references>
      </pivotArea>
    </format>
    <format dxfId="203">
      <pivotArea outline="0" collapsedLevelsAreSubtotals="1" fieldPosition="0"/>
    </format>
    <format dxfId="202">
      <pivotArea type="topRight" dataOnly="0" labelOnly="1" outline="0" fieldPosition="0"/>
    </format>
    <format dxfId="201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3000000}" name="PivotTable5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Y73:AL80" firstHeaderRow="1" firstDataRow="2" firstDataCol="2" rowPageCount="5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6">
    <i>
      <x/>
      <x v="2"/>
    </i>
    <i>
      <x v="1"/>
      <x v="2"/>
    </i>
    <i>
      <x v="2"/>
      <x/>
    </i>
    <i>
      <x v="3"/>
      <x v="1"/>
    </i>
    <i>
      <x v="4"/>
      <x v="3"/>
    </i>
    <i t="grand">
      <x/>
    </i>
  </rowItems>
  <colFields count="1">
    <field x="7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5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7" name="[Accounting Period].[Fisc Yr].&amp;[2023]" cap="2023"/>
    <pageField fld="9" hier="226" name="[Unit].[Unit].&amp;[4373]" cap="4373"/>
  </pageFields>
  <dataFields count="1">
    <dataField fld="3" baseField="0" baseItem="0" numFmtId="43"/>
  </dataFields>
  <formats count="9">
    <format dxfId="134">
      <pivotArea field="0" type="button" dataOnly="0" labelOnly="1" outline="0" axis="axisPage" fieldPosition="0"/>
    </format>
    <format dxfId="133">
      <pivotArea dataOnly="0" labelOnly="1" outline="0" fieldPosition="0">
        <references count="1">
          <reference field="0" count="0"/>
        </references>
      </pivotArea>
    </format>
    <format dxfId="132">
      <pivotArea field="1" type="button" dataOnly="0" labelOnly="1" outline="0" axis="axisPage" fieldPosition="1"/>
    </format>
    <format dxfId="131">
      <pivotArea dataOnly="0" labelOnly="1" outline="0" fieldPosition="0">
        <references count="1">
          <reference field="1" count="0"/>
        </references>
      </pivotArea>
    </format>
    <format dxfId="130">
      <pivotArea field="2" type="button" dataOnly="0" labelOnly="1" outline="0" axis="axisPage" fieldPosition="2"/>
    </format>
    <format dxfId="129">
      <pivotArea dataOnly="0" labelOnly="1" outline="0" fieldPosition="0">
        <references count="1">
          <reference field="2" count="0"/>
        </references>
      </pivotArea>
    </format>
    <format dxfId="128">
      <pivotArea outline="0" collapsedLevelsAreSubtotals="1" fieldPosition="0"/>
    </format>
    <format dxfId="127">
      <pivotArea type="topRight" dataOnly="0" labelOnly="1" outline="0" fieldPosition="0"/>
    </format>
    <format dxfId="126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PivotTable4" cacheId="26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4" indent="0" outline="1" outlineData="1" multipleFieldFilters="0" fieldListSortAscending="1">
  <location ref="A75:N79" firstHeaderRow="1" firstDataRow="2" firstDataCol="2" rowPageCount="6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3">
    <i>
      <x/>
      <x v="1"/>
    </i>
    <i>
      <x v="1"/>
      <x/>
    </i>
    <i t="grand">
      <x/>
    </i>
  </rowItems>
  <colFields count="1">
    <field x="8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3" hier="7" name="[Accounting Period].[Fisc Yr].&amp;[2023]" cap="2023"/>
    <pageField fld="9" hier="226" name="[Unit].[Unit].&amp;[4373]" cap="4373"/>
  </pageFields>
  <dataFields count="1">
    <dataField fld="6" baseField="0" baseItem="0" numFmtId="43"/>
  </dataFields>
  <formats count="11">
    <format dxfId="145">
      <pivotArea field="0" type="button" dataOnly="0" labelOnly="1" outline="0" axis="axisPage" fieldPosition="0"/>
    </format>
    <format dxfId="144">
      <pivotArea dataOnly="0" labelOnly="1" outline="0" fieldPosition="0">
        <references count="1">
          <reference field="0" count="0"/>
        </references>
      </pivotArea>
    </format>
    <format dxfId="143">
      <pivotArea field="1" type="button" dataOnly="0" labelOnly="1" outline="0" axis="axisPage" fieldPosition="1"/>
    </format>
    <format dxfId="142">
      <pivotArea dataOnly="0" labelOnly="1" outline="0" fieldPosition="0">
        <references count="1">
          <reference field="1" count="0"/>
        </references>
      </pivotArea>
    </format>
    <format dxfId="141">
      <pivotArea field="2" type="button" dataOnly="0" labelOnly="1" outline="0" axis="axisPage" fieldPosition="2"/>
    </format>
    <format dxfId="140">
      <pivotArea dataOnly="0" labelOnly="1" outline="0" fieldPosition="0">
        <references count="1">
          <reference field="2" count="0"/>
        </references>
      </pivotArea>
    </format>
    <format dxfId="139">
      <pivotArea outline="0" collapsedLevelsAreSubtotals="1" fieldPosition="0"/>
    </format>
    <format dxfId="138">
      <pivotArea field="3" type="button" dataOnly="0" labelOnly="1" outline="0" axis="axisPage" fieldPosition="4"/>
    </format>
    <format dxfId="137">
      <pivotArea type="topRight" dataOnly="0" labelOnly="1" outline="0" fieldPosition="0"/>
    </format>
    <format dxfId="136">
      <pivotArea dataOnly="0" labelOnly="1" fieldPosition="0">
        <references count="1">
          <reference field="3" count="0"/>
        </references>
      </pivotArea>
    </format>
    <format dxfId="135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PivotTable2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Y6:AQ20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dataField="1" showAll="0"/>
    <pivotField axis="axisRow" allDrilled="1" outline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2">
    <field x="5"/>
    <field x="6"/>
  </rowFields>
  <rowItems count="13">
    <i>
      <x/>
      <x v="5"/>
    </i>
    <i>
      <x v="1"/>
      <x v="5"/>
    </i>
    <i>
      <x v="2"/>
      <x v="5"/>
    </i>
    <i>
      <x v="3"/>
      <x v="5"/>
    </i>
    <i>
      <x v="4"/>
      <x v="1"/>
    </i>
    <i>
      <x v="5"/>
      <x v="8"/>
    </i>
    <i>
      <x v="6"/>
      <x v="4"/>
    </i>
    <i>
      <x v="7"/>
      <x v="2"/>
    </i>
    <i>
      <x v="8"/>
      <x v="6"/>
    </i>
    <i>
      <x v="9"/>
      <x v="3"/>
    </i>
    <i>
      <x v="10"/>
      <x/>
    </i>
    <i>
      <x v="11"/>
      <x v="7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226" name="[Unit].[Unit].&amp;[4373]" cap="4373"/>
  </pageFields>
  <dataFields count="1">
    <dataField fld="4" baseField="0" baseItem="0" numFmtId="43"/>
  </dataFields>
  <formats count="11">
    <format dxfId="156">
      <pivotArea field="0" type="button" dataOnly="0" labelOnly="1" outline="0" axis="axisPage" fieldPosition="0"/>
    </format>
    <format dxfId="155">
      <pivotArea dataOnly="0" labelOnly="1" outline="0" fieldPosition="0">
        <references count="1">
          <reference field="0" count="0"/>
        </references>
      </pivotArea>
    </format>
    <format dxfId="154">
      <pivotArea field="1" type="button" dataOnly="0" labelOnly="1" outline="0" axis="axisPage" fieldPosition="1"/>
    </format>
    <format dxfId="153">
      <pivotArea dataOnly="0" labelOnly="1" outline="0" fieldPosition="0">
        <references count="1">
          <reference field="1" count="0"/>
        </references>
      </pivotArea>
    </format>
    <format dxfId="152">
      <pivotArea field="2" type="button" dataOnly="0" labelOnly="1" outline="0" axis="axisPage" fieldPosition="2"/>
    </format>
    <format dxfId="151">
      <pivotArea dataOnly="0" labelOnly="1" outline="0" fieldPosition="0">
        <references count="1">
          <reference field="2" count="0"/>
        </references>
      </pivotArea>
    </format>
    <format dxfId="150">
      <pivotArea outline="0" collapsedLevelsAreSubtotals="1" fieldPosition="0"/>
    </format>
    <format dxfId="149">
      <pivotArea field="3" type="button" dataOnly="0" labelOnly="1" outline="0" axis="axisCol" fieldPosition="0"/>
    </format>
    <format dxfId="148">
      <pivotArea type="topRight" dataOnly="0" labelOnly="1" outline="0" fieldPosition="0"/>
    </format>
    <format dxfId="147">
      <pivotArea dataOnly="0" labelOnly="1" fieldPosition="0">
        <references count="1">
          <reference field="3" count="0"/>
        </references>
      </pivotArea>
    </format>
    <format dxfId="146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:S13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outline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5">
    <i>
      <x/>
      <x v="3"/>
    </i>
    <i>
      <x v="1"/>
      <x v="2"/>
    </i>
    <i>
      <x v="2"/>
      <x/>
    </i>
    <i>
      <x v="3"/>
      <x v="1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8" hier="226" name="[Unit].[Unit].&amp;[4373]" cap="4373"/>
  </pageFields>
  <dataFields count="1">
    <dataField fld="6" baseField="0" baseItem="0" numFmtId="43"/>
  </dataFields>
  <formats count="11">
    <format dxfId="167">
      <pivotArea field="0" type="button" dataOnly="0" labelOnly="1" outline="0" axis="axisPage" fieldPosition="0"/>
    </format>
    <format dxfId="166">
      <pivotArea dataOnly="0" labelOnly="1" outline="0" fieldPosition="0">
        <references count="1">
          <reference field="0" count="0"/>
        </references>
      </pivotArea>
    </format>
    <format dxfId="165">
      <pivotArea field="1" type="button" dataOnly="0" labelOnly="1" outline="0" axis="axisPage" fieldPosition="1"/>
    </format>
    <format dxfId="164">
      <pivotArea dataOnly="0" labelOnly="1" outline="0" fieldPosition="0">
        <references count="1">
          <reference field="1" count="0"/>
        </references>
      </pivotArea>
    </format>
    <format dxfId="163">
      <pivotArea field="2" type="button" dataOnly="0" labelOnly="1" outline="0" axis="axisPage" fieldPosition="2"/>
    </format>
    <format dxfId="162">
      <pivotArea dataOnly="0" labelOnly="1" outline="0" fieldPosition="0">
        <references count="1">
          <reference field="2" count="0"/>
        </references>
      </pivotArea>
    </format>
    <format dxfId="161">
      <pivotArea outline="0" collapsedLevelsAreSubtotals="1" fieldPosition="0"/>
    </format>
    <format dxfId="160">
      <pivotArea field="3" type="button" dataOnly="0" labelOnly="1" outline="0" axis="axisCol" fieldPosition="0"/>
    </format>
    <format dxfId="159">
      <pivotArea type="topRight" dataOnly="0" labelOnly="1" outline="0" fieldPosition="0"/>
    </format>
    <format dxfId="158">
      <pivotArea dataOnly="0" labelOnly="1" fieldPosition="0">
        <references count="1">
          <reference field="3" count="0"/>
        </references>
      </pivotArea>
    </format>
    <format dxfId="157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76DFC3-7FEE-4DFA-9952-4E8FF70284D7}" name="PivotTable4" cacheId="28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4" indent="0" outline="1" outlineData="1" multipleFieldFilters="0" fieldListSortAscending="1">
  <location ref="A75:D78" firstHeaderRow="1" firstDataRow="2" firstDataCol="2" rowPageCount="6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2">
        <item x="0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1">
        <item x="0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2">
    <i>
      <x/>
      <x/>
    </i>
    <i t="grand">
      <x/>
    </i>
  </rowItems>
  <colFields count="1">
    <field x="8"/>
  </colFields>
  <colItems count="2">
    <i>
      <x/>
    </i>
    <i t="grand">
      <x/>
    </i>
  </colItems>
  <pageFields count="6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3" hier="7" name="[Accounting Period].[Fisc Yr].&amp;[2023]" cap="2023"/>
    <pageField fld="9" hier="226" name="[Unit].[Unit].&amp;[4403]" cap="4403"/>
  </pageFields>
  <dataFields count="1">
    <dataField fld="6" baseField="0" baseItem="0" numFmtId="43"/>
  </dataFields>
  <formats count="11">
    <format dxfId="94">
      <pivotArea field="0" type="button" dataOnly="0" labelOnly="1" outline="0" axis="axisPage" fieldPosition="0"/>
    </format>
    <format dxfId="93">
      <pivotArea dataOnly="0" labelOnly="1" outline="0" fieldPosition="0">
        <references count="1">
          <reference field="0" count="0"/>
        </references>
      </pivotArea>
    </format>
    <format dxfId="92">
      <pivotArea field="1" type="button" dataOnly="0" labelOnly="1" outline="0" axis="axisPage" fieldPosition="1"/>
    </format>
    <format dxfId="91">
      <pivotArea dataOnly="0" labelOnly="1" outline="0" fieldPosition="0">
        <references count="1">
          <reference field="1" count="0"/>
        </references>
      </pivotArea>
    </format>
    <format dxfId="90">
      <pivotArea field="2" type="button" dataOnly="0" labelOnly="1" outline="0" axis="axisPage" fieldPosition="2"/>
    </format>
    <format dxfId="89">
      <pivotArea dataOnly="0" labelOnly="1" outline="0" fieldPosition="0">
        <references count="1">
          <reference field="2" count="0"/>
        </references>
      </pivotArea>
    </format>
    <format dxfId="88">
      <pivotArea outline="0" collapsedLevelsAreSubtotals="1" fieldPosition="0"/>
    </format>
    <format dxfId="87">
      <pivotArea field="3" type="button" dataOnly="0" labelOnly="1" outline="0" axis="axisPage" fieldPosition="4"/>
    </format>
    <format dxfId="86">
      <pivotArea type="topRight" dataOnly="0" labelOnly="1" outline="0" fieldPosition="0"/>
    </format>
    <format dxfId="85">
      <pivotArea dataOnly="0" labelOnly="1" fieldPosition="0">
        <references count="1">
          <reference field="3" count="0"/>
        </references>
      </pivotArea>
    </format>
    <format dxfId="84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14694C-821D-4210-A4BB-4579A6AAFA50}" name="PivotTable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Y73:AA74" firstHeaderRow="1" firstDataRow="2" firstDataCol="2" rowPageCount="5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5">
        <item x="0"/>
        <item x="1"/>
        <item x="2"/>
        <item x="3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colFields count="1">
    <field x="7"/>
  </colFields>
  <pageFields count="5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7" name="[Accounting Period].[Fisc Yr].&amp;[2023]" cap="2023"/>
    <pageField fld="9" hier="226" name="[Unit].[Unit].&amp;[4403]" cap="4403"/>
  </pageFields>
  <dataFields count="1">
    <dataField fld="3" baseField="0" baseItem="0" numFmtId="43"/>
  </dataFields>
  <formats count="9">
    <format dxfId="103">
      <pivotArea field="0" type="button" dataOnly="0" labelOnly="1" outline="0" axis="axisPage" fieldPosition="0"/>
    </format>
    <format dxfId="102">
      <pivotArea dataOnly="0" labelOnly="1" outline="0" fieldPosition="0">
        <references count="1">
          <reference field="0" count="0"/>
        </references>
      </pivotArea>
    </format>
    <format dxfId="101">
      <pivotArea field="1" type="button" dataOnly="0" labelOnly="1" outline="0" axis="axisPage" fieldPosition="1"/>
    </format>
    <format dxfId="100">
      <pivotArea dataOnly="0" labelOnly="1" outline="0" fieldPosition="0">
        <references count="1">
          <reference field="1" count="0"/>
        </references>
      </pivotArea>
    </format>
    <format dxfId="99">
      <pivotArea field="2" type="button" dataOnly="0" labelOnly="1" outline="0" axis="axisPage" fieldPosition="2"/>
    </format>
    <format dxfId="98">
      <pivotArea dataOnly="0" labelOnly="1" outline="0" fieldPosition="0">
        <references count="1">
          <reference field="2" count="0"/>
        </references>
      </pivotArea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39720-BA59-4BC0-9C74-F8AAC5AF0FFE}" name="PivotTable1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:I12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Row" allDrilled="1" outline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4">
    <i>
      <x/>
      <x v="2"/>
    </i>
    <i>
      <x v="1"/>
      <x/>
    </i>
    <i>
      <x v="2"/>
      <x v="1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8" hier="226" name="[Unit].[Unit].&amp;[4403]" cap="4403"/>
  </pageFields>
  <dataFields count="1">
    <dataField fld="6" baseField="0" baseItem="0" numFmtId="43"/>
  </dataFields>
  <formats count="11">
    <format dxfId="114">
      <pivotArea field="0" type="button" dataOnly="0" labelOnly="1" outline="0" axis="axisPage" fieldPosition="0"/>
    </format>
    <format dxfId="113">
      <pivotArea dataOnly="0" labelOnly="1" outline="0" fieldPosition="0">
        <references count="1">
          <reference field="0" count="0"/>
        </references>
      </pivotArea>
    </format>
    <format dxfId="112">
      <pivotArea field="1" type="button" dataOnly="0" labelOnly="1" outline="0" axis="axisPage" fieldPosition="1"/>
    </format>
    <format dxfId="111">
      <pivotArea dataOnly="0" labelOnly="1" outline="0" fieldPosition="0">
        <references count="1">
          <reference field="1" count="0"/>
        </references>
      </pivotArea>
    </format>
    <format dxfId="110">
      <pivotArea field="2" type="button" dataOnly="0" labelOnly="1" outline="0" axis="axisPage" fieldPosition="2"/>
    </format>
    <format dxfId="109">
      <pivotArea dataOnly="0" labelOnly="1" outline="0" fieldPosition="0">
        <references count="1">
          <reference field="2" count="0"/>
        </references>
      </pivotArea>
    </format>
    <format dxfId="108">
      <pivotArea outline="0" collapsedLevelsAreSubtotals="1" fieldPosition="0"/>
    </format>
    <format dxfId="107">
      <pivotArea field="3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fieldPosition="0">
        <references count="1">
          <reference field="3" count="0"/>
        </references>
      </pivotArea>
    </format>
    <format dxfId="104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78363D-6FF4-4B9E-A301-6191EE80B387}" name="PivotTable2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Y6:AB12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2">
        <item x="0"/>
        <item t="default"/>
      </items>
    </pivotField>
    <pivotField dataField="1" showAll="0"/>
    <pivotField axis="axisRow" allDrilled="1" outline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2">
    <field x="5"/>
    <field x="6"/>
  </rowFields>
  <rowItems count="5">
    <i>
      <x/>
      <x v="1"/>
    </i>
    <i>
      <x v="1"/>
      <x v="1"/>
    </i>
    <i>
      <x v="2"/>
      <x/>
    </i>
    <i>
      <x v="3"/>
      <x v="2"/>
    </i>
    <i t="grand">
      <x/>
    </i>
  </rowItems>
  <colFields count="1">
    <field x="3"/>
  </colFields>
  <colItems count="2">
    <i>
      <x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226" name="[Unit].[Unit].&amp;[4403]" cap="4403"/>
  </pageFields>
  <dataFields count="1">
    <dataField fld="4" baseField="0" baseItem="0" numFmtId="43"/>
  </dataFields>
  <formats count="11">
    <format dxfId="125">
      <pivotArea field="0" type="button" dataOnly="0" labelOnly="1" outline="0" axis="axisPage" fieldPosition="0"/>
    </format>
    <format dxfId="124">
      <pivotArea dataOnly="0" labelOnly="1" outline="0" fieldPosition="0">
        <references count="1">
          <reference field="0" count="0"/>
        </references>
      </pivotArea>
    </format>
    <format dxfId="123">
      <pivotArea field="1" type="button" dataOnly="0" labelOnly="1" outline="0" axis="axisPage" fieldPosition="1"/>
    </format>
    <format dxfId="122">
      <pivotArea dataOnly="0" labelOnly="1" outline="0" fieldPosition="0">
        <references count="1">
          <reference field="1" count="0"/>
        </references>
      </pivotArea>
    </format>
    <format dxfId="121">
      <pivotArea field="2" type="button" dataOnly="0" labelOnly="1" outline="0" axis="axisPage" fieldPosition="2"/>
    </format>
    <format dxfId="120">
      <pivotArea dataOnly="0" labelOnly="1" outline="0" fieldPosition="0">
        <references count="1">
          <reference field="2" count="0"/>
        </references>
      </pivotArea>
    </format>
    <format dxfId="119">
      <pivotArea outline="0" collapsedLevelsAreSubtotals="1" fieldPosition="0"/>
    </format>
    <format dxfId="118">
      <pivotArea field="3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fieldPosition="0">
        <references count="1">
          <reference field="3" count="0"/>
        </references>
      </pivotArea>
    </format>
    <format dxfId="115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3000000}" name="PivotTable5" cacheId="31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Q73:S74" firstHeaderRow="1" firstDataRow="2" firstDataCol="2" rowPageCount="5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2">
        <item x="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colFields count="1">
    <field x="7"/>
  </colFields>
  <pageFields count="5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9" hier="226" name="[Unit].[Unit].&amp;[MOSQ]" cap="MOSQ"/>
    <pageField fld="8" hier="7" name="[Accounting Period].[Fisc Yr].&amp;[2023]" cap="2023"/>
  </pageFields>
  <dataFields count="1">
    <dataField fld="3" baseField="0" baseItem="0" numFmtId="43"/>
  </dataFields>
  <formats count="9">
    <format dxfId="50">
      <pivotArea field="0" type="button" dataOnly="0" labelOnly="1" outline="0" axis="axisPage" fieldPosition="0"/>
    </format>
    <format dxfId="49">
      <pivotArea dataOnly="0" labelOnly="1" outline="0" fieldPosition="0">
        <references count="1">
          <reference field="0" count="0"/>
        </references>
      </pivotArea>
    </format>
    <format dxfId="48">
      <pivotArea field="1" type="button" dataOnly="0" labelOnly="1" outline="0" axis="axisPage" fieldPosition="1"/>
    </format>
    <format dxfId="47">
      <pivotArea dataOnly="0" labelOnly="1" outline="0" fieldPosition="0">
        <references count="1">
          <reference field="1" count="0"/>
        </references>
      </pivotArea>
    </format>
    <format dxfId="46">
      <pivotArea field="2" type="button" dataOnly="0" labelOnly="1" outline="0" axis="axisPage" fieldPosition="2"/>
    </format>
    <format dxfId="45">
      <pivotArea dataOnly="0" labelOnly="1" outline="0" fieldPosition="0">
        <references count="1">
          <reference field="2" count="0"/>
        </references>
      </pivotArea>
    </format>
    <format dxfId="44">
      <pivotArea outline="0" collapsedLevelsAreSubtotals="1" fieldPosition="0"/>
    </format>
    <format dxfId="43">
      <pivotArea type="topRight" dataOnly="0" labelOnly="1" outline="0" fieldPosition="0"/>
    </format>
    <format dxfId="42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6:S31" firstHeaderRow="1" firstDataRow="2" firstDataCol="2" rowPageCount="4" colPageCount="1"/>
  <pivotFields count="8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outline="0" showAll="0" dataSourceSort="1" defaultSubtotal="0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24">
    <i>
      <x/>
      <x v="12"/>
    </i>
    <i>
      <x v="1"/>
      <x v="20"/>
    </i>
    <i>
      <x v="2"/>
      <x v="15"/>
    </i>
    <i>
      <x v="3"/>
      <x v="6"/>
    </i>
    <i>
      <x v="4"/>
      <x v="5"/>
    </i>
    <i>
      <x v="5"/>
      <x v="16"/>
    </i>
    <i>
      <x v="6"/>
      <x v="8"/>
    </i>
    <i>
      <x v="7"/>
      <x v="17"/>
    </i>
    <i>
      <x v="8"/>
      <x v="18"/>
    </i>
    <i>
      <x v="9"/>
      <x v="19"/>
    </i>
    <i>
      <x v="10"/>
      <x v="10"/>
    </i>
    <i>
      <x v="11"/>
      <x v="9"/>
    </i>
    <i>
      <x v="12"/>
      <x v="3"/>
    </i>
    <i>
      <x v="13"/>
      <x v="11"/>
    </i>
    <i>
      <x v="14"/>
      <x v="21"/>
    </i>
    <i>
      <x v="15"/>
      <x v="2"/>
    </i>
    <i>
      <x v="16"/>
      <x/>
    </i>
    <i>
      <x v="17"/>
      <x v="1"/>
    </i>
    <i>
      <x v="18"/>
      <x v="13"/>
    </i>
    <i>
      <x v="19"/>
      <x v="14"/>
    </i>
    <i>
      <x v="20"/>
      <x v="4"/>
    </i>
    <i>
      <x v="21"/>
      <x v="22"/>
    </i>
    <i>
      <x v="22"/>
      <x v="7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4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</pageFields>
  <dataFields count="1">
    <dataField fld="6" baseField="0" baseItem="0" numFmtId="43"/>
  </dataFields>
  <formats count="11">
    <format dxfId="332">
      <pivotArea field="0" type="button" dataOnly="0" labelOnly="1" outline="0" axis="axisPage" fieldPosition="0"/>
    </format>
    <format dxfId="331">
      <pivotArea dataOnly="0" labelOnly="1" outline="0" fieldPosition="0">
        <references count="1">
          <reference field="0" count="0"/>
        </references>
      </pivotArea>
    </format>
    <format dxfId="330">
      <pivotArea field="1" type="button" dataOnly="0" labelOnly="1" outline="0" axis="axisPage" fieldPosition="1"/>
    </format>
    <format dxfId="329">
      <pivotArea dataOnly="0" labelOnly="1" outline="0" fieldPosition="0">
        <references count="1">
          <reference field="1" count="0"/>
        </references>
      </pivotArea>
    </format>
    <format dxfId="328">
      <pivotArea field="2" type="button" dataOnly="0" labelOnly="1" outline="0" axis="axisPage" fieldPosition="2"/>
    </format>
    <format dxfId="327">
      <pivotArea dataOnly="0" labelOnly="1" outline="0" fieldPosition="0">
        <references count="1">
          <reference field="2" count="0"/>
        </references>
      </pivotArea>
    </format>
    <format dxfId="326">
      <pivotArea outline="0" collapsedLevelsAreSubtotals="1" fieldPosition="0"/>
    </format>
    <format dxfId="325">
      <pivotArea field="3" type="button" dataOnly="0" labelOnly="1" outline="0" axis="axisCol" fieldPosition="0"/>
    </format>
    <format dxfId="324">
      <pivotArea type="topRight" dataOnly="0" labelOnly="1" outline="0" fieldPosition="0"/>
    </format>
    <format dxfId="323">
      <pivotArea dataOnly="0" labelOnly="1" fieldPosition="0">
        <references count="1">
          <reference field="3" count="0"/>
        </references>
      </pivotArea>
    </format>
    <format dxfId="322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:E11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outline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3">
    <i>
      <x/>
      <x v="1"/>
    </i>
    <i>
      <x v="1"/>
      <x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8" hier="226" name="[Unit].[Unit].&amp;[MOSQ]" cap="MOSQ"/>
    <pageField fld="7" hier="144" name="[Posting Code].[Bucket].&amp;[0]" cap=""/>
  </pageFields>
  <dataFields count="1">
    <dataField fld="6" baseField="0" baseItem="0" numFmtId="43"/>
  </dataFields>
  <formats count="11">
    <format dxfId="61">
      <pivotArea field="0" type="button" dataOnly="0" labelOnly="1" outline="0" axis="axisPage" fieldPosition="0"/>
    </format>
    <format dxfId="60">
      <pivotArea dataOnly="0" labelOnly="1" outline="0" fieldPosition="0">
        <references count="1">
          <reference field="0" count="0"/>
        </references>
      </pivotArea>
    </format>
    <format dxfId="59">
      <pivotArea field="1" type="button" dataOnly="0" labelOnly="1" outline="0" axis="axisPage" fieldPosition="1"/>
    </format>
    <format dxfId="58">
      <pivotArea dataOnly="0" labelOnly="1" outline="0" fieldPosition="0">
        <references count="1">
          <reference field="1" count="0"/>
        </references>
      </pivotArea>
    </format>
    <format dxfId="57">
      <pivotArea field="2" type="button" dataOnly="0" labelOnly="1" outline="0" axis="axisPage" fieldPosition="2"/>
    </format>
    <format dxfId="56">
      <pivotArea dataOnly="0" labelOnly="1" outline="0" fieldPosition="0">
        <references count="1">
          <reference field="2" count="0"/>
        </references>
      </pivotArea>
    </format>
    <format dxfId="55">
      <pivotArea outline="0" collapsedLevelsAreSubtotals="1" fieldPosition="0"/>
    </format>
    <format dxfId="54">
      <pivotArea field="3" type="button" dataOnly="0" labelOnly="1" outline="0" axis="axisCol" fieldPosition="0"/>
    </format>
    <format dxfId="53">
      <pivotArea type="topRight" dataOnly="0" labelOnly="1" outline="0" fieldPosition="0"/>
    </format>
    <format dxfId="52">
      <pivotArea dataOnly="0" labelOnly="1" fieldPosition="0">
        <references count="1">
          <reference field="3" count="0"/>
        </references>
      </pivotArea>
    </format>
    <format dxfId="51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1000000}" name="PivotTable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Q6:U11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dataField="1" showAll="0"/>
    <pivotField axis="axisRow" allDrilled="1" outline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2">
    <field x="5"/>
    <field x="6"/>
  </rowFields>
  <rowItems count="4">
    <i>
      <x/>
      <x v="1"/>
    </i>
    <i>
      <x v="1"/>
      <x/>
    </i>
    <i>
      <x v="2"/>
      <x v="2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226" name="[Unit].[Unit].&amp;[MOSQ]" cap="MOSQ"/>
  </pageFields>
  <dataFields count="1">
    <dataField fld="4" baseField="0" baseItem="0" numFmtId="43"/>
  </dataFields>
  <formats count="11">
    <format dxfId="72">
      <pivotArea field="0" type="button" dataOnly="0" labelOnly="1" outline="0" axis="axisPage" fieldPosition="0"/>
    </format>
    <format dxfId="71">
      <pivotArea dataOnly="0" labelOnly="1" outline="0" fieldPosition="0">
        <references count="1">
          <reference field="0" count="0"/>
        </references>
      </pivotArea>
    </format>
    <format dxfId="70">
      <pivotArea field="1" type="button" dataOnly="0" labelOnly="1" outline="0" axis="axisPage" fieldPosition="1"/>
    </format>
    <format dxfId="69">
      <pivotArea dataOnly="0" labelOnly="1" outline="0" fieldPosition="0">
        <references count="1">
          <reference field="1" count="0"/>
        </references>
      </pivotArea>
    </format>
    <format dxfId="68">
      <pivotArea field="2" type="button" dataOnly="0" labelOnly="1" outline="0" axis="axisPage" fieldPosition="2"/>
    </format>
    <format dxfId="67">
      <pivotArea dataOnly="0" labelOnly="1" outline="0" fieldPosition="0">
        <references count="1">
          <reference field="2" count="0"/>
        </references>
      </pivotArea>
    </format>
    <format dxfId="66">
      <pivotArea outline="0" collapsedLevelsAreSubtotals="1" fieldPosition="0"/>
    </format>
    <format dxfId="65">
      <pivotArea field="3" type="button" dataOnly="0" labelOnly="1" outline="0" axis="axisCol" fieldPosition="0"/>
    </format>
    <format dxfId="64">
      <pivotArea type="topRight" dataOnly="0" labelOnly="1" outline="0" fieldPosition="0"/>
    </format>
    <format dxfId="63">
      <pivotArea dataOnly="0" labelOnly="1" fieldPosition="0">
        <references count="1">
          <reference field="3" count="0"/>
        </references>
      </pivotArea>
    </format>
    <format dxfId="62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2000000}" name="PivotTable4" cacheId="30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4" indent="0" outline="1" outlineData="1" multipleFieldFilters="0" fieldListSortAscending="1">
  <location ref="A75:C76" firstHeaderRow="1" firstDataRow="2" firstDataCol="2" rowPageCount="6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1">
        <item x="0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colFields count="1">
    <field x="8"/>
  </colFields>
  <pageFields count="6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9" hier="226" name="[Unit].[Unit].&amp;[MOSQ]" cap="MOSQ"/>
    <pageField fld="3" hier="7" name="[Accounting Period].[Fisc Yr].&amp;[2023]" cap="2023"/>
  </pageFields>
  <dataFields count="1">
    <dataField fld="6" baseField="0" baseItem="0" numFmtId="43"/>
  </dataFields>
  <formats count="11">
    <format dxfId="83">
      <pivotArea field="0" type="button" dataOnly="0" labelOnly="1" outline="0" axis="axisPage" fieldPosition="0"/>
    </format>
    <format dxfId="82">
      <pivotArea dataOnly="0" labelOnly="1" outline="0" fieldPosition="0">
        <references count="1">
          <reference field="0" count="0"/>
        </references>
      </pivotArea>
    </format>
    <format dxfId="81">
      <pivotArea field="1" type="button" dataOnly="0" labelOnly="1" outline="0" axis="axisPage" fieldPosition="1"/>
    </format>
    <format dxfId="80">
      <pivotArea dataOnly="0" labelOnly="1" outline="0" fieldPosition="0">
        <references count="1">
          <reference field="1" count="0"/>
        </references>
      </pivotArea>
    </format>
    <format dxfId="79">
      <pivotArea field="2" type="button" dataOnly="0" labelOnly="1" outline="0" axis="axisPage" fieldPosition="2"/>
    </format>
    <format dxfId="78">
      <pivotArea dataOnly="0" labelOnly="1" outline="0" fieldPosition="0">
        <references count="1">
          <reference field="2" count="0"/>
        </references>
      </pivotArea>
    </format>
    <format dxfId="77">
      <pivotArea outline="0" collapsedLevelsAreSubtotals="1" fieldPosition="0"/>
    </format>
    <format dxfId="76">
      <pivotArea field="3" type="button" dataOnly="0" labelOnly="1" outline="0" axis="axisPage" fieldPosition="5"/>
    </format>
    <format dxfId="75">
      <pivotArea type="topRight" dataOnly="0" labelOnly="1" outline="0" fieldPosition="0"/>
    </format>
    <format dxfId="74">
      <pivotArea dataOnly="0" labelOnly="1" fieldPosition="0">
        <references count="1">
          <reference field="3" count="0"/>
        </references>
      </pivotArea>
    </format>
    <format dxfId="73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05AFE2-89BA-4947-9D46-6901622BE264}" name="PivotTable5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Q73:S74" firstHeaderRow="1" firstDataRow="2" firstDataCol="2" rowPageCount="5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4">
        <item x="0"/>
        <item x="1"/>
        <item x="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colFields count="1">
    <field x="7"/>
  </colFields>
  <pageFields count="5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9" hier="226" name="[Unit].[Unit].&amp;[0287]" cap="0287"/>
    <pageField fld="8" hier="7" name="[Accounting Period].[Fisc Yr].&amp;[2023]" cap="2023"/>
  </pageFields>
  <dataFields count="1">
    <dataField fld="3" baseField="0" baseItem="0" numFmtId="43"/>
  </dataFields>
  <formats count="9">
    <format dxfId="8">
      <pivotArea field="0" type="button" dataOnly="0" labelOnly="1" outline="0" axis="axisPage" fieldPosition="0"/>
    </format>
    <format dxfId="7">
      <pivotArea dataOnly="0" labelOnly="1" outline="0" fieldPosition="0">
        <references count="1">
          <reference field="0" count="0"/>
        </references>
      </pivotArea>
    </format>
    <format dxfId="6">
      <pivotArea field="1" type="button" dataOnly="0" labelOnly="1" outline="0" axis="axisPage" fieldPosition="1"/>
    </format>
    <format dxfId="5">
      <pivotArea dataOnly="0" labelOnly="1" outline="0" fieldPosition="0">
        <references count="1">
          <reference field="1" count="0"/>
        </references>
      </pivotArea>
    </format>
    <format dxfId="4">
      <pivotArea field="2" type="button" dataOnly="0" labelOnly="1" outline="0" axis="axisPage" fieldPosition="2"/>
    </format>
    <format dxfId="3">
      <pivotArea dataOnly="0" labelOnly="1" outline="0" fieldPosition="0">
        <references count="1">
          <reference field="2" count="0"/>
        </references>
      </pivotArea>
    </format>
    <format dxfId="2">
      <pivotArea outline="0" collapsedLevelsAreSubtotals="1" fieldPosition="0"/>
    </format>
    <format dxfId="1">
      <pivotArea type="topRight" dataOnly="0" labelOnly="1" outline="0" fieldPosition="0"/>
    </format>
    <format dxfId="0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66E443-7F42-4573-9D45-AA2D2876078F}" name="PivotTable4" cacheId="0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4" indent="0" outline="1" outlineData="1" multipleFieldFilters="0" fieldListSortAscending="1">
  <location ref="A75:C76" firstHeaderRow="1" firstDataRow="2" firstDataCol="2" rowPageCount="6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3">
        <item x="0"/>
        <item x="1"/>
        <item x="2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colFields count="1">
    <field x="8"/>
  </colFields>
  <pageFields count="6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9" hier="226" name="[Unit].[Unit].&amp;[0287]" cap="0287"/>
    <pageField fld="3" hier="7" name="[Accounting Period].[Fisc Yr].&amp;[2023]" cap="2023"/>
  </pageFields>
  <dataFields count="1">
    <dataField fld="6" baseField="0" baseItem="0" numFmtId="43"/>
  </dataFields>
  <formats count="11">
    <format dxfId="19">
      <pivotArea field="0" type="button" dataOnly="0" labelOnly="1" outline="0" axis="axisPage" fieldPosition="0"/>
    </format>
    <format dxfId="18">
      <pivotArea dataOnly="0" labelOnly="1" outline="0" fieldPosition="0">
        <references count="1">
          <reference field="0" count="0"/>
        </references>
      </pivotArea>
    </format>
    <format dxfId="17">
      <pivotArea field="1" type="button" dataOnly="0" labelOnly="1" outline="0" axis="axisPage" fieldPosition="1"/>
    </format>
    <format dxfId="16">
      <pivotArea dataOnly="0" labelOnly="1" outline="0" fieldPosition="0">
        <references count="1">
          <reference field="1" count="0"/>
        </references>
      </pivotArea>
    </format>
    <format dxfId="15">
      <pivotArea field="2" type="button" dataOnly="0" labelOnly="1" outline="0" axis="axisPage" fieldPosition="2"/>
    </format>
    <format dxfId="14">
      <pivotArea dataOnly="0" labelOnly="1" outline="0" fieldPosition="0">
        <references count="1">
          <reference field="2" count="0"/>
        </references>
      </pivotArea>
    </format>
    <format dxfId="13">
      <pivotArea outline="0" collapsedLevelsAreSubtotals="1" fieldPosition="0"/>
    </format>
    <format dxfId="12">
      <pivotArea field="3" type="button" dataOnly="0" labelOnly="1" outline="0" axis="axisPage" fieldPosition="5"/>
    </format>
    <format dxfId="11">
      <pivotArea type="topRight" dataOnly="0" labelOnly="1" outline="0" fieldPosition="0"/>
    </format>
    <format dxfId="10">
      <pivotArea dataOnly="0" labelOnly="1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684D37-EBFB-42C1-897C-504FB1C0ADBC}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Q6:AH17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  <pivotField axis="axisRow" allDrilled="1" outline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</pivotFields>
  <rowFields count="2">
    <field x="5"/>
    <field x="6"/>
  </rowFields>
  <rowItems count="10">
    <i>
      <x/>
      <x v="3"/>
    </i>
    <i>
      <x v="1"/>
      <x v="3"/>
    </i>
    <i>
      <x v="2"/>
      <x v="3"/>
    </i>
    <i>
      <x v="3"/>
      <x v="3"/>
    </i>
    <i>
      <x v="4"/>
      <x v="1"/>
    </i>
    <i>
      <x v="5"/>
      <x v="2"/>
    </i>
    <i>
      <x v="6"/>
      <x v="4"/>
    </i>
    <i>
      <x v="7"/>
      <x/>
    </i>
    <i>
      <x v="8"/>
      <x v="5"/>
    </i>
    <i t="grand">
      <x/>
    </i>
  </rowItems>
  <colFields count="1">
    <field x="3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226" name="[Unit].[Unit].&amp;[0287]" cap="0287"/>
  </pageFields>
  <dataFields count="1">
    <dataField fld="4" baseField="0" baseItem="0" numFmtId="43"/>
  </dataFields>
  <formats count="11">
    <format dxfId="30">
      <pivotArea field="0" type="button" dataOnly="0" labelOnly="1" outline="0" axis="axisPage" fieldPosition="0"/>
    </format>
    <format dxfId="29">
      <pivotArea dataOnly="0" labelOnly="1" outline="0" fieldPosition="0">
        <references count="1">
          <reference field="0" count="0"/>
        </references>
      </pivotArea>
    </format>
    <format dxfId="28">
      <pivotArea field="1" type="button" dataOnly="0" labelOnly="1" outline="0" axis="axisPage" fieldPosition="1"/>
    </format>
    <format dxfId="27">
      <pivotArea dataOnly="0" labelOnly="1" outline="0" fieldPosition="0">
        <references count="1">
          <reference field="1" count="0"/>
        </references>
      </pivotArea>
    </format>
    <format dxfId="26">
      <pivotArea field="2" type="button" dataOnly="0" labelOnly="1" outline="0" axis="axisPage" fieldPosition="2"/>
    </format>
    <format dxfId="25">
      <pivotArea dataOnly="0" labelOnly="1" outline="0" fieldPosition="0">
        <references count="1">
          <reference field="2" count="0"/>
        </references>
      </pivotArea>
    </format>
    <format dxfId="24">
      <pivotArea outline="0" collapsedLevelsAreSubtotals="1" fieldPosition="0"/>
    </format>
    <format dxfId="23">
      <pivotArea field="3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697823-F31C-45E2-9F98-996FA14B8F5F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:N17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allDrilled="1" outline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9">
    <i>
      <x/>
      <x v="4"/>
    </i>
    <i>
      <x v="1"/>
      <x v="7"/>
    </i>
    <i>
      <x v="2"/>
      <x v="1"/>
    </i>
    <i>
      <x v="3"/>
      <x/>
    </i>
    <i>
      <x v="4"/>
      <x v="5"/>
    </i>
    <i>
      <x v="5"/>
      <x v="6"/>
    </i>
    <i>
      <x v="6"/>
      <x v="2"/>
    </i>
    <i>
      <x v="7"/>
      <x v="3"/>
    </i>
    <i t="grand">
      <x/>
    </i>
  </rowItems>
  <colFields count="1">
    <field x="3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8" hier="226" name="[Unit].[Unit].&amp;[0287]" cap="0287"/>
    <pageField fld="7" hier="144" name="[Posting Code].[Bucket].&amp;[0]" cap=""/>
  </pageFields>
  <dataFields count="1">
    <dataField fld="6" baseField="0" baseItem="0" numFmtId="43"/>
  </dataFields>
  <formats count="11">
    <format dxfId="41">
      <pivotArea field="0" type="button" dataOnly="0" labelOnly="1" outline="0" axis="axisPage" fieldPosition="0"/>
    </format>
    <format dxfId="40">
      <pivotArea dataOnly="0" labelOnly="1" outline="0" fieldPosition="0">
        <references count="1">
          <reference field="0" count="0"/>
        </references>
      </pivotArea>
    </format>
    <format dxfId="39">
      <pivotArea field="1" type="button" dataOnly="0" labelOnly="1" outline="0" axis="axisPage" fieldPosition="1"/>
    </format>
    <format dxfId="38">
      <pivotArea dataOnly="0" labelOnly="1" outline="0" fieldPosition="0">
        <references count="1">
          <reference field="1" count="0"/>
        </references>
      </pivotArea>
    </format>
    <format dxfId="37">
      <pivotArea field="2" type="button" dataOnly="0" labelOnly="1" outline="0" axis="axisPage" fieldPosition="2"/>
    </format>
    <format dxfId="36">
      <pivotArea dataOnly="0" labelOnly="1" outline="0" fieldPosition="0">
        <references count="1">
          <reference field="2" count="0"/>
        </references>
      </pivotArea>
    </format>
    <format dxfId="35">
      <pivotArea outline="0" collapsedLevelsAreSubtotals="1" fieldPosition="0"/>
    </format>
    <format dxfId="34">
      <pivotArea field="3" type="button" dataOnly="0" labelOnly="1" outline="0" axis="axisCol" fieldPosition="0"/>
    </format>
    <format dxfId="33">
      <pivotArea type="topRight" dataOnly="0" labelOnly="1" outline="0" fieldPosition="0"/>
    </format>
    <format dxfId="32">
      <pivotArea dataOnly="0" labelOnly="1" fieldPosition="0">
        <references count="1">
          <reference field="3" count="0"/>
        </references>
      </pivotArea>
    </format>
    <format dxfId="31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3000000}" name="PivotTable5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A73:AN95" firstHeaderRow="1" firstDataRow="2" firstDataCol="2" rowPageCount="4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outline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21">
    <i>
      <x/>
      <x v="12"/>
    </i>
    <i>
      <x v="1"/>
      <x v="12"/>
    </i>
    <i>
      <x v="2"/>
      <x v="12"/>
    </i>
    <i>
      <x v="3"/>
      <x v="12"/>
    </i>
    <i>
      <x v="4"/>
      <x v="5"/>
    </i>
    <i>
      <x v="5"/>
      <x v="10"/>
    </i>
    <i>
      <x v="6"/>
      <x v="15"/>
    </i>
    <i>
      <x v="7"/>
      <x v="16"/>
    </i>
    <i>
      <x v="8"/>
      <x v="11"/>
    </i>
    <i>
      <x v="9"/>
      <x v="8"/>
    </i>
    <i>
      <x v="10"/>
      <x v="6"/>
    </i>
    <i>
      <x v="11"/>
      <x v="3"/>
    </i>
    <i>
      <x v="12"/>
      <x v="2"/>
    </i>
    <i>
      <x v="13"/>
      <x v="13"/>
    </i>
    <i>
      <x v="14"/>
      <x v="4"/>
    </i>
    <i>
      <x v="15"/>
      <x v="9"/>
    </i>
    <i>
      <x v="16"/>
      <x v="7"/>
    </i>
    <i>
      <x v="17"/>
      <x/>
    </i>
    <i>
      <x v="18"/>
      <x v="14"/>
    </i>
    <i>
      <x v="19"/>
      <x v="1"/>
    </i>
    <i t="grand">
      <x/>
    </i>
  </rowItems>
  <colFields count="1">
    <field x="7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4">
    <pageField fld="0" hier="148" name="[Posting Code].[Financial Category].&amp;[EXPENSE]" cap="EXPENSE"/>
    <pageField fld="1" hier="10" name="[Approp].[Approp].&amp;[028701]" cap="028701"/>
    <pageField fld="2" hier="86" name="[Fund].[Fund].&amp;[014]" cap="014"/>
    <pageField fld="8" hier="7" name="[Accounting Period].[Fisc Yr].&amp;[2023]" cap="2023"/>
  </pageFields>
  <dataFields count="1">
    <dataField fld="3" baseField="0" baseItem="0" numFmtId="43"/>
  </dataFields>
  <formats count="9">
    <format dxfId="341">
      <pivotArea field="0" type="button" dataOnly="0" labelOnly="1" outline="0" axis="axisPage" fieldPosition="0"/>
    </format>
    <format dxfId="340">
      <pivotArea dataOnly="0" labelOnly="1" outline="0" fieldPosition="0">
        <references count="1">
          <reference field="0" count="0"/>
        </references>
      </pivotArea>
    </format>
    <format dxfId="339">
      <pivotArea field="1" type="button" dataOnly="0" labelOnly="1" outline="0" axis="axisPage" fieldPosition="1"/>
    </format>
    <format dxfId="338">
      <pivotArea dataOnly="0" labelOnly="1" outline="0" fieldPosition="0">
        <references count="1">
          <reference field="1" count="0"/>
        </references>
      </pivotArea>
    </format>
    <format dxfId="337">
      <pivotArea field="2" type="button" dataOnly="0" labelOnly="1" outline="0" axis="axisPage" fieldPosition="2"/>
    </format>
    <format dxfId="336">
      <pivotArea dataOnly="0" labelOnly="1" outline="0" fieldPosition="0">
        <references count="1">
          <reference field="2" count="0"/>
        </references>
      </pivotArea>
    </format>
    <format dxfId="335">
      <pivotArea outline="0" collapsedLevelsAreSubtotals="1" fieldPosition="0"/>
    </format>
    <format dxfId="334">
      <pivotArea type="topRight" dataOnly="0" labelOnly="1" outline="0" fieldPosition="0"/>
    </format>
    <format dxfId="333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26"/>
    <rowHierarchyUsage hierarchyUsage="123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4" cacheId="5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4" indent="0" outline="1" outlineData="1" multipleFieldFilters="0" fieldListSortAscending="1">
  <location ref="A75:N84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2">
    <field x="4"/>
    <field x="5"/>
  </rowFields>
  <rowItems count="8">
    <i>
      <x/>
      <x v="4"/>
    </i>
    <i>
      <x v="1"/>
      <x v="6"/>
    </i>
    <i>
      <x v="2"/>
      <x v="3"/>
    </i>
    <i>
      <x v="3"/>
      <x/>
    </i>
    <i>
      <x v="4"/>
      <x v="5"/>
    </i>
    <i>
      <x v="5"/>
      <x v="1"/>
    </i>
    <i>
      <x v="6"/>
      <x v="2"/>
    </i>
    <i t="grand">
      <x/>
    </i>
  </rowItems>
  <colFields count="1">
    <field x="8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3" hier="7" name="[Accounting Period].[Fisc Yr].&amp;[2023]" cap="2023"/>
  </pageFields>
  <dataFields count="1">
    <dataField fld="6" baseField="0" baseItem="0" numFmtId="43"/>
  </dataFields>
  <formats count="11">
    <format dxfId="352">
      <pivotArea field="0" type="button" dataOnly="0" labelOnly="1" outline="0" axis="axisPage" fieldPosition="0"/>
    </format>
    <format dxfId="351">
      <pivotArea dataOnly="0" labelOnly="1" outline="0" fieldPosition="0">
        <references count="1">
          <reference field="0" count="0"/>
        </references>
      </pivotArea>
    </format>
    <format dxfId="350">
      <pivotArea field="1" type="button" dataOnly="0" labelOnly="1" outline="0" axis="axisPage" fieldPosition="1"/>
    </format>
    <format dxfId="349">
      <pivotArea dataOnly="0" labelOnly="1" outline="0" fieldPosition="0">
        <references count="1">
          <reference field="1" count="0"/>
        </references>
      </pivotArea>
    </format>
    <format dxfId="348">
      <pivotArea field="2" type="button" dataOnly="0" labelOnly="1" outline="0" axis="axisPage" fieldPosition="2"/>
    </format>
    <format dxfId="347">
      <pivotArea dataOnly="0" labelOnly="1" outline="0" fieldPosition="0">
        <references count="1">
          <reference field="2" count="0"/>
        </references>
      </pivotArea>
    </format>
    <format dxfId="346">
      <pivotArea outline="0" collapsedLevelsAreSubtotals="1" fieldPosition="0"/>
    </format>
    <format dxfId="345">
      <pivotArea field="3" type="button" dataOnly="0" labelOnly="1" outline="0" axis="axisPage" fieldPosition="4"/>
    </format>
    <format dxfId="344">
      <pivotArea type="topRight" dataOnly="0" labelOnly="1" outline="0" fieldPosition="0"/>
    </format>
    <format dxfId="343">
      <pivotArea dataOnly="0" labelOnly="1" fieldPosition="0">
        <references count="1">
          <reference field="3" count="0"/>
        </references>
      </pivotArea>
    </format>
    <format dxfId="342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F3672D-E709-4C11-8AFC-F10CC0CB6FF2}" name="PivotTable1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 fieldListSortAscending="1">
  <location ref="A9:H130" firstHeaderRow="2" firstDataRow="2" firstDataCol="7" rowPageCount="7" colPageCount="1"/>
  <pivotFields count="19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10"/>
    <field x="11"/>
    <field x="12"/>
    <field x="13"/>
    <field x="18"/>
    <field x="17"/>
    <field x="15"/>
  </rowFields>
  <rowItems count="120">
    <i>
      <x/>
      <x v="5"/>
      <x v="1"/>
      <x v="5"/>
      <x v="1"/>
      <x v="1"/>
      <x v="6"/>
    </i>
    <i r="1">
      <x v="12"/>
      <x v="1"/>
      <x v="15"/>
      <x v="1"/>
      <x v="1"/>
      <x v="4"/>
    </i>
    <i t="default">
      <x/>
    </i>
    <i>
      <x v="1"/>
      <x v="30"/>
      <x v="3"/>
      <x v="40"/>
      <x v="1"/>
      <x v="1"/>
      <x v="9"/>
    </i>
    <i t="default">
      <x v="1"/>
    </i>
    <i>
      <x v="2"/>
      <x v="30"/>
      <x v="1"/>
      <x v="41"/>
      <x v="1"/>
      <x v="1"/>
      <x v="3"/>
    </i>
    <i r="1">
      <x v="40"/>
      <x v="1"/>
      <x v="52"/>
      <x v="1"/>
      <x v="1"/>
      <x v="3"/>
    </i>
    <i r="1">
      <x v="45"/>
      <x v="1"/>
      <x v="62"/>
      <x v="1"/>
      <x v="1"/>
      <x v="3"/>
    </i>
    <i t="default">
      <x v="2"/>
    </i>
    <i>
      <x v="3"/>
      <x v="2"/>
      <x v="3"/>
      <x v="2"/>
      <x v="1"/>
      <x v="1"/>
      <x v="9"/>
    </i>
    <i r="1">
      <x v="3"/>
      <x v="3"/>
      <x v="3"/>
      <x v="1"/>
      <x v="1"/>
      <x v="9"/>
    </i>
    <i r="1">
      <x v="4"/>
      <x v="3"/>
      <x v="4"/>
      <x v="1"/>
      <x v="1"/>
      <x v="9"/>
    </i>
    <i r="1">
      <x v="6"/>
      <x v="3"/>
      <x v="6"/>
      <x v="1"/>
      <x v="1"/>
      <x v="9"/>
    </i>
    <i r="1">
      <x v="7"/>
      <x v="3"/>
      <x v="8"/>
      <x v="1"/>
      <x v="1"/>
      <x v="9"/>
    </i>
    <i r="1">
      <x v="10"/>
      <x v="3"/>
      <x v="12"/>
      <x v="1"/>
      <x v="1"/>
      <x v="9"/>
    </i>
    <i r="1">
      <x v="11"/>
      <x v="3"/>
      <x v="13"/>
      <x v="1"/>
      <x v="1"/>
      <x v="9"/>
    </i>
    <i r="1">
      <x v="15"/>
      <x v="1"/>
      <x v="20"/>
      <x v="1"/>
      <x v="1"/>
      <x v="6"/>
    </i>
    <i r="1">
      <x v="18"/>
      <x v="3"/>
      <x v="24"/>
      <x v="1"/>
      <x v="1"/>
      <x v="9"/>
    </i>
    <i r="1">
      <x v="23"/>
      <x v="3"/>
      <x v="31"/>
      <x v="1"/>
      <x v="1"/>
      <x v="9"/>
    </i>
    <i r="1">
      <x v="24"/>
      <x v="3"/>
      <x v="32"/>
      <x v="1"/>
      <x v="1"/>
      <x v="9"/>
    </i>
    <i r="1">
      <x v="25"/>
      <x v="3"/>
      <x v="33"/>
      <x v="1"/>
      <x v="1"/>
      <x v="9"/>
    </i>
    <i r="1">
      <x v="26"/>
      <x v="3"/>
      <x v="34"/>
      <x v="1"/>
      <x v="1"/>
      <x v="9"/>
    </i>
    <i r="1">
      <x v="30"/>
      <x v="3"/>
      <x v="40"/>
      <x v="1"/>
      <x v="1"/>
      <x v="9"/>
    </i>
    <i r="1">
      <x v="35"/>
      <x v="3"/>
      <x v="46"/>
      <x v="1"/>
      <x v="1"/>
      <x v="9"/>
    </i>
    <i r="1">
      <x v="36"/>
      <x v="3"/>
      <x v="47"/>
      <x v="1"/>
      <x v="1"/>
      <x v="9"/>
    </i>
    <i r="1">
      <x v="37"/>
      <x v="3"/>
      <x v="48"/>
      <x v="1"/>
      <x v="1"/>
      <x v="9"/>
    </i>
    <i r="1">
      <x v="38"/>
      <x v="3"/>
      <x v="49"/>
      <x v="1"/>
      <x v="1"/>
      <x v="9"/>
    </i>
    <i r="1">
      <x v="42"/>
      <x v="3"/>
      <x v="55"/>
      <x v="1"/>
      <x v="1"/>
      <x v="9"/>
    </i>
    <i r="1">
      <x v="45"/>
      <x v="1"/>
      <x v="61"/>
      <x v="1"/>
      <x v="1"/>
      <x v="6"/>
    </i>
    <i t="default">
      <x v="3"/>
    </i>
    <i>
      <x v="4"/>
      <x v="2"/>
      <x v="3"/>
      <x v="2"/>
      <x v="1"/>
      <x v="1"/>
      <x v="9"/>
    </i>
    <i r="1">
      <x v="3"/>
      <x v="3"/>
      <x v="3"/>
      <x v="1"/>
      <x v="1"/>
      <x v="9"/>
    </i>
    <i r="1">
      <x v="4"/>
      <x v="3"/>
      <x v="4"/>
      <x v="1"/>
      <x v="1"/>
      <x v="9"/>
    </i>
    <i r="1">
      <x v="6"/>
      <x v="3"/>
      <x v="6"/>
      <x v="1"/>
      <x v="1"/>
      <x v="9"/>
    </i>
    <i r="1">
      <x v="7"/>
      <x v="3"/>
      <x v="8"/>
      <x v="1"/>
      <x v="1"/>
      <x v="9"/>
    </i>
    <i r="1">
      <x v="10"/>
      <x v="3"/>
      <x v="12"/>
      <x v="1"/>
      <x v="1"/>
      <x v="9"/>
    </i>
    <i r="1">
      <x v="11"/>
      <x v="3"/>
      <x v="13"/>
      <x v="1"/>
      <x v="1"/>
      <x v="9"/>
    </i>
    <i r="1">
      <x v="18"/>
      <x v="3"/>
      <x v="24"/>
      <x v="1"/>
      <x v="1"/>
      <x v="9"/>
    </i>
    <i r="1">
      <x v="23"/>
      <x v="3"/>
      <x v="31"/>
      <x v="1"/>
      <x v="1"/>
      <x v="9"/>
    </i>
    <i r="1">
      <x v="24"/>
      <x v="3"/>
      <x v="32"/>
      <x v="1"/>
      <x v="1"/>
      <x v="9"/>
    </i>
    <i r="1">
      <x v="25"/>
      <x v="3"/>
      <x v="33"/>
      <x v="1"/>
      <x v="1"/>
      <x v="9"/>
    </i>
    <i r="1">
      <x v="26"/>
      <x v="3"/>
      <x v="34"/>
      <x v="1"/>
      <x v="1"/>
      <x v="9"/>
    </i>
    <i r="1">
      <x v="30"/>
      <x v="3"/>
      <x v="40"/>
      <x v="1"/>
      <x v="1"/>
      <x v="9"/>
    </i>
    <i r="1">
      <x v="35"/>
      <x v="3"/>
      <x v="46"/>
      <x v="1"/>
      <x v="1"/>
      <x v="9"/>
    </i>
    <i r="1">
      <x v="36"/>
      <x v="3"/>
      <x v="47"/>
      <x v="1"/>
      <x v="1"/>
      <x v="9"/>
    </i>
    <i r="1">
      <x v="37"/>
      <x v="3"/>
      <x v="48"/>
      <x v="1"/>
      <x v="1"/>
      <x v="9"/>
    </i>
    <i r="1">
      <x v="38"/>
      <x v="3"/>
      <x v="49"/>
      <x v="1"/>
      <x v="1"/>
      <x v="9"/>
    </i>
    <i r="1">
      <x v="42"/>
      <x v="3"/>
      <x v="55"/>
      <x v="1"/>
      <x v="1"/>
      <x v="9"/>
    </i>
    <i t="default">
      <x v="4"/>
    </i>
    <i>
      <x v="5"/>
      <x v="29"/>
      <x v="4"/>
      <x v="39"/>
      <x/>
      <x/>
      <x v="8"/>
    </i>
    <i r="1">
      <x v="47"/>
      <x v="4"/>
      <x v="67"/>
      <x/>
      <x/>
      <x v="8"/>
    </i>
    <i t="default">
      <x v="5"/>
    </i>
    <i>
      <x v="6"/>
      <x v="17"/>
      <x v="3"/>
      <x v="22"/>
      <x v="1"/>
      <x v="1"/>
      <x v="9"/>
    </i>
    <i r="1">
      <x v="27"/>
      <x v="3"/>
      <x v="35"/>
      <x v="1"/>
      <x v="1"/>
      <x v="9"/>
    </i>
    <i r="1">
      <x v="32"/>
      <x v="3"/>
      <x v="43"/>
      <x v="1"/>
      <x v="1"/>
      <x v="9"/>
    </i>
    <i r="1">
      <x v="43"/>
      <x v="3"/>
      <x v="56"/>
      <x v="1"/>
      <x v="1"/>
      <x v="9"/>
    </i>
    <i r="1">
      <x v="45"/>
      <x v="3"/>
      <x v="63"/>
      <x v="1"/>
      <x v="1"/>
      <x v="9"/>
    </i>
    <i t="default">
      <x v="6"/>
    </i>
    <i>
      <x v="7"/>
      <x v="6"/>
      <x v="2"/>
      <x v="7"/>
      <x v="1"/>
      <x v="1"/>
      <x v="9"/>
    </i>
    <i t="default">
      <x v="7"/>
    </i>
    <i>
      <x v="8"/>
      <x/>
      <x/>
      <x/>
      <x v="1"/>
      <x v="1"/>
      <x v="9"/>
    </i>
    <i r="1">
      <x v="1"/>
      <x/>
      <x v="1"/>
      <x v="1"/>
      <x v="1"/>
      <x v="9"/>
    </i>
    <i r="1">
      <x v="8"/>
      <x/>
      <x v="9"/>
      <x v="1"/>
      <x v="1"/>
      <x v="9"/>
    </i>
    <i r="3">
      <x v="10"/>
      <x v="1"/>
      <x v="1"/>
      <x v="9"/>
    </i>
    <i r="1">
      <x v="12"/>
      <x/>
      <x v="14"/>
      <x v="1"/>
      <x v="1"/>
      <x v="9"/>
    </i>
    <i r="1">
      <x v="13"/>
      <x/>
      <x v="16"/>
      <x v="1"/>
      <x v="1"/>
      <x v="9"/>
    </i>
    <i r="1">
      <x v="22"/>
      <x/>
      <x v="30"/>
      <x v="1"/>
      <x v="1"/>
      <x v="9"/>
    </i>
    <i r="1">
      <x v="34"/>
      <x/>
      <x v="45"/>
      <x v="1"/>
      <x v="1"/>
      <x v="9"/>
    </i>
    <i r="1">
      <x v="40"/>
      <x/>
      <x v="51"/>
      <x v="1"/>
      <x v="1"/>
      <x v="9"/>
    </i>
    <i r="1">
      <x v="46"/>
      <x/>
      <x v="64"/>
      <x v="1"/>
      <x v="1"/>
      <x v="9"/>
    </i>
    <i r="3">
      <x v="65"/>
      <x v="1"/>
      <x v="1"/>
      <x v="9"/>
    </i>
    <i r="3">
      <x v="66"/>
      <x v="1"/>
      <x v="1"/>
      <x v="9"/>
    </i>
    <i t="default">
      <x v="8"/>
    </i>
    <i>
      <x v="9"/>
      <x v="14"/>
      <x v="1"/>
      <x v="17"/>
      <x v="1"/>
      <x v="1"/>
      <x v="7"/>
    </i>
    <i r="3">
      <x v="18"/>
      <x v="1"/>
      <x v="1"/>
      <x v="5"/>
    </i>
    <i r="3">
      <x v="19"/>
      <x v="1"/>
      <x v="1"/>
      <x v="1"/>
    </i>
    <i r="1">
      <x v="16"/>
      <x v="1"/>
      <x v="21"/>
      <x v="1"/>
      <x v="1"/>
      <x v="2"/>
    </i>
    <i r="1">
      <x v="19"/>
      <x v="1"/>
      <x v="25"/>
      <x v="1"/>
      <x v="1"/>
      <x/>
    </i>
    <i r="1">
      <x v="20"/>
      <x v="1"/>
      <x v="26"/>
      <x v="1"/>
      <x v="1"/>
      <x v="1"/>
    </i>
    <i r="3">
      <x v="27"/>
      <x v="1"/>
      <x v="1"/>
      <x/>
    </i>
    <i r="3">
      <x v="28"/>
      <x v="1"/>
      <x v="1"/>
      <x v="2"/>
    </i>
    <i r="1">
      <x v="21"/>
      <x v="1"/>
      <x v="29"/>
      <x v="1"/>
      <x v="1"/>
      <x v="7"/>
    </i>
    <i r="1">
      <x v="28"/>
      <x v="1"/>
      <x v="36"/>
      <x v="1"/>
      <x v="1"/>
      <x v="7"/>
    </i>
    <i r="3">
      <x v="37"/>
      <x v="1"/>
      <x v="1"/>
      <x/>
    </i>
    <i r="3">
      <x v="38"/>
      <x v="1"/>
      <x v="1"/>
      <x v="1"/>
    </i>
    <i r="1">
      <x v="39"/>
      <x v="1"/>
      <x v="50"/>
      <x v="1"/>
      <x v="1"/>
      <x v="1"/>
    </i>
    <i r="1">
      <x v="41"/>
      <x v="1"/>
      <x v="53"/>
      <x v="1"/>
      <x v="1"/>
      <x v="2"/>
    </i>
    <i r="3">
      <x v="54"/>
      <x v="1"/>
      <x v="1"/>
      <x v="1"/>
    </i>
    <i r="1">
      <x v="44"/>
      <x v="1"/>
      <x v="57"/>
      <x v="1"/>
      <x v="1"/>
      <x v="2"/>
    </i>
    <i r="3">
      <x v="58"/>
      <x v="1"/>
      <x v="1"/>
      <x v="1"/>
    </i>
    <i r="3">
      <x v="59"/>
      <x v="1"/>
      <x v="1"/>
      <x v="7"/>
    </i>
    <i r="3">
      <x v="60"/>
      <x v="1"/>
      <x v="1"/>
      <x/>
    </i>
    <i t="default">
      <x v="9"/>
    </i>
    <i>
      <x v="10"/>
      <x v="9"/>
      <x v="3"/>
      <x v="11"/>
      <x v="1"/>
      <x v="1"/>
      <x v="9"/>
    </i>
    <i r="1">
      <x v="43"/>
      <x v="3"/>
      <x v="56"/>
      <x v="1"/>
      <x v="1"/>
      <x v="9"/>
    </i>
    <i t="default">
      <x v="10"/>
    </i>
    <i>
      <x v="11"/>
      <x v="14"/>
      <x v="1"/>
      <x v="17"/>
      <x v="1"/>
      <x v="1"/>
      <x v="7"/>
    </i>
    <i r="3">
      <x v="18"/>
      <x v="1"/>
      <x v="1"/>
      <x v="5"/>
    </i>
    <i r="3">
      <x v="19"/>
      <x v="1"/>
      <x v="1"/>
      <x v="1"/>
    </i>
    <i r="1">
      <x v="16"/>
      <x v="1"/>
      <x v="21"/>
      <x v="1"/>
      <x v="1"/>
      <x v="2"/>
    </i>
    <i r="1">
      <x v="19"/>
      <x v="1"/>
      <x v="25"/>
      <x v="1"/>
      <x v="1"/>
      <x/>
    </i>
    <i r="1">
      <x v="20"/>
      <x v="1"/>
      <x v="26"/>
      <x v="1"/>
      <x v="1"/>
      <x v="1"/>
    </i>
    <i r="3">
      <x v="28"/>
      <x v="1"/>
      <x v="1"/>
      <x v="2"/>
    </i>
    <i r="1">
      <x v="21"/>
      <x v="1"/>
      <x v="29"/>
      <x v="1"/>
      <x v="1"/>
      <x v="7"/>
    </i>
    <i r="1">
      <x v="28"/>
      <x v="1"/>
      <x v="36"/>
      <x v="1"/>
      <x v="1"/>
      <x v="7"/>
    </i>
    <i r="3">
      <x v="37"/>
      <x v="1"/>
      <x v="1"/>
      <x/>
    </i>
    <i r="3">
      <x v="38"/>
      <x v="1"/>
      <x v="1"/>
      <x v="1"/>
    </i>
    <i r="1">
      <x v="39"/>
      <x v="1"/>
      <x v="50"/>
      <x v="1"/>
      <x v="1"/>
      <x v="1"/>
    </i>
    <i r="1">
      <x v="41"/>
      <x v="1"/>
      <x v="53"/>
      <x v="1"/>
      <x v="1"/>
      <x v="2"/>
    </i>
    <i r="3">
      <x v="54"/>
      <x v="1"/>
      <x v="1"/>
      <x v="1"/>
    </i>
    <i r="1">
      <x v="44"/>
      <x v="1"/>
      <x v="57"/>
      <x v="1"/>
      <x v="1"/>
      <x v="2"/>
    </i>
    <i r="3">
      <x v="58"/>
      <x v="1"/>
      <x v="1"/>
      <x v="1"/>
    </i>
    <i r="3">
      <x v="59"/>
      <x v="1"/>
      <x v="1"/>
      <x v="7"/>
    </i>
    <i r="3">
      <x v="60"/>
      <x v="1"/>
      <x v="1"/>
      <x/>
    </i>
    <i t="default">
      <x v="11"/>
    </i>
    <i>
      <x v="12"/>
      <x v="17"/>
      <x v="3"/>
      <x v="23"/>
      <x v="1"/>
      <x v="1"/>
      <x v="9"/>
    </i>
    <i r="1">
      <x v="31"/>
      <x v="3"/>
      <x v="42"/>
      <x v="1"/>
      <x v="1"/>
      <x v="9"/>
    </i>
    <i r="1">
      <x v="33"/>
      <x v="3"/>
      <x v="44"/>
      <x v="1"/>
      <x v="1"/>
      <x v="9"/>
    </i>
    <i t="default">
      <x v="12"/>
    </i>
    <i t="grand">
      <x/>
    </i>
  </rowItems>
  <colItems count="1">
    <i/>
  </colItems>
  <pageFields count="7">
    <pageField fld="0" hier="10" name="[Approp].[Approp].&amp;[028701]" cap="028701"/>
    <pageField fld="1" hier="51" name="[Dept].[Dept].&amp;[01A]" cap="01A"/>
    <pageField fld="2" hier="86" name="[Fund].[Fund].&amp;[014]" cap="014"/>
    <pageField fld="3" hier="1" name="[Accounting Period].[Acct Period Hierarchy].[Fisc Yr].&amp;[2023]" cap="2023"/>
    <pageField fld="14" hier="148" name="[Posting Code].[Financial Category].&amp;[EXPENSE]" cap="EXPENSE"/>
    <pageField fld="9" hier="125" name="[Object].[Object Class].&amp;[2]" cap="2"/>
    <pageField fld="8" hier="126" name="[Object].[Object Group].&amp;[49]" cap="49"/>
  </pageFields>
  <dataFields count="1">
    <dataField fld="16" baseField="0" baseItem="0"/>
  </dataFields>
  <formats count="1">
    <format dxfId="310">
      <pivotArea dataOnly="0" outline="0" fieldPosition="0">
        <references count="1">
          <reference field="10" count="0" defaultSubtotal="1"/>
        </references>
      </pivotArea>
    </format>
  </formats>
  <pivotHierarchies count="346">
    <pivotHierarchy/>
    <pivotHierarchy>
      <mps count="2">
        <mp field="6"/>
        <mp field="7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embers count="87" level="1">
        <member name=""/>
        <member name=""/>
        <member name="[Documents].[Doc Cd].&amp;[CT]"/>
        <member name="[Documents].[Doc Cd].&amp;[DC]"/>
        <member name="[Documents].[Doc Cd].&amp;[DO]"/>
        <member name="[Documents].[Doc Cd].&amp;[EV]"/>
        <member name="[Documents].[Doc Cd].&amp;[FA]"/>
        <member name="[Documents].[Doc Cd].&amp;[FC]"/>
        <member name="[Documents].[Doc Cd].&amp;[FD]"/>
        <member name="[Documents].[Doc Cd].&amp;[FE]"/>
        <member name="[Documents].[Doc Cd].&amp;[FI]"/>
        <member name="[Documents].[Doc Cd].&amp;[FM]"/>
        <member name="[Documents].[Doc Cd].&amp;[FP]"/>
        <member name="[Documents].[Doc Cd].&amp;[FT]"/>
        <member name="[Documents].[Doc Cd].&amp;[FX]"/>
        <member name="[Documents].[Doc Cd].&amp;[GR]"/>
        <member name="[Documents].[Doc Cd].&amp;[IN]"/>
        <member name="[Documents].[Doc Cd].&amp;[IT]"/>
        <member name="[Documents].[Doc Cd].&amp;[JV]"/>
        <member name="[Documents].[Doc Cd].&amp;[MA]"/>
        <member name="[Documents].[Doc Cd].&amp;[PE]"/>
        <member name="[Documents].[Doc Cd].&amp;[PO]"/>
        <member name="[Documents].[Doc Cd].&amp;[RC]"/>
        <member name=""/>
        <member name="[Documents].[Doc Cd].&amp;[RN]"/>
        <member name="[Documents].[Doc Cd].&amp;[SR]"/>
        <member name="[Documents].[Doc Cd].&amp;[TM]"/>
        <member name="[Documents].[Doc Cd].&amp;[UR]"/>
        <member name="[Documents].[Doc Cd].&amp;[WO]"/>
        <member name="[Documents].[Doc Cd].&amp;[BAC]"/>
        <member name="[Documents].[Doc Cd].&amp;[BPO]"/>
        <member name="[Documents].[Doc Cd].&amp;[CAS]"/>
        <member name="[Documents].[Doc Cd].&amp;[CEC]"/>
        <member name="[Documents].[Doc Cd].&amp;[CTB]"/>
        <member name="[Documents].[Doc Cd].&amp;[CTI]"/>
        <member name="[Documents].[Doc Cd].&amp;[CTM]"/>
        <member name="[Documents].[Doc Cd].&amp;[CTP]"/>
        <member name="[Documents].[Doc Cd].&amp;[GAE]"/>
        <member name=""/>
        <member name="[Documents].[Doc Cd].&amp;[GFO]"/>
        <member name=""/>
        <member name="[Documents].[Doc Cd].&amp;[IRM]"/>
        <member name="[Documents].[Doc Cd].&amp;[JVA]"/>
        <member name="[Documents].[Doc Cd].&amp;[JVC]"/>
        <member name="[Documents].[Doc Cd].&amp;[MAW]"/>
        <member name=""/>
        <member name="[Documents].[Doc Cd].&amp;[PRM]"/>
        <member name="[Documents].[Doc Cd].&amp;[PRN]"/>
        <member name="[Documents].[Doc Cd].&amp;[PRW]"/>
        <member name="[Documents].[Doc Cd].&amp;[PRX]"/>
        <member name="[Documents].[Doc Cd].&amp;[REM]"/>
        <member name="[Documents].[Doc Cd].&amp;[RES]"/>
        <member name="[Documents].[Doc Cd].&amp;[RFQ]"/>
        <member name="[Documents].[Doc Cd].&amp;[RQA]"/>
        <member name="[Documents].[Doc Cd].&amp;[RQN]"/>
        <member name="[Documents].[Doc Cd].&amp;[RQS]"/>
        <member name="[Documents].[Doc Cd].&amp;[SSB]"/>
        <member name="[Documents].[Doc Cd].&amp;[TRF]"/>
        <member name="[Documents].[Doc Cd].&amp;[VCC]"/>
        <member name="[Documents].[Doc Cd].&amp;[VCM]"/>
        <member name="[Documents].[Doc Cd].&amp;[ZBA]"/>
        <member name="[Documents].[Doc Cd].&amp;[ABDL]"/>
        <member name="[Documents].[Doc Cd].&amp;[ABSJ]"/>
        <member name="[Documents].[Doc Cd].&amp;[BGCA]"/>
        <member name="[Documents].[Doc Cd].&amp;[CBDL]"/>
        <member name="[Documents].[Doc Cd].&amp;[COAJ]"/>
        <member name="[Documents].[Doc Cd].&amp;[CRAJ]"/>
        <member name=""/>
        <member name="[Documents].[Doc Cd].&amp;[CREF]"/>
        <member name="[Documents].[Doc Cd].&amp;[CRNG]"/>
        <member name="[Documents].[Doc Cd].&amp;[CRPM]"/>
        <member name="[Documents].[Doc Cd].&amp;[CRRT]"/>
        <member name="[Documents].[Doc Cd].&amp;[CTMV]"/>
        <member name="[Documents].[Doc Cd].&amp;[GAEC]"/>
        <member name="[Documents].[Doc Cd].&amp;[GAIP]"/>
        <member name="[Documents].[Doc Cd].&amp;[GASA]"/>
        <member name="[Documents].[Doc Cd].&amp;[GASE]"/>
        <member name=""/>
        <member name="[Documents].[Doc Cd].&amp;[JVAC]"/>
        <member name="[Documents].[Doc Cd].&amp;[PAJV]"/>
        <member name="[Documents].[Doc Cd].&amp;[BGPDR]"/>
        <member name="[Documents].[Doc Cd].&amp;[BGPHR]"/>
        <member name="[Documents].[Doc Cd].&amp;[INVSS]"/>
        <member name="[Documents].[Doc Cd].&amp;[M1099]"/>
        <member name="[Documents].[Doc Cd].&amp;[CRCCPM]"/>
        <member name="[Documents].[Doc Cd].&amp;[CREFPM]"/>
        <member name="[Documents].[Doc Cd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7">
    <rowHierarchyUsage hierarchyUsage="124"/>
    <rowHierarchyUsage hierarchyUsage="0"/>
    <rowHierarchyUsage hierarchyUsage="68"/>
    <rowHierarchyUsage hierarchyUsage="74"/>
    <rowHierarchyUsage hierarchyUsage="177"/>
    <rowHierarchyUsage hierarchyUsage="179"/>
    <rowHierarchyUsage hierarchyUsage="236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E9638C-76E0-4301-A033-C728201824A2}" name="PivotTable2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P10:Q19" firstHeaderRow="1" firstDataRow="1" firstDataCol="1"/>
  <pivotFields count="3">
    <pivotField axis="axisRow" showAll="0">
      <items count="4">
        <item x="0"/>
        <item x="2"/>
        <item h="1" x="1"/>
        <item t="default"/>
      </items>
    </pivotField>
    <pivotField axis="axisRow" showAll="0">
      <items count="8">
        <item x="4"/>
        <item x="3"/>
        <item x="2"/>
        <item x="0"/>
        <item x="5"/>
        <item x="6"/>
        <item x="1"/>
        <item t="default"/>
      </items>
    </pivotField>
    <pivotField dataField="1" showAll="0"/>
  </pivotFields>
  <rowFields count="2">
    <field x="0"/>
    <field x="1"/>
  </rowFields>
  <rowItems count="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t="grand">
      <x/>
    </i>
  </rowItems>
  <colItems count="1">
    <i/>
  </colItems>
  <dataFields count="1">
    <dataField name="Sum of Total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E4A7A3-5523-44EB-98BF-3325820B6CA2}" name="PivotTable1" cacheId="3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 fieldListSortAscending="1">
  <location ref="A9:H138" firstHeaderRow="2" firstDataRow="2" firstDataCol="7" rowPageCount="7" colPageCount="1"/>
  <pivotFields count="19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10"/>
    <field x="11"/>
    <field x="12"/>
    <field x="13"/>
    <field x="18"/>
    <field x="17"/>
    <field x="15"/>
  </rowFields>
  <rowItems count="128">
    <i>
      <x/>
      <x v="1"/>
      <x v="1"/>
      <x v="4"/>
      <x/>
      <x v="3"/>
      <x v="1"/>
    </i>
    <i r="3">
      <x v="5"/>
      <x/>
      <x v="3"/>
      <x v="1"/>
    </i>
    <i r="1">
      <x v="4"/>
      <x v="1"/>
      <x v="11"/>
      <x/>
      <x v="3"/>
      <x v="1"/>
    </i>
    <i r="1">
      <x v="6"/>
      <x v="1"/>
      <x v="15"/>
      <x/>
      <x v="3"/>
      <x v="1"/>
    </i>
    <i r="1">
      <x v="7"/>
      <x v="1"/>
      <x v="18"/>
      <x/>
      <x v="3"/>
      <x v="1"/>
    </i>
    <i r="1">
      <x v="8"/>
      <x v="1"/>
      <x v="19"/>
      <x/>
      <x v="3"/>
      <x v="1"/>
    </i>
    <i r="1">
      <x v="9"/>
      <x v="1"/>
      <x v="20"/>
      <x/>
      <x v="3"/>
      <x v="1"/>
    </i>
    <i r="1">
      <x v="10"/>
      <x v="1"/>
      <x v="21"/>
      <x/>
      <x v="3"/>
      <x v="1"/>
    </i>
    <i r="1">
      <x v="14"/>
      <x v="1"/>
      <x v="30"/>
      <x/>
      <x v="3"/>
      <x v="1"/>
    </i>
    <i r="3">
      <x v="31"/>
      <x/>
      <x v="3"/>
      <x v="1"/>
    </i>
    <i r="1">
      <x v="18"/>
      <x v="1"/>
      <x v="40"/>
      <x/>
      <x v="3"/>
      <x v="1"/>
    </i>
    <i r="1">
      <x v="20"/>
      <x v="1"/>
      <x v="42"/>
      <x/>
      <x v="3"/>
      <x v="1"/>
    </i>
    <i r="1">
      <x v="21"/>
      <x v="1"/>
      <x v="44"/>
      <x/>
      <x v="3"/>
      <x v="1"/>
    </i>
    <i r="1">
      <x v="24"/>
      <x v="1"/>
      <x v="49"/>
      <x/>
      <x v="3"/>
      <x v="1"/>
    </i>
    <i r="1">
      <x v="26"/>
      <x v="1"/>
      <x v="52"/>
      <x/>
      <x v="3"/>
      <x v="1"/>
    </i>
    <i r="1">
      <x v="27"/>
      <x v="1"/>
      <x v="54"/>
      <x/>
      <x v="3"/>
      <x v="1"/>
    </i>
    <i r="1">
      <x v="30"/>
      <x v="1"/>
      <x v="59"/>
      <x/>
      <x v="3"/>
      <x v="1"/>
    </i>
    <i r="1">
      <x v="32"/>
      <x v="1"/>
      <x v="62"/>
      <x/>
      <x v="3"/>
      <x v="1"/>
    </i>
    <i r="1">
      <x v="33"/>
      <x v="1"/>
      <x v="65"/>
      <x/>
      <x v="3"/>
      <x v="1"/>
    </i>
    <i r="1">
      <x v="35"/>
      <x v="1"/>
      <x v="68"/>
      <x/>
      <x v="3"/>
      <x v="1"/>
    </i>
    <i r="1">
      <x v="36"/>
      <x v="1"/>
      <x v="70"/>
      <x/>
      <x v="3"/>
      <x v="1"/>
    </i>
    <i r="1">
      <x v="37"/>
      <x v="1"/>
      <x v="71"/>
      <x/>
      <x v="3"/>
      <x v="1"/>
    </i>
    <i r="3">
      <x v="72"/>
      <x/>
      <x v="3"/>
      <x v="1"/>
    </i>
    <i r="3">
      <x v="73"/>
      <x/>
      <x v="3"/>
      <x v="1"/>
    </i>
    <i r="3">
      <x v="75"/>
      <x/>
      <x v="3"/>
      <x v="1"/>
    </i>
    <i r="1">
      <x v="39"/>
      <x v="1"/>
      <x v="83"/>
      <x/>
      <x v="3"/>
      <x v="1"/>
    </i>
    <i r="1">
      <x v="40"/>
      <x v="1"/>
      <x v="84"/>
      <x/>
      <x v="3"/>
      <x v="1"/>
    </i>
    <i r="3">
      <x v="85"/>
      <x/>
      <x v="3"/>
      <x v="1"/>
    </i>
    <i r="1">
      <x v="42"/>
      <x v="1"/>
      <x v="91"/>
      <x/>
      <x v="3"/>
      <x v="1"/>
    </i>
    <i r="3">
      <x v="93"/>
      <x/>
      <x v="3"/>
      <x v="1"/>
    </i>
    <i r="1">
      <x v="44"/>
      <x v="1"/>
      <x v="98"/>
      <x/>
      <x v="3"/>
      <x v="1"/>
    </i>
    <i r="3">
      <x v="101"/>
      <x/>
      <x v="3"/>
      <x v="1"/>
    </i>
    <i r="1">
      <x v="46"/>
      <x v="1"/>
      <x v="103"/>
      <x/>
      <x v="3"/>
      <x v="1"/>
    </i>
    <i r="3">
      <x v="104"/>
      <x/>
      <x v="3"/>
      <x v="1"/>
    </i>
    <i r="1">
      <x v="48"/>
      <x v="1"/>
      <x v="106"/>
      <x/>
      <x v="3"/>
      <x v="1"/>
    </i>
    <i r="1">
      <x v="52"/>
      <x v="1"/>
      <x v="116"/>
      <x/>
      <x v="3"/>
      <x v="1"/>
    </i>
    <i r="1">
      <x v="53"/>
      <x v="1"/>
      <x v="119"/>
      <x/>
      <x v="3"/>
      <x v="1"/>
    </i>
    <i t="default">
      <x/>
    </i>
    <i>
      <x v="1"/>
      <x/>
      <x v="1"/>
      <x/>
      <x/>
      <x v="2"/>
      <x v="1"/>
    </i>
    <i r="3">
      <x v="1"/>
      <x/>
      <x v="2"/>
      <x v="1"/>
    </i>
    <i r="1">
      <x v="1"/>
      <x v="1"/>
      <x v="2"/>
      <x/>
      <x v="1"/>
      <x v="1"/>
    </i>
    <i r="3">
      <x v="3"/>
      <x/>
      <x/>
      <x/>
    </i>
    <i r="3">
      <x v="6"/>
      <x/>
      <x v="1"/>
      <x v="1"/>
    </i>
    <i r="3">
      <x v="7"/>
      <x/>
      <x/>
      <x/>
    </i>
    <i r="1">
      <x v="2"/>
      <x v="1"/>
      <x v="8"/>
      <x/>
      <x v="2"/>
      <x v="1"/>
    </i>
    <i r="1">
      <x v="3"/>
      <x v="1"/>
      <x v="9"/>
      <x/>
      <x v="2"/>
      <x v="1"/>
    </i>
    <i r="1">
      <x v="4"/>
      <x v="1"/>
      <x v="10"/>
      <x/>
      <x v="1"/>
      <x v="1"/>
    </i>
    <i r="1">
      <x v="5"/>
      <x v="1"/>
      <x v="12"/>
      <x/>
      <x/>
      <x/>
    </i>
    <i r="1">
      <x v="6"/>
      <x v="1"/>
      <x v="13"/>
      <x/>
      <x v="1"/>
      <x v="1"/>
    </i>
    <i r="3">
      <x v="14"/>
      <x/>
      <x/>
      <x/>
    </i>
    <i r="3">
      <x v="16"/>
      <x/>
      <x v="1"/>
      <x v="1"/>
    </i>
    <i r="3">
      <x v="17"/>
      <x/>
      <x/>
      <x/>
    </i>
    <i r="1">
      <x v="10"/>
      <x v="1"/>
      <x v="22"/>
      <x/>
      <x/>
      <x/>
    </i>
    <i r="1">
      <x v="11"/>
      <x v="1"/>
      <x v="23"/>
      <x/>
      <x v="2"/>
      <x v="1"/>
    </i>
    <i r="1">
      <x v="12"/>
      <x v="1"/>
      <x v="24"/>
      <x/>
      <x v="2"/>
      <x v="1"/>
    </i>
    <i r="3">
      <x v="25"/>
      <x/>
      <x v="2"/>
      <x v="1"/>
    </i>
    <i r="3">
      <x v="26"/>
      <x/>
      <x v="2"/>
      <x v="1"/>
    </i>
    <i r="3">
      <x v="27"/>
      <x/>
      <x v="2"/>
      <x v="1"/>
    </i>
    <i r="1">
      <x v="13"/>
      <x v="1"/>
      <x v="28"/>
      <x/>
      <x/>
      <x/>
    </i>
    <i r="3">
      <x v="29"/>
      <x/>
      <x/>
      <x/>
    </i>
    <i r="1">
      <x v="15"/>
      <x v="1"/>
      <x v="32"/>
      <x/>
      <x v="2"/>
      <x v="1"/>
    </i>
    <i r="3">
      <x v="33"/>
      <x/>
      <x v="2"/>
      <x v="1"/>
    </i>
    <i r="3">
      <x v="34"/>
      <x/>
      <x v="2"/>
      <x v="1"/>
    </i>
    <i r="1">
      <x v="16"/>
      <x v="1"/>
      <x v="35"/>
      <x/>
      <x v="2"/>
      <x v="1"/>
    </i>
    <i r="1">
      <x v="17"/>
      <x v="1"/>
      <x v="36"/>
      <x/>
      <x v="2"/>
      <x v="1"/>
    </i>
    <i r="3">
      <x v="37"/>
      <x/>
      <x v="1"/>
      <x v="1"/>
    </i>
    <i r="1">
      <x v="18"/>
      <x v="1"/>
      <x v="38"/>
      <x/>
      <x v="1"/>
      <x v="1"/>
    </i>
    <i r="3">
      <x v="39"/>
      <x/>
      <x/>
      <x/>
    </i>
    <i r="1">
      <x v="19"/>
      <x v="1"/>
      <x v="41"/>
      <x/>
      <x v="2"/>
      <x v="1"/>
    </i>
    <i r="1">
      <x v="20"/>
      <x v="1"/>
      <x v="43"/>
      <x/>
      <x v="1"/>
      <x v="1"/>
    </i>
    <i r="1">
      <x v="21"/>
      <x v="1"/>
      <x v="45"/>
      <x/>
      <x/>
      <x/>
    </i>
    <i r="3">
      <x v="46"/>
      <x/>
      <x/>
      <x/>
    </i>
    <i r="1">
      <x v="22"/>
      <x v="1"/>
      <x v="47"/>
      <x/>
      <x/>
      <x/>
    </i>
    <i r="1">
      <x v="23"/>
      <x v="1"/>
      <x v="48"/>
      <x/>
      <x v="2"/>
      <x v="1"/>
    </i>
    <i r="1">
      <x v="25"/>
      <x v="1"/>
      <x v="50"/>
      <x/>
      <x v="2"/>
      <x v="1"/>
    </i>
    <i r="3">
      <x v="51"/>
      <x/>
      <x/>
      <x/>
    </i>
    <i r="1">
      <x v="27"/>
      <x v="1"/>
      <x v="53"/>
      <x/>
      <x v="4"/>
      <x/>
    </i>
    <i r="3">
      <x v="55"/>
      <x/>
      <x v="4"/>
      <x/>
    </i>
    <i r="1">
      <x v="28"/>
      <x v="1"/>
      <x v="56"/>
      <x/>
      <x v="2"/>
      <x v="1"/>
    </i>
    <i r="1">
      <x v="29"/>
      <x v="1"/>
      <x v="57"/>
      <x/>
      <x v="4"/>
      <x/>
    </i>
    <i r="3">
      <x v="58"/>
      <x/>
      <x v="4"/>
      <x/>
    </i>
    <i r="1">
      <x v="30"/>
      <x v="1"/>
      <x v="60"/>
      <x/>
      <x v="4"/>
      <x/>
    </i>
    <i r="1">
      <x v="31"/>
      <x v="1"/>
      <x v="61"/>
      <x/>
      <x v="4"/>
      <x/>
    </i>
    <i r="1">
      <x v="32"/>
      <x v="1"/>
      <x v="63"/>
      <x/>
      <x v="4"/>
      <x/>
    </i>
    <i r="1">
      <x v="33"/>
      <x v="1"/>
      <x v="64"/>
      <x/>
      <x v="4"/>
      <x/>
    </i>
    <i r="3">
      <x v="66"/>
      <x/>
      <x v="4"/>
      <x/>
    </i>
    <i r="1">
      <x v="34"/>
      <x v="1"/>
      <x v="67"/>
      <x/>
      <x v="2"/>
      <x v="1"/>
    </i>
    <i r="1">
      <x v="35"/>
      <x v="1"/>
      <x v="69"/>
      <x/>
      <x v="2"/>
      <x v="1"/>
    </i>
    <i r="1">
      <x v="37"/>
      <x v="1"/>
      <x v="74"/>
      <x/>
      <x v="4"/>
      <x/>
    </i>
    <i r="3">
      <x v="76"/>
      <x/>
      <x v="4"/>
      <x/>
    </i>
    <i r="3">
      <x v="77"/>
      <x/>
      <x v="4"/>
      <x/>
    </i>
    <i r="1">
      <x v="38"/>
      <x v="1"/>
      <x v="78"/>
      <x/>
      <x v="2"/>
      <x v="1"/>
    </i>
    <i r="3">
      <x v="79"/>
      <x/>
      <x v="2"/>
      <x v="1"/>
    </i>
    <i r="3">
      <x v="80"/>
      <x/>
      <x v="2"/>
      <x v="1"/>
    </i>
    <i r="3">
      <x v="81"/>
      <x/>
      <x v="2"/>
      <x v="1"/>
    </i>
    <i r="1">
      <x v="39"/>
      <x v="1"/>
      <x v="82"/>
      <x/>
      <x v="4"/>
      <x/>
    </i>
    <i r="1">
      <x v="40"/>
      <x v="1"/>
      <x v="86"/>
      <x/>
      <x v="4"/>
      <x/>
    </i>
    <i r="3">
      <x v="87"/>
      <x/>
      <x v="4"/>
      <x/>
    </i>
    <i r="1">
      <x v="41"/>
      <x v="1"/>
      <x v="88"/>
      <x/>
      <x v="2"/>
      <x v="1"/>
    </i>
    <i r="3">
      <x v="89"/>
      <x/>
      <x v="2"/>
      <x v="1"/>
    </i>
    <i r="1">
      <x v="42"/>
      <x v="1"/>
      <x v="90"/>
      <x/>
      <x v="4"/>
      <x/>
    </i>
    <i r="3">
      <x v="92"/>
      <x/>
      <x v="4"/>
      <x/>
    </i>
    <i r="1">
      <x v="43"/>
      <x v="1"/>
      <x v="94"/>
      <x/>
      <x v="4"/>
      <x/>
    </i>
    <i r="1">
      <x v="44"/>
      <x v="1"/>
      <x v="95"/>
      <x/>
      <x v="4"/>
      <x/>
    </i>
    <i r="3">
      <x v="96"/>
      <x/>
      <x v="4"/>
      <x/>
    </i>
    <i r="3">
      <x v="97"/>
      <x/>
      <x v="4"/>
      <x/>
    </i>
    <i r="3">
      <x v="99"/>
      <x/>
      <x v="4"/>
      <x/>
    </i>
    <i r="3">
      <x v="100"/>
      <x/>
      <x v="4"/>
      <x/>
    </i>
    <i r="1">
      <x v="45"/>
      <x v="1"/>
      <x v="102"/>
      <x/>
      <x v="2"/>
      <x v="1"/>
    </i>
    <i r="1">
      <x v="47"/>
      <x v="1"/>
      <x v="105"/>
      <x/>
      <x v="4"/>
      <x/>
    </i>
    <i r="1">
      <x v="48"/>
      <x v="1"/>
      <x v="107"/>
      <x/>
      <x v="4"/>
      <x/>
    </i>
    <i r="1">
      <x v="49"/>
      <x/>
      <x v="108"/>
      <x v="1"/>
      <x v="5"/>
      <x v="2"/>
    </i>
    <i r="1">
      <x v="50"/>
      <x v="1"/>
      <x v="109"/>
      <x/>
      <x v="4"/>
      <x/>
    </i>
    <i r="3">
      <x v="110"/>
      <x/>
      <x v="2"/>
      <x v="1"/>
    </i>
    <i r="1">
      <x v="51"/>
      <x v="1"/>
      <x v="111"/>
      <x/>
      <x v="2"/>
      <x v="1"/>
    </i>
    <i r="1">
      <x v="52"/>
      <x v="1"/>
      <x v="112"/>
      <x/>
      <x v="4"/>
      <x/>
    </i>
    <i r="3">
      <x v="113"/>
      <x/>
      <x v="4"/>
      <x/>
    </i>
    <i r="3">
      <x v="114"/>
      <x/>
      <x v="2"/>
      <x v="1"/>
    </i>
    <i r="3">
      <x v="115"/>
      <x/>
      <x v="4"/>
      <x/>
    </i>
    <i r="3">
      <x v="117"/>
      <x/>
      <x v="2"/>
      <x v="1"/>
    </i>
    <i r="1">
      <x v="53"/>
      <x v="1"/>
      <x v="118"/>
      <x/>
      <x v="4"/>
      <x/>
    </i>
    <i r="3">
      <x v="120"/>
      <x/>
      <x v="4"/>
      <x/>
    </i>
    <i r="1">
      <x v="54"/>
      <x v="1"/>
      <x v="121"/>
      <x/>
      <x v="2"/>
      <x v="1"/>
    </i>
    <i r="3">
      <x v="122"/>
      <x/>
      <x v="4"/>
      <x/>
    </i>
    <i r="1">
      <x v="55"/>
      <x v="1"/>
      <x v="123"/>
      <x/>
      <x v="2"/>
      <x v="1"/>
    </i>
    <i r="3">
      <x v="124"/>
      <x/>
      <x v="2"/>
      <x v="1"/>
    </i>
    <i t="default">
      <x v="1"/>
    </i>
    <i t="grand">
      <x/>
    </i>
  </rowItems>
  <colItems count="1">
    <i/>
  </colItems>
  <pageFields count="7">
    <pageField fld="0" hier="10" name="[Approp].[Approp].&amp;[028701]" cap="028701"/>
    <pageField fld="1" hier="51" name="[Dept].[Dept].&amp;[01A]" cap="01A"/>
    <pageField fld="2" hier="86" name="[Fund].[Fund].&amp;[014]" cap="014"/>
    <pageField fld="3" hier="1" name="[Accounting Period].[Acct Period Hierarchy].[Fisc Yr].&amp;[2023]" cap="2023"/>
    <pageField fld="14" hier="148" name="[Posting Code].[Financial Category].&amp;[EXPENSE]" cap="EXPENSE"/>
    <pageField fld="9" hier="125" name="[Object].[Object Class].&amp;[2]" cap="2"/>
    <pageField fld="8" hier="126" name="[Object].[Object Group].&amp;[40]" cap="40"/>
  </pageFields>
  <dataFields count="1">
    <dataField fld="16" baseField="0" baseItem="0"/>
  </dataFields>
  <formats count="1">
    <format dxfId="309">
      <pivotArea dataOnly="0" outline="0" fieldPosition="0">
        <references count="1">
          <reference field="10" count="0" defaultSubtotal="1"/>
        </references>
      </pivotArea>
    </format>
  </formats>
  <pivotHierarchies count="346">
    <pivotHierarchy/>
    <pivotHierarchy>
      <mps count="2">
        <mp field="6"/>
        <mp field="7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embers count="87" level="1">
        <member name=""/>
        <member name=""/>
        <member name="[Documents].[Doc Cd].&amp;[CT]"/>
        <member name="[Documents].[Doc Cd].&amp;[DC]"/>
        <member name="[Documents].[Doc Cd].&amp;[DO]"/>
        <member name="[Documents].[Doc Cd].&amp;[EV]"/>
        <member name="[Documents].[Doc Cd].&amp;[FA]"/>
        <member name="[Documents].[Doc Cd].&amp;[FC]"/>
        <member name="[Documents].[Doc Cd].&amp;[FD]"/>
        <member name="[Documents].[Doc Cd].&amp;[FE]"/>
        <member name="[Documents].[Doc Cd].&amp;[FI]"/>
        <member name="[Documents].[Doc Cd].&amp;[FM]"/>
        <member name="[Documents].[Doc Cd].&amp;[FP]"/>
        <member name="[Documents].[Doc Cd].&amp;[FT]"/>
        <member name="[Documents].[Doc Cd].&amp;[FX]"/>
        <member name="[Documents].[Doc Cd].&amp;[GR]"/>
        <member name="[Documents].[Doc Cd].&amp;[IN]"/>
        <member name="[Documents].[Doc Cd].&amp;[IT]"/>
        <member name="[Documents].[Doc Cd].&amp;[JV]"/>
        <member name="[Documents].[Doc Cd].&amp;[MA]"/>
        <member name="[Documents].[Doc Cd].&amp;[PE]"/>
        <member name="[Documents].[Doc Cd].&amp;[PO]"/>
        <member name="[Documents].[Doc Cd].&amp;[RC]"/>
        <member name=""/>
        <member name="[Documents].[Doc Cd].&amp;[RN]"/>
        <member name="[Documents].[Doc Cd].&amp;[SR]"/>
        <member name="[Documents].[Doc Cd].&amp;[TM]"/>
        <member name="[Documents].[Doc Cd].&amp;[UR]"/>
        <member name="[Documents].[Doc Cd].&amp;[WO]"/>
        <member name="[Documents].[Doc Cd].&amp;[BAC]"/>
        <member name="[Documents].[Doc Cd].&amp;[BPO]"/>
        <member name="[Documents].[Doc Cd].&amp;[CAS]"/>
        <member name="[Documents].[Doc Cd].&amp;[CEC]"/>
        <member name="[Documents].[Doc Cd].&amp;[CTB]"/>
        <member name="[Documents].[Doc Cd].&amp;[CTI]"/>
        <member name="[Documents].[Doc Cd].&amp;[CTM]"/>
        <member name="[Documents].[Doc Cd].&amp;[CTP]"/>
        <member name="[Documents].[Doc Cd].&amp;[GAE]"/>
        <member name=""/>
        <member name="[Documents].[Doc Cd].&amp;[GFO]"/>
        <member name=""/>
        <member name="[Documents].[Doc Cd].&amp;[IRM]"/>
        <member name="[Documents].[Doc Cd].&amp;[JVA]"/>
        <member name="[Documents].[Doc Cd].&amp;[JVC]"/>
        <member name="[Documents].[Doc Cd].&amp;[MAW]"/>
        <member name=""/>
        <member name="[Documents].[Doc Cd].&amp;[PRM]"/>
        <member name="[Documents].[Doc Cd].&amp;[PRN]"/>
        <member name="[Documents].[Doc Cd].&amp;[PRW]"/>
        <member name="[Documents].[Doc Cd].&amp;[PRX]"/>
        <member name="[Documents].[Doc Cd].&amp;[REM]"/>
        <member name="[Documents].[Doc Cd].&amp;[RES]"/>
        <member name="[Documents].[Doc Cd].&amp;[RFQ]"/>
        <member name="[Documents].[Doc Cd].&amp;[RQA]"/>
        <member name="[Documents].[Doc Cd].&amp;[RQN]"/>
        <member name="[Documents].[Doc Cd].&amp;[RQS]"/>
        <member name="[Documents].[Doc Cd].&amp;[SSB]"/>
        <member name="[Documents].[Doc Cd].&amp;[TRF]"/>
        <member name="[Documents].[Doc Cd].&amp;[VCC]"/>
        <member name="[Documents].[Doc Cd].&amp;[VCM]"/>
        <member name="[Documents].[Doc Cd].&amp;[ZBA]"/>
        <member name="[Documents].[Doc Cd].&amp;[ABDL]"/>
        <member name="[Documents].[Doc Cd].&amp;[ABSJ]"/>
        <member name="[Documents].[Doc Cd].&amp;[BGCA]"/>
        <member name="[Documents].[Doc Cd].&amp;[CBDL]"/>
        <member name="[Documents].[Doc Cd].&amp;[COAJ]"/>
        <member name="[Documents].[Doc Cd].&amp;[CRAJ]"/>
        <member name=""/>
        <member name="[Documents].[Doc Cd].&amp;[CREF]"/>
        <member name="[Documents].[Doc Cd].&amp;[CRNG]"/>
        <member name="[Documents].[Doc Cd].&amp;[CRPM]"/>
        <member name="[Documents].[Doc Cd].&amp;[CRRT]"/>
        <member name="[Documents].[Doc Cd].&amp;[CTMV]"/>
        <member name="[Documents].[Doc Cd].&amp;[GAEC]"/>
        <member name="[Documents].[Doc Cd].&amp;[GAIP]"/>
        <member name="[Documents].[Doc Cd].&amp;[GASA]"/>
        <member name="[Documents].[Doc Cd].&amp;[GASE]"/>
        <member name=""/>
        <member name="[Documents].[Doc Cd].&amp;[JVAC]"/>
        <member name="[Documents].[Doc Cd].&amp;[PAJV]"/>
        <member name="[Documents].[Doc Cd].&amp;[BGPDR]"/>
        <member name="[Documents].[Doc Cd].&amp;[BGPHR]"/>
        <member name="[Documents].[Doc Cd].&amp;[INVSS]"/>
        <member name="[Documents].[Doc Cd].&amp;[M1099]"/>
        <member name="[Documents].[Doc Cd].&amp;[CRCCPM]"/>
        <member name="[Documents].[Doc Cd].&amp;[CREFPM]"/>
        <member name="[Documents].[Doc Cd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7">
    <rowHierarchyUsage hierarchyUsage="124"/>
    <rowHierarchyUsage hierarchyUsage="0"/>
    <rowHierarchyUsage hierarchyUsage="68"/>
    <rowHierarchyUsage hierarchyUsage="74"/>
    <rowHierarchyUsage hierarchyUsage="177"/>
    <rowHierarchyUsage hierarchyUsage="179"/>
    <rowHierarchyUsage hierarchyUsage="236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fieldListSortAscending="1">
  <location ref="A7:S26" firstHeaderRow="1" firstDataRow="2" firstDataCol="2" rowPageCount="5" colPageCount="1"/>
  <pivotFields count="9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allDrilled="1" outline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2">
    <field x="4"/>
    <field x="5"/>
  </rowFields>
  <rowItems count="18">
    <i>
      <x/>
      <x v="9"/>
    </i>
    <i>
      <x v="1"/>
      <x v="15"/>
    </i>
    <i>
      <x v="2"/>
      <x v="11"/>
    </i>
    <i>
      <x v="3"/>
      <x v="6"/>
    </i>
    <i>
      <x v="4"/>
      <x v="12"/>
    </i>
    <i>
      <x v="5"/>
      <x v="13"/>
    </i>
    <i>
      <x v="6"/>
      <x v="14"/>
    </i>
    <i>
      <x v="7"/>
      <x v="7"/>
    </i>
    <i>
      <x v="8"/>
      <x v="3"/>
    </i>
    <i>
      <x v="9"/>
      <x v="8"/>
    </i>
    <i>
      <x v="10"/>
      <x v="16"/>
    </i>
    <i>
      <x v="11"/>
      <x v="2"/>
    </i>
    <i>
      <x v="12"/>
      <x/>
    </i>
    <i>
      <x v="13"/>
      <x v="1"/>
    </i>
    <i>
      <x v="14"/>
      <x v="10"/>
    </i>
    <i>
      <x v="15"/>
      <x v="4"/>
    </i>
    <i>
      <x v="16"/>
      <x v="5"/>
    </i>
    <i t="grand">
      <x/>
    </i>
  </rowItems>
  <colFields count="1">
    <field x="3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pageFields count="5">
    <pageField fld="0" hier="148" name="[Posting Code].[Financial Category].&amp;[REVENUE]" cap="REVENUE"/>
    <pageField fld="1" hier="10" name="[Approp].[Approp].&amp;[028701]" cap="028701"/>
    <pageField fld="2" hier="86" name="[Fund].[Fund].&amp;[014]" cap="014"/>
    <pageField fld="7" hier="144" name="[Posting Code].[Bucket].&amp;[0]" cap=""/>
    <pageField fld="8" hier="226" name="[Unit].[Unit].&amp;[4003]" cap="4003"/>
  </pageFields>
  <dataFields count="1">
    <dataField fld="6" baseField="0" baseItem="0" numFmtId="43"/>
  </dataFields>
  <formats count="11">
    <format dxfId="262">
      <pivotArea field="0" type="button" dataOnly="0" labelOnly="1" outline="0" axis="axisPage" fieldPosition="0"/>
    </format>
    <format dxfId="261">
      <pivotArea dataOnly="0" labelOnly="1" outline="0" fieldPosition="0">
        <references count="1">
          <reference field="0" count="0"/>
        </references>
      </pivotArea>
    </format>
    <format dxfId="260">
      <pivotArea field="1" type="button" dataOnly="0" labelOnly="1" outline="0" axis="axisPage" fieldPosition="1"/>
    </format>
    <format dxfId="259">
      <pivotArea dataOnly="0" labelOnly="1" outline="0" fieldPosition="0">
        <references count="1">
          <reference field="1" count="0"/>
        </references>
      </pivotArea>
    </format>
    <format dxfId="258">
      <pivotArea field="2" type="button" dataOnly="0" labelOnly="1" outline="0" axis="axisPage" fieldPosition="2"/>
    </format>
    <format dxfId="257">
      <pivotArea dataOnly="0" labelOnly="1" outline="0" fieldPosition="0">
        <references count="1">
          <reference field="2" count="0"/>
        </references>
      </pivotArea>
    </format>
    <format dxfId="256">
      <pivotArea outline="0" collapsedLevelsAreSubtotals="1" fieldPosition="0"/>
    </format>
    <format dxfId="255">
      <pivotArea field="3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fieldPosition="0">
        <references count="1">
          <reference field="3" count="0"/>
        </references>
      </pivotArea>
    </format>
    <format dxfId="252">
      <pivotArea dataOnly="0" labelOnly="1" grandCol="1" outline="0" fieldPosition="0"/>
    </format>
  </formats>
  <pivotHierarchies count="34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31" level="1">
        <member name="[Posting Code].[Bucket].&amp;[0]"/>
        <member name="[Posting Code].[Bucket].&amp;[1]"/>
        <member name="[Posting Code].[Bucket].&amp;[2]"/>
        <member name="[Posting Code].[Bucket].&amp;[3]"/>
        <member name="[Posting Code].[Bucket].&amp;[4]"/>
        <member name="[Posting Code].[Bucket].&amp;[8]"/>
        <member name="[Posting Code].[Bucket].&amp;[9]"/>
        <member name="[Posting Code].[Bucket].&amp;[10]"/>
        <member name="[Posting Code].[Bucket].&amp;[12]"/>
        <member name="[Posting Code].[Bucket].&amp;[13]"/>
        <member name="[Posting Code].[Bucket].&amp;[14]"/>
        <member name="[Posting Code].[Bucket].&amp;[15]"/>
        <member name="[Posting Code].[Bucket].&amp;[18]"/>
        <member name="[Posting Code].[Bucket].&amp;[19]"/>
        <member name="[Posting Code].[Bucket].&amp;[20]"/>
        <member name="[Posting Code].[Bucket].&amp;[21]"/>
        <member name="[Posting Code].[Bucket].&amp;[23]"/>
        <member name="[Posting Code].[Bucket].&amp;[24]"/>
        <member name="[Posting Code].[Bucket].&amp;[25]"/>
        <member name="[Posting Code].[Bucket].&amp;[26]"/>
        <member name="[Posting Code].[Bucket].&amp;[28]"/>
        <member name="[Posting Code].[Bucket].&amp;[29]"/>
        <member name="[Posting Code].[Bucket].&amp;[30]"/>
        <member name="[Posting Code].[Bucket].&amp;[31]"/>
        <member name="[Posting Code].[Bucket].&amp;[32]"/>
        <member name="[Posting Code].[Bucket].&amp;[35]"/>
        <member name="[Posting Code].[Bucket].&amp;[36]"/>
        <member name="[Posting Code].[Bucket].&amp;[37]"/>
        <member name="[Posting Code].[Bucket].&amp;[45]"/>
        <member name="[Posting Code].[Bucket].&amp;[90]"/>
        <member name="[Posting Code].[Bucke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6"/>
    <rowHierarchyUsage hierarchyUsage="201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printerSettings" Target="../printerSettings/printerSettings6.bin"/><Relationship Id="rId4" Type="http://schemas.openxmlformats.org/officeDocument/2006/relationships/pivotTable" Target="../pivotTables/pivotTable1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2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3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5" Type="http://schemas.openxmlformats.org/officeDocument/2006/relationships/printerSettings" Target="../printerSettings/printerSettings8.bin"/><Relationship Id="rId4" Type="http://schemas.openxmlformats.org/officeDocument/2006/relationships/pivotTable" Target="../pivotTables/pivotTable2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7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5" Type="http://schemas.openxmlformats.org/officeDocument/2006/relationships/printerSettings" Target="../printerSettings/printerSettings9.bin"/><Relationship Id="rId4" Type="http://schemas.openxmlformats.org/officeDocument/2006/relationships/pivotTable" Target="../pivotTables/pivotTable2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1.xml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Relationship Id="rId5" Type="http://schemas.openxmlformats.org/officeDocument/2006/relationships/printerSettings" Target="../printerSettings/printerSettings10.bin"/><Relationship Id="rId4" Type="http://schemas.openxmlformats.org/officeDocument/2006/relationships/pivotTable" Target="../pivotTables/pivotTable3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5.xml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5" Type="http://schemas.openxmlformats.org/officeDocument/2006/relationships/printerSettings" Target="../printerSettings/printerSettings11.bin"/><Relationship Id="rId4" Type="http://schemas.openxmlformats.org/officeDocument/2006/relationships/pivotTable" Target="../pivotTables/pivotTable3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40855-BB8E-4AD6-9510-A85D9A40D9E9}">
  <sheetPr>
    <tabColor theme="2" tint="-0.249977111117893"/>
    <pageSetUpPr fitToPage="1"/>
  </sheetPr>
  <dimension ref="A1:AC109"/>
  <sheetViews>
    <sheetView tabSelected="1" zoomScale="115" zoomScaleNormal="115" workbookViewId="0">
      <pane xSplit="2" ySplit="7" topLeftCell="O8" activePane="bottomRight" state="frozen"/>
      <selection activeCell="AT5" sqref="AT5"/>
      <selection pane="topRight" activeCell="AT5" sqref="AT5"/>
      <selection pane="bottomLeft" activeCell="AT5" sqref="AT5"/>
      <selection pane="bottomRight" activeCell="B3" sqref="B3"/>
    </sheetView>
  </sheetViews>
  <sheetFormatPr defaultColWidth="9.1796875" defaultRowHeight="14.5" x14ac:dyDescent="0.35"/>
  <cols>
    <col min="1" max="1" width="15" style="169" bestFit="1" customWidth="1"/>
    <col min="2" max="2" width="80.7265625" bestFit="1" customWidth="1"/>
    <col min="3" max="12" width="14.7265625" style="5" hidden="1" customWidth="1"/>
    <col min="13" max="13" width="28.7265625" style="5" hidden="1" customWidth="1"/>
    <col min="14" max="14" width="37.26953125" style="5" hidden="1" customWidth="1"/>
    <col min="15" max="15" width="14.7265625" style="12" bestFit="1" customWidth="1"/>
    <col min="16" max="16" width="2.1796875" style="183" customWidth="1"/>
    <col min="17" max="17" width="15.453125" bestFit="1" customWidth="1"/>
    <col min="18" max="18" width="15.453125" customWidth="1"/>
    <col min="19" max="19" width="16.26953125" bestFit="1" customWidth="1"/>
    <col min="20" max="20" width="14.54296875" bestFit="1" customWidth="1"/>
    <col min="21" max="21" width="12.7265625" bestFit="1" customWidth="1"/>
    <col min="22" max="22" width="11" bestFit="1" customWidth="1"/>
    <col min="23" max="23" width="4" customWidth="1"/>
    <col min="25" max="25" width="20.54296875" customWidth="1"/>
    <col min="26" max="29" width="12.453125" bestFit="1" customWidth="1"/>
  </cols>
  <sheetData>
    <row r="1" spans="1:29" ht="21" x14ac:dyDescent="0.5">
      <c r="A1" s="191" t="s">
        <v>131</v>
      </c>
      <c r="B1" s="192"/>
      <c r="C1" s="193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2"/>
      <c r="R1" s="192"/>
      <c r="S1" s="192"/>
    </row>
    <row r="2" spans="1:29" ht="21" x14ac:dyDescent="0.5">
      <c r="A2" s="191" t="s">
        <v>132</v>
      </c>
      <c r="B2" s="192"/>
      <c r="C2" s="193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2"/>
      <c r="R2" s="192"/>
      <c r="S2" s="192"/>
    </row>
    <row r="3" spans="1:29" ht="21" x14ac:dyDescent="0.5">
      <c r="A3" s="191" t="s">
        <v>679</v>
      </c>
      <c r="B3" s="192"/>
      <c r="C3" s="193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2"/>
      <c r="R3" s="192"/>
      <c r="S3" s="192"/>
    </row>
    <row r="4" spans="1:29" ht="21" x14ac:dyDescent="0.5">
      <c r="A4" s="191" t="s">
        <v>703</v>
      </c>
      <c r="B4" s="192"/>
      <c r="C4" s="193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2"/>
      <c r="R4" s="192"/>
      <c r="S4" s="192"/>
    </row>
    <row r="5" spans="1:29" s="42" customFormat="1" x14ac:dyDescent="0.35">
      <c r="A5" s="39"/>
      <c r="C5" s="170">
        <v>44743</v>
      </c>
      <c r="D5" s="170">
        <v>44774</v>
      </c>
      <c r="E5" s="170">
        <v>44805</v>
      </c>
      <c r="F5" s="170">
        <v>44835</v>
      </c>
      <c r="G5" s="170">
        <v>44866</v>
      </c>
      <c r="H5" s="170">
        <v>44896</v>
      </c>
      <c r="I5" s="170">
        <v>44927</v>
      </c>
      <c r="J5" s="170">
        <v>44958</v>
      </c>
      <c r="K5" s="170">
        <v>44986</v>
      </c>
      <c r="L5" s="170">
        <v>45017</v>
      </c>
      <c r="M5" s="170">
        <v>45047</v>
      </c>
      <c r="N5" s="170">
        <v>45078</v>
      </c>
      <c r="O5" s="171"/>
      <c r="P5" s="48"/>
    </row>
    <row r="6" spans="1:29" s="19" customFormat="1" ht="15.5" x14ac:dyDescent="0.35">
      <c r="A6" s="15"/>
      <c r="C6" s="201" t="s">
        <v>670</v>
      </c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172"/>
      <c r="P6" s="49"/>
    </row>
    <row r="7" spans="1:29" s="19" customFormat="1" ht="31" x14ac:dyDescent="0.35">
      <c r="A7" s="173"/>
      <c r="C7" s="174">
        <v>44743</v>
      </c>
      <c r="D7" s="174">
        <v>44774</v>
      </c>
      <c r="E7" s="174">
        <v>44805</v>
      </c>
      <c r="F7" s="174">
        <v>44835</v>
      </c>
      <c r="G7" s="174">
        <v>44866</v>
      </c>
      <c r="H7" s="174">
        <v>44896</v>
      </c>
      <c r="I7" s="174">
        <v>44927</v>
      </c>
      <c r="J7" s="174">
        <v>44958</v>
      </c>
      <c r="K7" s="174">
        <v>44986</v>
      </c>
      <c r="L7" s="174">
        <v>45017</v>
      </c>
      <c r="M7" s="174">
        <v>45047</v>
      </c>
      <c r="N7" s="174">
        <v>45078</v>
      </c>
      <c r="O7" s="175" t="s">
        <v>677</v>
      </c>
      <c r="P7" s="49"/>
      <c r="Q7" s="176" t="s">
        <v>659</v>
      </c>
      <c r="R7" s="176" t="s">
        <v>660</v>
      </c>
      <c r="S7" s="176" t="s">
        <v>661</v>
      </c>
    </row>
    <row r="8" spans="1:29" s="18" customFormat="1" ht="15.5" x14ac:dyDescent="0.35">
      <c r="A8" s="14"/>
      <c r="B8" s="18" t="s">
        <v>49</v>
      </c>
      <c r="C8" s="18">
        <v>2082379.1399999992</v>
      </c>
      <c r="D8" s="18">
        <f t="shared" ref="D8:N8" ca="1" si="0">IF(TODAY()&gt;=D5,C72,0)</f>
        <v>1961483.0899999992</v>
      </c>
      <c r="E8" s="18">
        <f t="shared" ca="1" si="0"/>
        <v>1791676.8099999991</v>
      </c>
      <c r="F8" s="18">
        <f t="shared" ca="1" si="0"/>
        <v>1600234.1399999992</v>
      </c>
      <c r="G8" s="18">
        <f t="shared" ca="1" si="0"/>
        <v>1485352.1799999992</v>
      </c>
      <c r="H8" s="18">
        <f t="shared" ca="1" si="0"/>
        <v>1550435.2199999993</v>
      </c>
      <c r="I8" s="18">
        <f t="shared" ca="1" si="0"/>
        <v>2252212.3899999997</v>
      </c>
      <c r="J8" s="18">
        <f t="shared" ca="1" si="0"/>
        <v>2263610.9999999995</v>
      </c>
      <c r="K8" s="18">
        <f t="shared" ca="1" si="0"/>
        <v>2198410.0999999996</v>
      </c>
      <c r="L8" s="18">
        <f t="shared" ca="1" si="0"/>
        <v>2316927.5399999996</v>
      </c>
      <c r="M8" s="18">
        <f t="shared" ca="1" si="0"/>
        <v>2207009.7299999995</v>
      </c>
      <c r="N8" s="18">
        <f t="shared" ca="1" si="0"/>
        <v>1872486.8390554995</v>
      </c>
      <c r="P8" s="37"/>
      <c r="Q8" s="18">
        <f>+O72</f>
        <v>1754990.6214954995</v>
      </c>
      <c r="R8" s="18">
        <f>+Q72</f>
        <v>1938347.9057359495</v>
      </c>
      <c r="S8" s="18">
        <f>+R72</f>
        <v>2063724.3323999997</v>
      </c>
    </row>
    <row r="9" spans="1:29" s="19" customFormat="1" ht="15.5" x14ac:dyDescent="0.35">
      <c r="A9" s="15"/>
      <c r="B9" s="17" t="s">
        <v>704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18"/>
      <c r="P9" s="49"/>
      <c r="Q9" s="14">
        <f>Q31-Q68</f>
        <v>183357.28424045024</v>
      </c>
      <c r="R9" s="14">
        <f t="shared" ref="R9:S9" si="1">R31-R68</f>
        <v>125376.4266640502</v>
      </c>
      <c r="S9" s="14">
        <f t="shared" si="1"/>
        <v>66670.345898086438</v>
      </c>
      <c r="X9" s="19" t="s">
        <v>691</v>
      </c>
    </row>
    <row r="10" spans="1:29" s="19" customFormat="1" ht="15.5" x14ac:dyDescent="0.35">
      <c r="A10" s="7" t="s">
        <v>0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18"/>
      <c r="P10" s="49"/>
      <c r="AA10" s="194" t="s">
        <v>685</v>
      </c>
      <c r="AB10" s="197"/>
      <c r="AC10" s="197"/>
    </row>
    <row r="11" spans="1:29" s="19" customFormat="1" ht="15.5" x14ac:dyDescent="0.35">
      <c r="A11" s="23" t="s">
        <v>115</v>
      </c>
      <c r="B11" s="19" t="s">
        <v>116</v>
      </c>
      <c r="C11" s="25">
        <v>19200</v>
      </c>
      <c r="D11" s="25">
        <v>11520</v>
      </c>
      <c r="E11" s="25">
        <v>10560</v>
      </c>
      <c r="F11" s="25">
        <v>11360</v>
      </c>
      <c r="G11" s="25">
        <v>185120</v>
      </c>
      <c r="H11" s="25">
        <v>812640</v>
      </c>
      <c r="I11" s="25">
        <v>180960</v>
      </c>
      <c r="J11" s="25">
        <v>92800</v>
      </c>
      <c r="K11" s="25">
        <v>291040</v>
      </c>
      <c r="L11" s="25">
        <v>41600</v>
      </c>
      <c r="M11" s="25">
        <v>36000</v>
      </c>
      <c r="N11" s="177">
        <v>34080</v>
      </c>
      <c r="O11" s="18">
        <f>SUM(C11:N11)</f>
        <v>1726880</v>
      </c>
      <c r="P11" s="49"/>
      <c r="Q11" s="178">
        <f>215*11459</f>
        <v>2463685</v>
      </c>
      <c r="R11" s="178">
        <f>215*11459</f>
        <v>2463685</v>
      </c>
      <c r="S11" s="178">
        <f>215*11459</f>
        <v>2463685</v>
      </c>
      <c r="T11" s="19" t="s">
        <v>702</v>
      </c>
      <c r="Y11" s="19" t="s">
        <v>683</v>
      </c>
      <c r="Z11" s="194">
        <v>2023</v>
      </c>
      <c r="AA11" s="194">
        <v>2024</v>
      </c>
      <c r="AB11" s="194">
        <v>2025</v>
      </c>
      <c r="AC11" s="194">
        <v>2026</v>
      </c>
    </row>
    <row r="12" spans="1:29" s="19" customFormat="1" ht="15.5" x14ac:dyDescent="0.35">
      <c r="A12" s="27" t="s">
        <v>18</v>
      </c>
      <c r="B12" s="19" t="s">
        <v>32</v>
      </c>
      <c r="C12" s="25">
        <v>8320</v>
      </c>
      <c r="D12" s="25">
        <v>5420</v>
      </c>
      <c r="E12" s="25">
        <v>4240.0200000000004</v>
      </c>
      <c r="F12" s="25">
        <v>6970</v>
      </c>
      <c r="G12" s="25">
        <v>17440</v>
      </c>
      <c r="H12" s="25">
        <v>35030</v>
      </c>
      <c r="I12" s="25">
        <v>19980</v>
      </c>
      <c r="J12" s="25">
        <v>10675</v>
      </c>
      <c r="K12" s="25">
        <v>12680.01</v>
      </c>
      <c r="L12" s="25">
        <v>13345</v>
      </c>
      <c r="M12" s="25">
        <v>10640</v>
      </c>
      <c r="N12" s="177">
        <v>7450</v>
      </c>
      <c r="O12" s="18">
        <f t="shared" ref="O12:O30" si="2">SUM(C12:N12)</f>
        <v>152190.03</v>
      </c>
      <c r="P12" s="49"/>
      <c r="Q12" s="178">
        <v>155000</v>
      </c>
      <c r="R12" s="178">
        <v>155000</v>
      </c>
      <c r="S12" s="178">
        <v>155000</v>
      </c>
      <c r="T12" s="19" t="s">
        <v>671</v>
      </c>
      <c r="X12" s="180">
        <v>4003</v>
      </c>
      <c r="Y12" s="153" t="s">
        <v>684</v>
      </c>
      <c r="Z12" s="195">
        <v>35000</v>
      </c>
      <c r="AA12" s="195">
        <v>35000</v>
      </c>
      <c r="AB12" s="195">
        <v>35000</v>
      </c>
      <c r="AC12" s="195">
        <v>35000</v>
      </c>
    </row>
    <row r="13" spans="1:29" s="19" customFormat="1" ht="15.5" hidden="1" x14ac:dyDescent="0.35">
      <c r="A13" s="27">
        <v>1959</v>
      </c>
      <c r="B13" s="19" t="s">
        <v>147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18">
        <f t="shared" si="2"/>
        <v>0</v>
      </c>
      <c r="P13" s="49"/>
      <c r="Q13" s="61"/>
      <c r="R13" s="61"/>
      <c r="S13" s="61"/>
      <c r="X13" s="180"/>
      <c r="Y13" s="153"/>
      <c r="AA13" s="195"/>
      <c r="AB13" s="195"/>
      <c r="AC13" s="195"/>
    </row>
    <row r="14" spans="1:29" s="19" customFormat="1" ht="15.5" hidden="1" x14ac:dyDescent="0.35">
      <c r="A14" s="27">
        <v>2206</v>
      </c>
      <c r="B14" s="19" t="s">
        <v>141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18">
        <f t="shared" si="2"/>
        <v>0</v>
      </c>
      <c r="P14" s="49"/>
      <c r="Q14" s="61"/>
      <c r="R14" s="61"/>
      <c r="S14" s="61"/>
      <c r="X14" s="180"/>
      <c r="Y14" s="153"/>
      <c r="AA14" s="195"/>
      <c r="AB14" s="195"/>
      <c r="AC14" s="195"/>
    </row>
    <row r="15" spans="1:29" s="19" customFormat="1" ht="15.5" hidden="1" x14ac:dyDescent="0.35">
      <c r="A15" s="27">
        <v>2631</v>
      </c>
      <c r="B15" s="19" t="s">
        <v>33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18">
        <f t="shared" si="2"/>
        <v>0</v>
      </c>
      <c r="P15" s="49"/>
      <c r="Q15" s="61"/>
      <c r="R15" s="61"/>
      <c r="S15" s="61"/>
      <c r="X15" s="180"/>
      <c r="Y15" s="153"/>
      <c r="AA15" s="195"/>
      <c r="AB15" s="195"/>
      <c r="AC15" s="195"/>
    </row>
    <row r="16" spans="1:29" s="19" customFormat="1" ht="15.5" hidden="1" x14ac:dyDescent="0.35">
      <c r="A16" s="27" t="s">
        <v>19</v>
      </c>
      <c r="B16" s="19" t="s">
        <v>34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18">
        <f t="shared" si="2"/>
        <v>0</v>
      </c>
      <c r="P16" s="49"/>
      <c r="Q16" s="61"/>
      <c r="R16" s="61"/>
      <c r="S16" s="61"/>
      <c r="X16" s="180"/>
      <c r="Y16" s="153"/>
      <c r="AA16" s="195"/>
      <c r="AB16" s="195"/>
      <c r="AC16" s="195"/>
    </row>
    <row r="17" spans="1:29" s="19" customFormat="1" ht="15.5" hidden="1" x14ac:dyDescent="0.35">
      <c r="A17" s="27">
        <v>2651</v>
      </c>
      <c r="B17" s="19" t="s">
        <v>121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18">
        <f t="shared" si="2"/>
        <v>0</v>
      </c>
      <c r="P17" s="49"/>
      <c r="Q17" s="61"/>
      <c r="R17" s="61"/>
      <c r="S17" s="61"/>
      <c r="X17" s="180"/>
      <c r="Y17" s="153"/>
      <c r="AA17" s="195"/>
      <c r="AB17" s="195"/>
      <c r="AC17" s="195"/>
    </row>
    <row r="18" spans="1:29" s="19" customFormat="1" ht="15.5" hidden="1" x14ac:dyDescent="0.35">
      <c r="A18" s="27">
        <v>2669</v>
      </c>
      <c r="B18" s="19" t="s">
        <v>123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18">
        <f t="shared" si="2"/>
        <v>0</v>
      </c>
      <c r="P18" s="49"/>
      <c r="Q18" s="61"/>
      <c r="R18" s="61"/>
      <c r="S18" s="61"/>
      <c r="X18" s="180"/>
      <c r="Y18" s="153"/>
      <c r="AA18" s="195"/>
      <c r="AB18" s="195"/>
      <c r="AC18" s="195"/>
    </row>
    <row r="19" spans="1:29" s="19" customFormat="1" ht="15.5" hidden="1" x14ac:dyDescent="0.35">
      <c r="A19" s="27" t="s">
        <v>20</v>
      </c>
      <c r="B19" s="19" t="s">
        <v>35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18">
        <f t="shared" si="2"/>
        <v>0</v>
      </c>
      <c r="P19" s="49"/>
      <c r="Q19" s="61"/>
      <c r="R19" s="61"/>
      <c r="S19" s="61"/>
      <c r="X19" s="180"/>
      <c r="Y19" s="153"/>
      <c r="AA19" s="195"/>
      <c r="AB19" s="195"/>
      <c r="AC19" s="195"/>
    </row>
    <row r="20" spans="1:29" s="19" customFormat="1" ht="15.5" hidden="1" x14ac:dyDescent="0.35">
      <c r="A20" s="27">
        <v>2681</v>
      </c>
      <c r="B20" s="19" t="s">
        <v>36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18">
        <f t="shared" si="2"/>
        <v>0</v>
      </c>
      <c r="P20" s="49"/>
      <c r="Q20" s="61"/>
      <c r="R20" s="61"/>
      <c r="S20" s="61"/>
      <c r="X20" s="180"/>
      <c r="Y20" s="153"/>
      <c r="AA20" s="195"/>
      <c r="AB20" s="195"/>
      <c r="AC20" s="195"/>
    </row>
    <row r="21" spans="1:29" s="19" customFormat="1" ht="15.5" hidden="1" x14ac:dyDescent="0.35">
      <c r="A21" s="27" t="s">
        <v>22</v>
      </c>
      <c r="B21" s="19" t="s">
        <v>37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18">
        <f t="shared" si="2"/>
        <v>0</v>
      </c>
      <c r="P21" s="49"/>
      <c r="Q21" s="61"/>
      <c r="R21" s="61"/>
      <c r="S21" s="61"/>
      <c r="X21" s="180"/>
      <c r="Y21" s="153"/>
      <c r="AA21" s="195"/>
      <c r="AB21" s="195"/>
      <c r="AC21" s="195"/>
    </row>
    <row r="22" spans="1:29" s="19" customFormat="1" ht="15.5" x14ac:dyDescent="0.35">
      <c r="A22" s="27">
        <v>2690</v>
      </c>
      <c r="B22" s="19" t="s">
        <v>139</v>
      </c>
      <c r="C22" s="25">
        <v>0</v>
      </c>
      <c r="D22" s="25">
        <v>0</v>
      </c>
      <c r="E22" s="25">
        <v>0</v>
      </c>
      <c r="F22" s="25">
        <v>100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18">
        <f t="shared" si="2"/>
        <v>100</v>
      </c>
      <c r="P22" s="49"/>
      <c r="Q22" s="61"/>
      <c r="R22" s="61"/>
      <c r="S22" s="61"/>
      <c r="X22" s="180" t="s">
        <v>697</v>
      </c>
      <c r="Y22" s="153" t="s">
        <v>686</v>
      </c>
      <c r="Z22" s="195">
        <v>10310.4</v>
      </c>
      <c r="AA22" s="195">
        <v>11000</v>
      </c>
      <c r="AB22" s="195">
        <v>11000</v>
      </c>
      <c r="AC22" s="195">
        <v>11000</v>
      </c>
    </row>
    <row r="23" spans="1:29" s="19" customFormat="1" ht="15.5" hidden="1" x14ac:dyDescent="0.35">
      <c r="A23" s="27" t="s">
        <v>24</v>
      </c>
      <c r="B23" s="19" t="s">
        <v>39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18">
        <f t="shared" si="2"/>
        <v>0</v>
      </c>
      <c r="P23" s="49"/>
      <c r="Q23" s="61"/>
      <c r="R23" s="61"/>
      <c r="S23" s="61"/>
      <c r="X23" s="180"/>
      <c r="Y23" s="153"/>
      <c r="AA23" s="196"/>
      <c r="AB23" s="196"/>
      <c r="AC23" s="196"/>
    </row>
    <row r="24" spans="1:29" s="19" customFormat="1" ht="15.5" hidden="1" x14ac:dyDescent="0.35">
      <c r="A24" s="27" t="s">
        <v>25</v>
      </c>
      <c r="B24" s="19" t="s">
        <v>40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18">
        <f t="shared" si="2"/>
        <v>0</v>
      </c>
      <c r="P24" s="49"/>
      <c r="Q24" s="61"/>
      <c r="R24" s="61"/>
      <c r="S24" s="61"/>
      <c r="X24" s="180"/>
      <c r="Y24" s="153"/>
      <c r="AA24" s="196"/>
      <c r="AB24" s="196"/>
      <c r="AC24" s="196"/>
    </row>
    <row r="25" spans="1:29" s="19" customFormat="1" ht="15.5" x14ac:dyDescent="0.35">
      <c r="A25" s="27" t="s">
        <v>26</v>
      </c>
      <c r="B25" s="19" t="s">
        <v>41</v>
      </c>
      <c r="C25" s="25">
        <v>185.12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18">
        <f t="shared" si="2"/>
        <v>185.12</v>
      </c>
      <c r="P25" s="49"/>
      <c r="Q25" s="61"/>
      <c r="R25" s="61"/>
      <c r="S25" s="61"/>
      <c r="X25" s="180" t="s">
        <v>695</v>
      </c>
      <c r="Y25" s="153" t="s">
        <v>687</v>
      </c>
      <c r="Z25" s="195">
        <v>25000</v>
      </c>
      <c r="AA25" s="195" t="s">
        <v>690</v>
      </c>
      <c r="AB25" s="195" t="s">
        <v>690</v>
      </c>
      <c r="AC25" s="195" t="s">
        <v>690</v>
      </c>
    </row>
    <row r="26" spans="1:29" s="19" customFormat="1" ht="15.5" hidden="1" x14ac:dyDescent="0.35">
      <c r="A26" s="27">
        <v>2955</v>
      </c>
      <c r="B26" s="19" t="s">
        <v>114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18">
        <f t="shared" si="2"/>
        <v>0</v>
      </c>
      <c r="P26" s="49"/>
      <c r="Q26" s="61"/>
      <c r="R26" s="61"/>
      <c r="S26" s="61"/>
      <c r="X26" s="180"/>
      <c r="Y26" s="153"/>
      <c r="Z26" s="195"/>
      <c r="AA26" s="195"/>
      <c r="AB26" s="195"/>
      <c r="AC26" s="195"/>
    </row>
    <row r="27" spans="1:29" s="19" customFormat="1" ht="15.5" x14ac:dyDescent="0.35">
      <c r="A27" s="27" t="s">
        <v>28</v>
      </c>
      <c r="B27" s="19" t="s">
        <v>43</v>
      </c>
      <c r="C27" s="25">
        <v>0</v>
      </c>
      <c r="D27" s="25">
        <v>0</v>
      </c>
      <c r="E27" s="25">
        <v>0</v>
      </c>
      <c r="F27" s="25">
        <v>0</v>
      </c>
      <c r="G27" s="25">
        <v>-25000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18">
        <f t="shared" si="2"/>
        <v>-25000</v>
      </c>
      <c r="P27" s="49"/>
      <c r="Q27" s="61">
        <v>-25000</v>
      </c>
      <c r="R27" s="61">
        <v>0</v>
      </c>
      <c r="S27" s="61">
        <v>0</v>
      </c>
      <c r="T27" s="19" t="s">
        <v>658</v>
      </c>
      <c r="X27" s="180">
        <v>6400</v>
      </c>
      <c r="Y27" s="153" t="s">
        <v>688</v>
      </c>
      <c r="Z27" s="195">
        <v>6432</v>
      </c>
      <c r="AA27" s="195">
        <v>6500</v>
      </c>
      <c r="AB27" s="195">
        <v>6500</v>
      </c>
      <c r="AC27" s="195">
        <v>6500</v>
      </c>
    </row>
    <row r="28" spans="1:29" s="19" customFormat="1" ht="15.5" x14ac:dyDescent="0.35">
      <c r="A28" s="27" t="s">
        <v>29</v>
      </c>
      <c r="B28" s="19" t="s">
        <v>44</v>
      </c>
      <c r="C28" s="25">
        <v>-20232.629999999997</v>
      </c>
      <c r="D28" s="25">
        <v>-18120.059999999998</v>
      </c>
      <c r="E28" s="25">
        <v>-23805.510000000002</v>
      </c>
      <c r="F28" s="25">
        <v>-25752.190000000002</v>
      </c>
      <c r="G28" s="25">
        <v>-15182.77</v>
      </c>
      <c r="H28" s="25">
        <v>-13736.529999999999</v>
      </c>
      <c r="I28" s="25">
        <v>-18652.64</v>
      </c>
      <c r="J28" s="25">
        <v>-24122.07</v>
      </c>
      <c r="K28" s="25">
        <v>-20404.72</v>
      </c>
      <c r="L28" s="25">
        <v>-22354.38</v>
      </c>
      <c r="M28" s="25">
        <v>-20116</v>
      </c>
      <c r="N28" s="25">
        <f>SUM(M43:M60)*-0.15</f>
        <v>-22732.819499999994</v>
      </c>
      <c r="O28" s="18">
        <f t="shared" si="2"/>
        <v>-245212.31950000001</v>
      </c>
      <c r="P28" s="49"/>
      <c r="Q28" s="61">
        <f>SUM(Q43:Q60)*-0.15</f>
        <v>-275723.62724999996</v>
      </c>
      <c r="R28" s="61">
        <f t="shared" ref="R28:S28" si="3">SUM(R43:R60)*-0.15</f>
        <v>-286105.14524999994</v>
      </c>
      <c r="S28" s="61">
        <f t="shared" si="3"/>
        <v>-293449.70942999999</v>
      </c>
      <c r="X28" s="180" t="s">
        <v>697</v>
      </c>
      <c r="Y28" s="153" t="s">
        <v>689</v>
      </c>
      <c r="Z28" s="195"/>
      <c r="AA28" s="195">
        <v>38911</v>
      </c>
      <c r="AB28" s="195">
        <v>38911</v>
      </c>
      <c r="AC28" s="195">
        <v>38911</v>
      </c>
    </row>
    <row r="29" spans="1:29" s="19" customFormat="1" ht="15.5" x14ac:dyDescent="0.35">
      <c r="A29" s="27" t="s">
        <v>30</v>
      </c>
      <c r="B29" s="19" t="s">
        <v>45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18">
        <f t="shared" si="2"/>
        <v>0</v>
      </c>
      <c r="P29" s="49"/>
      <c r="Q29" s="61"/>
      <c r="R29" s="61"/>
      <c r="S29" s="61"/>
      <c r="X29" s="180" t="s">
        <v>695</v>
      </c>
      <c r="Y29" s="153" t="s">
        <v>692</v>
      </c>
      <c r="Z29" s="195">
        <v>65000</v>
      </c>
      <c r="AA29" s="195">
        <v>65000</v>
      </c>
      <c r="AB29" s="195">
        <v>65000</v>
      </c>
      <c r="AC29" s="195">
        <v>65000</v>
      </c>
    </row>
    <row r="30" spans="1:29" s="19" customFormat="1" ht="15.5" x14ac:dyDescent="0.35">
      <c r="A30" s="27" t="s">
        <v>31</v>
      </c>
      <c r="B30" s="19" t="s">
        <v>46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-200000</v>
      </c>
      <c r="N30" s="25">
        <v>0</v>
      </c>
      <c r="O30" s="18">
        <f t="shared" si="2"/>
        <v>-200000</v>
      </c>
      <c r="P30" s="49"/>
      <c r="Q30" s="61">
        <v>-200000</v>
      </c>
      <c r="R30" s="61">
        <v>-200000</v>
      </c>
      <c r="S30" s="61">
        <v>-200000</v>
      </c>
      <c r="T30" s="19" t="s">
        <v>696</v>
      </c>
      <c r="X30" s="180" t="s">
        <v>695</v>
      </c>
      <c r="Y30" s="153" t="s">
        <v>693</v>
      </c>
      <c r="Z30" s="195">
        <v>135000</v>
      </c>
      <c r="AA30" s="195">
        <v>135000</v>
      </c>
      <c r="AB30" s="195">
        <v>135000</v>
      </c>
      <c r="AC30" s="195">
        <v>135000</v>
      </c>
    </row>
    <row r="31" spans="1:29" s="17" customFormat="1" ht="16" thickBot="1" x14ac:dyDescent="0.4">
      <c r="A31" s="23"/>
      <c r="B31" s="179" t="s">
        <v>108</v>
      </c>
      <c r="C31" s="29">
        <f t="shared" ref="C31:O31" si="4">SUM(C11:C30)</f>
        <v>7472.4900000000016</v>
      </c>
      <c r="D31" s="29">
        <f t="shared" si="4"/>
        <v>-1180.0599999999977</v>
      </c>
      <c r="E31" s="29">
        <f t="shared" si="4"/>
        <v>-9005.4900000000016</v>
      </c>
      <c r="F31" s="29">
        <f t="shared" si="4"/>
        <v>-7322.1900000000023</v>
      </c>
      <c r="G31" s="29">
        <f t="shared" si="4"/>
        <v>162377.23000000001</v>
      </c>
      <c r="H31" s="29">
        <f t="shared" si="4"/>
        <v>833933.47</v>
      </c>
      <c r="I31" s="29">
        <f t="shared" si="4"/>
        <v>182287.35999999999</v>
      </c>
      <c r="J31" s="29">
        <f t="shared" si="4"/>
        <v>79352.929999999993</v>
      </c>
      <c r="K31" s="29">
        <f t="shared" si="4"/>
        <v>283315.29000000004</v>
      </c>
      <c r="L31" s="29">
        <f t="shared" si="4"/>
        <v>32590.62</v>
      </c>
      <c r="M31" s="29">
        <f t="shared" si="4"/>
        <v>-173476</v>
      </c>
      <c r="N31" s="29">
        <f t="shared" si="4"/>
        <v>18797.180500000006</v>
      </c>
      <c r="O31" s="29">
        <f t="shared" si="4"/>
        <v>1409142.8305000002</v>
      </c>
      <c r="P31" s="36"/>
      <c r="Q31" s="29">
        <f t="shared" ref="Q31:S31" si="5">SUM(Q11:Q30)</f>
        <v>2117961.3727500001</v>
      </c>
      <c r="R31" s="29">
        <f t="shared" si="5"/>
        <v>2132579.8547499999</v>
      </c>
      <c r="S31" s="29">
        <f t="shared" si="5"/>
        <v>2125235.2905700002</v>
      </c>
      <c r="Y31" s="153" t="s">
        <v>694</v>
      </c>
      <c r="Z31" s="198"/>
      <c r="AA31" s="195">
        <v>300000</v>
      </c>
      <c r="AB31" s="198"/>
      <c r="AC31" s="198"/>
    </row>
    <row r="32" spans="1:29" s="19" customFormat="1" ht="15.5" x14ac:dyDescent="0.35">
      <c r="A32" s="1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18"/>
      <c r="P32" s="49"/>
      <c r="Y32" s="153"/>
      <c r="Z32" s="196"/>
      <c r="AA32" s="196"/>
      <c r="AB32" s="196"/>
      <c r="AC32" s="196"/>
    </row>
    <row r="33" spans="1:29" s="19" customFormat="1" ht="15.5" x14ac:dyDescent="0.35">
      <c r="A33" s="1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18"/>
      <c r="P33" s="49"/>
      <c r="AA33" s="196"/>
      <c r="AB33" s="196"/>
      <c r="AC33" s="196"/>
    </row>
    <row r="34" spans="1:29" s="19" customFormat="1" ht="15.5" x14ac:dyDescent="0.35">
      <c r="A34" s="1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18"/>
      <c r="P34" s="49"/>
    </row>
    <row r="35" spans="1:29" s="19" customFormat="1" ht="15.5" x14ac:dyDescent="0.35">
      <c r="A35" s="8" t="s">
        <v>104</v>
      </c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18"/>
      <c r="P35" s="49"/>
    </row>
    <row r="36" spans="1:29" s="19" customFormat="1" ht="15.5" hidden="1" x14ac:dyDescent="0.35">
      <c r="A36" s="27" t="s">
        <v>50</v>
      </c>
      <c r="B36" s="180" t="s">
        <v>79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f>IFERROR(GETPIVOTDATA("[Measures].[Jrnl Posting Am]",'[1]Historical Summary Cube'!$AA$73,"[Object].[Object Group]","[Object].[Object Group].&amp;[31]","[Object].[Obj Group Nm]","[Object].[Obj Group Nm].&amp;[SALARIES AND WAGES]","[Accounting Period].[Fisc Period]","[Accounting Period].[Fisc Period].&amp;[12]"),0)</f>
        <v>0</v>
      </c>
      <c r="O36" s="18">
        <f>SUM(C36:N36)</f>
        <v>0</v>
      </c>
      <c r="P36" s="49"/>
    </row>
    <row r="37" spans="1:29" s="19" customFormat="1" ht="15.5" hidden="1" x14ac:dyDescent="0.35">
      <c r="A37" s="27" t="s">
        <v>51</v>
      </c>
      <c r="B37" s="180" t="s">
        <v>79</v>
      </c>
      <c r="C37" s="25">
        <v>59625.229999999996</v>
      </c>
      <c r="D37" s="25">
        <v>95865.989999999991</v>
      </c>
      <c r="E37" s="25">
        <v>72288.460000000006</v>
      </c>
      <c r="F37" s="25">
        <v>58440.4</v>
      </c>
      <c r="G37" s="25">
        <v>58587.259999999995</v>
      </c>
      <c r="H37" s="25">
        <v>60690.39</v>
      </c>
      <c r="I37" s="25">
        <v>94190.37000000001</v>
      </c>
      <c r="J37" s="25">
        <v>62793.58</v>
      </c>
      <c r="K37" s="25">
        <v>63183.189999999988</v>
      </c>
      <c r="L37" s="25">
        <v>60556</v>
      </c>
      <c r="M37" s="25">
        <v>57676.079999999994</v>
      </c>
      <c r="N37" s="25">
        <v>57342.28</v>
      </c>
      <c r="O37" s="18">
        <f t="shared" ref="O37:O68" si="6">SUM(C37:N37)</f>
        <v>801239.23</v>
      </c>
      <c r="P37" s="49"/>
    </row>
    <row r="38" spans="1:29" s="19" customFormat="1" ht="15.5" hidden="1" x14ac:dyDescent="0.35">
      <c r="A38" s="27">
        <v>33</v>
      </c>
      <c r="B38" s="180" t="s">
        <v>79</v>
      </c>
      <c r="C38" s="25">
        <v>7032.7999999999993</v>
      </c>
      <c r="D38" s="25">
        <v>10500.32</v>
      </c>
      <c r="E38" s="25">
        <v>7196.3399999999992</v>
      </c>
      <c r="F38" s="25">
        <v>7003.99</v>
      </c>
      <c r="G38" s="25">
        <v>7317.33</v>
      </c>
      <c r="H38" s="25">
        <v>3700</v>
      </c>
      <c r="I38" s="25">
        <v>0</v>
      </c>
      <c r="J38" s="25">
        <v>789.2</v>
      </c>
      <c r="K38" s="25">
        <v>6841.52</v>
      </c>
      <c r="L38" s="25">
        <v>6853.33</v>
      </c>
      <c r="M38" s="25">
        <v>6936</v>
      </c>
      <c r="N38" s="25">
        <v>6936</v>
      </c>
      <c r="O38" s="18">
        <f t="shared" si="6"/>
        <v>71106.83</v>
      </c>
      <c r="P38" s="49"/>
    </row>
    <row r="39" spans="1:29" s="19" customFormat="1" ht="15.5" hidden="1" x14ac:dyDescent="0.35">
      <c r="A39" s="27" t="s">
        <v>52</v>
      </c>
      <c r="B39" s="180" t="s">
        <v>79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IFERROR(GETPIVOTDATA("[Measures].[Jrnl Posting Am]",'[1]Historical Summary Cube'!$AA$73,"[Object].[Object Group]","[Object].[Object Group].&amp;[34]","[Object].[Obj Group Nm]","[Object].[Obj Group Nm].&amp;[SALARIES AND WAGES]","[Accounting Period].[Fisc Period]","[Accounting Period].[Fisc Period].&amp;[12]"),0)</f>
        <v>0</v>
      </c>
      <c r="O39" s="18">
        <f>SUM(C39:N39)</f>
        <v>0</v>
      </c>
      <c r="P39" s="49"/>
    </row>
    <row r="40" spans="1:29" s="19" customFormat="1" ht="15.5" hidden="1" x14ac:dyDescent="0.35">
      <c r="A40" s="27" t="s">
        <v>53</v>
      </c>
      <c r="B40" s="180" t="s">
        <v>79</v>
      </c>
      <c r="C40" s="25">
        <v>672.7</v>
      </c>
      <c r="D40" s="25">
        <v>1729.8600000000001</v>
      </c>
      <c r="E40" s="25">
        <v>5646.5099999999993</v>
      </c>
      <c r="F40" s="25">
        <v>1216.1400000000001</v>
      </c>
      <c r="G40" s="25">
        <v>799.19</v>
      </c>
      <c r="H40" s="25">
        <v>597.72</v>
      </c>
      <c r="I40" s="25">
        <v>896.58</v>
      </c>
      <c r="J40" s="25">
        <v>597.72</v>
      </c>
      <c r="K40" s="25">
        <v>692.2</v>
      </c>
      <c r="L40" s="25">
        <v>14077.169999999998</v>
      </c>
      <c r="M40" s="25">
        <v>608.1</v>
      </c>
      <c r="N40" s="25">
        <v>801.84</v>
      </c>
      <c r="O40" s="18">
        <f t="shared" si="6"/>
        <v>28335.729999999996</v>
      </c>
      <c r="P40" s="49"/>
    </row>
    <row r="41" spans="1:29" s="19" customFormat="1" ht="15.5" hidden="1" x14ac:dyDescent="0.35">
      <c r="A41" s="27" t="s">
        <v>54</v>
      </c>
      <c r="B41" s="180" t="s">
        <v>79</v>
      </c>
      <c r="C41" s="25">
        <v>110</v>
      </c>
      <c r="D41" s="25">
        <v>709.38</v>
      </c>
      <c r="E41" s="25">
        <v>0</v>
      </c>
      <c r="F41" s="25">
        <v>0</v>
      </c>
      <c r="G41" s="25">
        <v>220</v>
      </c>
      <c r="H41" s="25">
        <v>275</v>
      </c>
      <c r="I41" s="25">
        <v>0</v>
      </c>
      <c r="J41" s="25">
        <v>275</v>
      </c>
      <c r="K41" s="25">
        <v>385</v>
      </c>
      <c r="L41" s="25">
        <v>440</v>
      </c>
      <c r="M41" s="25">
        <v>0</v>
      </c>
      <c r="N41" s="25">
        <v>4269.57</v>
      </c>
      <c r="O41" s="18">
        <f t="shared" si="6"/>
        <v>6683.95</v>
      </c>
      <c r="P41" s="49"/>
    </row>
    <row r="42" spans="1:29" s="19" customFormat="1" ht="15.5" hidden="1" x14ac:dyDescent="0.35">
      <c r="A42" s="27" t="s">
        <v>55</v>
      </c>
      <c r="B42" s="180" t="s">
        <v>80</v>
      </c>
      <c r="C42" s="25">
        <v>38790.1</v>
      </c>
      <c r="D42" s="25">
        <v>37560.19</v>
      </c>
      <c r="E42" s="25">
        <v>26838.399999999998</v>
      </c>
      <c r="F42" s="25">
        <v>23640.640000000007</v>
      </c>
      <c r="G42" s="25">
        <v>23654.87</v>
      </c>
      <c r="H42" s="25">
        <v>38140.570000000007</v>
      </c>
      <c r="I42" s="25">
        <v>56373.280000000006</v>
      </c>
      <c r="J42" s="25">
        <v>37869.310000000005</v>
      </c>
      <c r="K42" s="25">
        <v>32088.300000000003</v>
      </c>
      <c r="L42" s="25">
        <v>44749.89</v>
      </c>
      <c r="M42" s="25">
        <v>37304.130000000005</v>
      </c>
      <c r="N42" s="25">
        <v>38602.43</v>
      </c>
      <c r="O42" s="18">
        <f t="shared" si="6"/>
        <v>435612.11000000004</v>
      </c>
      <c r="P42" s="49"/>
    </row>
    <row r="43" spans="1:29" s="19" customFormat="1" ht="15.5" x14ac:dyDescent="0.35">
      <c r="A43" s="27" t="s">
        <v>680</v>
      </c>
      <c r="B43" s="180" t="s">
        <v>165</v>
      </c>
      <c r="C43" s="25">
        <f>SUM(C36:C42)</f>
        <v>106230.82999999999</v>
      </c>
      <c r="D43" s="25">
        <f t="shared" ref="D43:N43" si="7">SUM(D36:D42)</f>
        <v>146365.74</v>
      </c>
      <c r="E43" s="25">
        <f t="shared" si="7"/>
        <v>111969.70999999999</v>
      </c>
      <c r="F43" s="25">
        <f t="shared" si="7"/>
        <v>90301.170000000013</v>
      </c>
      <c r="G43" s="25">
        <f t="shared" si="7"/>
        <v>90578.65</v>
      </c>
      <c r="H43" s="25">
        <f t="shared" si="7"/>
        <v>103403.68000000001</v>
      </c>
      <c r="I43" s="25">
        <f t="shared" si="7"/>
        <v>151460.23000000001</v>
      </c>
      <c r="J43" s="25">
        <f t="shared" si="7"/>
        <v>102324.81</v>
      </c>
      <c r="K43" s="25">
        <f t="shared" si="7"/>
        <v>103190.20999999999</v>
      </c>
      <c r="L43" s="25">
        <f t="shared" si="7"/>
        <v>126676.39</v>
      </c>
      <c r="M43" s="25">
        <f t="shared" si="7"/>
        <v>102524.31</v>
      </c>
      <c r="N43" s="25">
        <f t="shared" si="7"/>
        <v>107952.12</v>
      </c>
      <c r="O43" s="18">
        <f t="shared" si="6"/>
        <v>1342977.85</v>
      </c>
      <c r="P43" s="49"/>
      <c r="Q43" s="61">
        <f>+Payroll!AT60</f>
        <v>1263449.24</v>
      </c>
      <c r="R43" s="61">
        <f>+Payroll!AV60</f>
        <v>1317719.3599999999</v>
      </c>
      <c r="S43" s="61">
        <f>+Payroll!AX60</f>
        <v>1356780.3711999999</v>
      </c>
      <c r="T43" s="61"/>
      <c r="U43" s="25"/>
    </row>
    <row r="44" spans="1:29" s="19" customFormat="1" ht="15.5" x14ac:dyDescent="0.35">
      <c r="A44" s="27" t="s">
        <v>56</v>
      </c>
      <c r="B44" s="180" t="s">
        <v>81</v>
      </c>
      <c r="C44" s="25">
        <v>3049.6</v>
      </c>
      <c r="D44" s="25">
        <v>6522.7600000000011</v>
      </c>
      <c r="E44" s="25">
        <v>5278.26</v>
      </c>
      <c r="F44" s="25">
        <v>6142.82</v>
      </c>
      <c r="G44" s="25">
        <v>7282.3900000000012</v>
      </c>
      <c r="H44" s="25">
        <v>4149.7700000000004</v>
      </c>
      <c r="I44" s="25">
        <v>5860.14</v>
      </c>
      <c r="J44" s="25">
        <v>6387.4</v>
      </c>
      <c r="K44" s="25">
        <v>5154.9600000000009</v>
      </c>
      <c r="L44" s="25">
        <v>5294.73</v>
      </c>
      <c r="M44" s="25">
        <v>7576.17</v>
      </c>
      <c r="N44" s="25">
        <v>5753.37</v>
      </c>
      <c r="O44" s="18">
        <f t="shared" si="6"/>
        <v>68452.37</v>
      </c>
      <c r="P44" s="49"/>
      <c r="Q44" s="144">
        <f>15000+8014+35000+11000+38911</f>
        <v>107925</v>
      </c>
      <c r="R44" s="144">
        <f>8000+35000+11000+38911</f>
        <v>92911</v>
      </c>
      <c r="S44" s="144">
        <f>8000+35000+11000+38911</f>
        <v>92911</v>
      </c>
    </row>
    <row r="45" spans="1:29" s="19" customFormat="1" ht="15.5" hidden="1" x14ac:dyDescent="0.35">
      <c r="A45" s="27" t="s">
        <v>57</v>
      </c>
      <c r="B45" s="180" t="s">
        <v>82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>IFERROR(GETPIVOTDATA("[Measures].[Jrnl Posting Am]",'[1]Historical Summary Cube'!$AA$73,"[Object].[Object Group]","[Object].[Object Group].&amp;[41]","[Object].[Obj Group Nm]","[Object].[Obj Group Nm].&amp;[PROF. SERVICES, BY STATE]","[Accounting Period].[Fisc Period]","[Accounting Period].[Fisc Period].&amp;[12]"),0)</f>
        <v>0</v>
      </c>
      <c r="O45" s="18">
        <f t="shared" si="6"/>
        <v>0</v>
      </c>
      <c r="P45" s="49"/>
      <c r="Q45" s="61"/>
      <c r="R45" s="61"/>
      <c r="S45" s="61"/>
    </row>
    <row r="46" spans="1:29" s="19" customFormat="1" ht="15.5" x14ac:dyDescent="0.35">
      <c r="A46" s="27" t="s">
        <v>58</v>
      </c>
      <c r="B46" s="180" t="s">
        <v>83</v>
      </c>
      <c r="C46" s="25">
        <v>192</v>
      </c>
      <c r="D46" s="25">
        <v>29.55</v>
      </c>
      <c r="E46" s="25">
        <v>47.57</v>
      </c>
      <c r="F46" s="25">
        <v>18.989999999999998</v>
      </c>
      <c r="G46" s="25">
        <v>25.53</v>
      </c>
      <c r="H46" s="25">
        <v>0</v>
      </c>
      <c r="I46" s="25">
        <v>47.27</v>
      </c>
      <c r="J46" s="25">
        <v>503.44</v>
      </c>
      <c r="K46" s="25">
        <v>200.56</v>
      </c>
      <c r="L46" s="25">
        <v>11.3</v>
      </c>
      <c r="M46" s="25">
        <v>30.86</v>
      </c>
      <c r="N46" s="25">
        <f>IFERROR(GETPIVOTDATA("[Measures].[Jrnl Posting Am]",'[1]Historical Summary Cube'!$AA$73,"[Object].[Object Group]","[Object].[Object Group].&amp;[42]","[Object].[Obj Group Nm]","[Object].[Obj Group Nm].&amp;[TRAVEL EXPENSES, IN STATE]","[Accounting Period].[Fisc Period]","[Accounting Period].[Fisc Period].&amp;[12]"),0)</f>
        <v>0</v>
      </c>
      <c r="O46" s="18">
        <f t="shared" si="6"/>
        <v>1107.0699999999997</v>
      </c>
      <c r="P46" s="49"/>
      <c r="Q46" s="61">
        <v>1500</v>
      </c>
      <c r="R46" s="61">
        <v>1500</v>
      </c>
      <c r="S46" s="61">
        <v>1500</v>
      </c>
    </row>
    <row r="47" spans="1:29" s="19" customFormat="1" ht="15.5" x14ac:dyDescent="0.35">
      <c r="A47" s="27" t="s">
        <v>59</v>
      </c>
      <c r="B47" s="180" t="s">
        <v>84</v>
      </c>
      <c r="C47" s="25">
        <v>0</v>
      </c>
      <c r="D47" s="25">
        <v>0</v>
      </c>
      <c r="E47" s="25">
        <v>0</v>
      </c>
      <c r="F47" s="25">
        <v>1644.0100000000002</v>
      </c>
      <c r="G47" s="25">
        <v>828.68000000000006</v>
      </c>
      <c r="H47" s="25">
        <v>104</v>
      </c>
      <c r="I47" s="25">
        <v>0</v>
      </c>
      <c r="J47" s="25">
        <v>-1062.6400000000001</v>
      </c>
      <c r="K47" s="25">
        <v>1753.0299999999997</v>
      </c>
      <c r="L47" s="25">
        <v>0</v>
      </c>
      <c r="M47" s="25">
        <v>1334.6399999999999</v>
      </c>
      <c r="N47" s="25">
        <v>598.51</v>
      </c>
      <c r="O47" s="18">
        <f t="shared" si="6"/>
        <v>5200.2299999999996</v>
      </c>
      <c r="P47" s="49"/>
      <c r="Q47" s="61">
        <v>7500</v>
      </c>
      <c r="R47" s="61">
        <v>8500</v>
      </c>
      <c r="S47" s="61">
        <v>9500</v>
      </c>
    </row>
    <row r="48" spans="1:29" s="19" customFormat="1" ht="15.5" hidden="1" x14ac:dyDescent="0.35">
      <c r="A48" s="27" t="s">
        <v>60</v>
      </c>
      <c r="B48" s="180" t="s">
        <v>85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>IFERROR(GETPIVOTDATA("[Measures].[Jrnl Posting Am]",'[1]Historical Summary Cube'!$AA$73,"[Object].[Object Group]","[Object].[Object Group].&amp;[44]","[Object].[Obj Group Nm]","[Object].[Obj Group Nm].&amp;[STATE VEHICLES OPERATION]","[Accounting Period].[Fisc Period]","[Accounting Period].[Fisc Period].&amp;[12]"),0)</f>
        <v>0</v>
      </c>
      <c r="O48" s="18">
        <f t="shared" si="6"/>
        <v>0</v>
      </c>
      <c r="P48" s="49"/>
      <c r="Q48" s="61"/>
      <c r="R48" s="61"/>
      <c r="S48" s="61"/>
    </row>
    <row r="49" spans="1:23" s="19" customFormat="1" ht="15.5" hidden="1" x14ac:dyDescent="0.35">
      <c r="A49" s="27" t="s">
        <v>61</v>
      </c>
      <c r="B49" s="180" t="s">
        <v>86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>IFERROR(GETPIVOTDATA("[Measures].[Jrnl Posting Am]",'[1]Historical Summary Cube'!$AA$73,"[Object].[Object Group]","[Object].[Object Group].&amp;[45]","[Object].[Obj Group Nm]","[Object].[Obj Group Nm].&amp;[UTILITY SERVICES]","[Accounting Period].[Fisc Period]","[Accounting Period].[Fisc Period].&amp;[12]"),0)</f>
        <v>0</v>
      </c>
      <c r="O49" s="18">
        <f t="shared" si="6"/>
        <v>0</v>
      </c>
      <c r="P49" s="49"/>
      <c r="Q49" s="61"/>
      <c r="R49" s="61"/>
      <c r="S49" s="61"/>
    </row>
    <row r="50" spans="1:23" s="19" customFormat="1" ht="15.5" x14ac:dyDescent="0.35">
      <c r="A50" s="27" t="s">
        <v>62</v>
      </c>
      <c r="B50" s="180" t="s">
        <v>87</v>
      </c>
      <c r="C50" s="25">
        <v>0</v>
      </c>
      <c r="D50" s="25">
        <v>1111.71</v>
      </c>
      <c r="E50" s="25">
        <v>2869.3</v>
      </c>
      <c r="F50" s="25">
        <v>194.24</v>
      </c>
      <c r="G50" s="25">
        <v>70.180000000000007</v>
      </c>
      <c r="H50" s="25">
        <v>2495.92</v>
      </c>
      <c r="I50" s="25">
        <v>2544.8000000000002</v>
      </c>
      <c r="J50" s="25">
        <v>862.23</v>
      </c>
      <c r="K50" s="25">
        <v>793.15</v>
      </c>
      <c r="L50" s="25">
        <v>856.82</v>
      </c>
      <c r="M50" s="25">
        <v>1196.56</v>
      </c>
      <c r="N50" s="25">
        <v>1277.6199999999999</v>
      </c>
      <c r="O50" s="18">
        <f t="shared" si="6"/>
        <v>14272.529999999999</v>
      </c>
      <c r="P50" s="49"/>
      <c r="Q50" s="61">
        <v>16500</v>
      </c>
      <c r="R50" s="61">
        <f>+Q50*1.05</f>
        <v>17325</v>
      </c>
      <c r="S50" s="61">
        <f>+R50*1.05</f>
        <v>18191.25</v>
      </c>
      <c r="U50" s="61"/>
    </row>
    <row r="51" spans="1:23" s="19" customFormat="1" ht="15.5" hidden="1" x14ac:dyDescent="0.35">
      <c r="A51" s="27" t="s">
        <v>63</v>
      </c>
      <c r="B51" s="180" t="s">
        <v>88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IFERROR(GETPIVOTDATA("[Measures].[Jrnl Posting Am]",'[1]Historical Summary Cube'!$AA$73,"[Object].[Object Group]","[Object].[Object Group].&amp;[47]","[Object].[Obj Group Nm]","[Object].[Obj Group Nm].&amp;[REPAIRS]","[Accounting Period].[Fisc Period]","[Accounting Period].[Fisc Period].&amp;[12]"),0)</f>
        <v>0</v>
      </c>
      <c r="O51" s="18">
        <f t="shared" si="6"/>
        <v>0</v>
      </c>
      <c r="P51" s="49"/>
      <c r="Q51" s="61"/>
      <c r="R51" s="61"/>
      <c r="S51" s="61"/>
    </row>
    <row r="52" spans="1:23" s="19" customFormat="1" ht="15.5" x14ac:dyDescent="0.35">
      <c r="A52" s="27" t="s">
        <v>64</v>
      </c>
      <c r="B52" s="180" t="s">
        <v>89</v>
      </c>
      <c r="C52" s="25">
        <v>0</v>
      </c>
      <c r="D52" s="25">
        <v>3483</v>
      </c>
      <c r="E52" s="25">
        <v>150</v>
      </c>
      <c r="F52" s="25">
        <v>0</v>
      </c>
      <c r="G52" s="25">
        <v>0</v>
      </c>
      <c r="H52" s="25">
        <v>0</v>
      </c>
      <c r="I52" s="25">
        <v>4.6100000000000003</v>
      </c>
      <c r="J52" s="25">
        <v>174</v>
      </c>
      <c r="K52" s="25">
        <v>0</v>
      </c>
      <c r="L52" s="25">
        <v>0</v>
      </c>
      <c r="M52" s="25">
        <v>0</v>
      </c>
      <c r="N52" s="25">
        <f>IFERROR(GETPIVOTDATA("[Measures].[Jrnl Posting Am]",'[1]Historical Summary Cube'!$AA$73,"[Object].[Object Group]","[Object].[Object Group].&amp;[48]","[Object].[Obj Group Nm]","[Object].[Obj Group Nm].&amp;[INSURANCE]","[Accounting Period].[Fisc Period]","[Accounting Period].[Fisc Period].&amp;[12]"),0)</f>
        <v>0</v>
      </c>
      <c r="O52" s="18">
        <f t="shared" si="6"/>
        <v>3811.61</v>
      </c>
      <c r="P52" s="49"/>
      <c r="Q52" s="61">
        <v>4200</v>
      </c>
      <c r="R52" s="61">
        <f>+Q52*1.05</f>
        <v>4410</v>
      </c>
      <c r="S52" s="61">
        <f>+R52*1.05</f>
        <v>4630.5</v>
      </c>
    </row>
    <row r="53" spans="1:23" s="19" customFormat="1" ht="15.5" x14ac:dyDescent="0.35">
      <c r="A53" s="27" t="s">
        <v>65</v>
      </c>
      <c r="B53" s="180" t="s">
        <v>90</v>
      </c>
      <c r="C53" s="25">
        <v>671.83</v>
      </c>
      <c r="D53" s="25">
        <v>900.43999999999994</v>
      </c>
      <c r="E53" s="25">
        <v>793.02</v>
      </c>
      <c r="F53" s="25">
        <v>306.18</v>
      </c>
      <c r="G53" s="25">
        <v>1199.0099999999998</v>
      </c>
      <c r="H53" s="25">
        <v>3239.2500000000005</v>
      </c>
      <c r="I53" s="25">
        <v>423.54000000000008</v>
      </c>
      <c r="J53" s="25">
        <v>15807.34</v>
      </c>
      <c r="K53" s="25">
        <v>4195.51</v>
      </c>
      <c r="L53" s="25">
        <v>1040.5</v>
      </c>
      <c r="M53" s="25">
        <v>17579.599999999999</v>
      </c>
      <c r="N53" s="25">
        <v>1913.17</v>
      </c>
      <c r="O53" s="18">
        <f t="shared" si="6"/>
        <v>48069.39</v>
      </c>
      <c r="P53" s="49"/>
      <c r="Q53" s="61">
        <f>+Q98-35000</f>
        <v>50430.274999999994</v>
      </c>
      <c r="R53" s="61">
        <f>+R98-35000</f>
        <v>50535.274999999994</v>
      </c>
      <c r="S53" s="61">
        <f>+S98-35000</f>
        <v>50783.024999999994</v>
      </c>
    </row>
    <row r="54" spans="1:23" s="19" customFormat="1" ht="15.5" x14ac:dyDescent="0.35">
      <c r="A54" s="27" t="s">
        <v>66</v>
      </c>
      <c r="B54" s="180" t="s">
        <v>91</v>
      </c>
      <c r="C54" s="25">
        <v>0</v>
      </c>
      <c r="D54" s="25">
        <v>0</v>
      </c>
      <c r="E54" s="25">
        <v>0</v>
      </c>
      <c r="F54" s="25">
        <v>0</v>
      </c>
      <c r="G54" s="25">
        <v>131.34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f>IFERROR(GETPIVOTDATA("[Measures].[Jrnl Posting Am]",'[1]Historical Summary Cube'!$AA$73,"[Object].[Object Group]","[Object].[Object Group].&amp;[50]","[Object].[Obj Group Nm]","[Object].[Obj Group Nm].&amp;[EMPLOYEE TRAINING]","[Accounting Period].[Fisc Period]","[Accounting Period].[Fisc Period].&amp;[12]"),0)</f>
        <v>0</v>
      </c>
      <c r="O54" s="18">
        <f t="shared" si="6"/>
        <v>131.34</v>
      </c>
      <c r="P54" s="49"/>
      <c r="Q54" s="61">
        <v>500</v>
      </c>
      <c r="R54" s="61">
        <v>500</v>
      </c>
      <c r="S54" s="61">
        <v>500</v>
      </c>
    </row>
    <row r="55" spans="1:23" s="19" customFormat="1" ht="15.5" x14ac:dyDescent="0.35">
      <c r="A55" s="27" t="s">
        <v>67</v>
      </c>
      <c r="B55" s="180" t="s">
        <v>92</v>
      </c>
      <c r="C55" s="25">
        <v>0</v>
      </c>
      <c r="D55" s="25">
        <v>0</v>
      </c>
      <c r="E55" s="25">
        <v>0</v>
      </c>
      <c r="F55" s="25">
        <v>0</v>
      </c>
      <c r="G55" s="25">
        <v>59.87</v>
      </c>
      <c r="H55" s="25">
        <v>0</v>
      </c>
      <c r="I55" s="25">
        <v>0</v>
      </c>
      <c r="J55" s="25">
        <v>0</v>
      </c>
      <c r="K55" s="25">
        <v>0</v>
      </c>
      <c r="L55" s="25">
        <v>36.36</v>
      </c>
      <c r="M55" s="25">
        <v>37.520000000000003</v>
      </c>
      <c r="N55" s="25">
        <v>0</v>
      </c>
      <c r="O55" s="18">
        <f t="shared" si="6"/>
        <v>133.75</v>
      </c>
      <c r="P55" s="49"/>
      <c r="Q55" s="61">
        <f>50*9</f>
        <v>450</v>
      </c>
      <c r="R55" s="61">
        <f t="shared" ref="R55:S55" si="8">50*9</f>
        <v>450</v>
      </c>
      <c r="S55" s="61">
        <f t="shared" si="8"/>
        <v>450</v>
      </c>
    </row>
    <row r="56" spans="1:23" s="19" customFormat="1" ht="15.5" x14ac:dyDescent="0.35">
      <c r="A56" s="27" t="s">
        <v>68</v>
      </c>
      <c r="B56" s="180" t="s">
        <v>93</v>
      </c>
      <c r="C56" s="25">
        <v>10435.49</v>
      </c>
      <c r="D56" s="25">
        <v>0</v>
      </c>
      <c r="E56" s="25">
        <v>49934.180000000008</v>
      </c>
      <c r="F56" s="25">
        <v>0</v>
      </c>
      <c r="G56" s="25">
        <v>-9014.51</v>
      </c>
      <c r="H56" s="25">
        <v>10520.949999999999</v>
      </c>
      <c r="I56" s="25">
        <v>0</v>
      </c>
      <c r="J56" s="25">
        <v>10435.49</v>
      </c>
      <c r="K56" s="25">
        <v>33332.049999999996</v>
      </c>
      <c r="L56" s="25">
        <v>0</v>
      </c>
      <c r="M56" s="25">
        <v>20501.27</v>
      </c>
      <c r="N56" s="25">
        <v>10137</v>
      </c>
      <c r="O56" s="18">
        <f t="shared" si="6"/>
        <v>136281.91999999998</v>
      </c>
      <c r="P56" s="49"/>
      <c r="Q56" s="61">
        <f>+Q103</f>
        <v>378003</v>
      </c>
      <c r="R56" s="61">
        <f t="shared" ref="R56:S56" si="9">+R103</f>
        <v>405432</v>
      </c>
      <c r="S56" s="61">
        <f t="shared" si="9"/>
        <v>412596</v>
      </c>
    </row>
    <row r="57" spans="1:23" s="19" customFormat="1" ht="15.5" hidden="1" x14ac:dyDescent="0.35">
      <c r="A57" s="27" t="s">
        <v>69</v>
      </c>
      <c r="B57" s="180" t="s">
        <v>94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f>IFERROR(GETPIVOTDATA("[Measures].[Jrnl Posting Am]",'[1]Historical Summary Cube'!$AA$73,"[Object].[Object Group]","[Object].[Object Group].&amp;[54]","[Object].[Obj Group Nm]","[Object].[Obj Group Nm].&amp;[CLOTHING]","[Accounting Period].[Fisc Period]","[Accounting Period].[Fisc Period].&amp;[12]"),0)</f>
        <v>0</v>
      </c>
      <c r="O57" s="18">
        <f t="shared" si="6"/>
        <v>0</v>
      </c>
      <c r="P57" s="49"/>
      <c r="Q57" s="61"/>
      <c r="R57" s="61"/>
      <c r="S57" s="61"/>
    </row>
    <row r="58" spans="1:23" s="19" customFormat="1" ht="15.5" x14ac:dyDescent="0.35">
      <c r="A58" s="27" t="s">
        <v>70</v>
      </c>
      <c r="B58" s="180" t="s">
        <v>142</v>
      </c>
      <c r="C58" s="25">
        <v>220.62</v>
      </c>
      <c r="D58" s="25">
        <v>243.26999999999998</v>
      </c>
      <c r="E58" s="25">
        <v>523.86</v>
      </c>
      <c r="F58" s="25">
        <v>245.79999999999998</v>
      </c>
      <c r="G58" s="25">
        <v>219.88</v>
      </c>
      <c r="H58" s="25">
        <v>416.32000000000005</v>
      </c>
      <c r="I58" s="25">
        <v>329.50999999999993</v>
      </c>
      <c r="J58" s="25">
        <v>110.08</v>
      </c>
      <c r="K58" s="25">
        <v>355.31</v>
      </c>
      <c r="L58" s="25">
        <v>135.52000000000001</v>
      </c>
      <c r="M58" s="25">
        <v>718.32999999999993</v>
      </c>
      <c r="N58" s="25">
        <v>329.17</v>
      </c>
      <c r="O58" s="18">
        <f t="shared" si="6"/>
        <v>3847.6699999999996</v>
      </c>
      <c r="P58" s="49"/>
      <c r="Q58" s="61">
        <v>4200</v>
      </c>
      <c r="R58" s="61">
        <f>+Q58*1.05</f>
        <v>4410</v>
      </c>
      <c r="S58" s="61">
        <f>+R58*1.05</f>
        <v>4630.5</v>
      </c>
      <c r="W58" s="61"/>
    </row>
    <row r="59" spans="1:23" s="19" customFormat="1" ht="15.5" x14ac:dyDescent="0.35">
      <c r="A59" s="27" t="s">
        <v>71</v>
      </c>
      <c r="B59" s="180" t="s">
        <v>96</v>
      </c>
      <c r="C59" s="25">
        <v>0</v>
      </c>
      <c r="D59" s="25">
        <v>46.980000000000004</v>
      </c>
      <c r="E59" s="25">
        <v>115.39999999999999</v>
      </c>
      <c r="F59" s="25">
        <v>2365.23</v>
      </c>
      <c r="G59" s="25">
        <v>195.85</v>
      </c>
      <c r="H59" s="25">
        <v>20.97</v>
      </c>
      <c r="I59" s="25">
        <v>143.67000000000002</v>
      </c>
      <c r="J59" s="25">
        <v>489.3</v>
      </c>
      <c r="K59" s="25">
        <v>54.41</v>
      </c>
      <c r="L59" s="25">
        <v>55.01</v>
      </c>
      <c r="M59" s="25">
        <v>52.87</v>
      </c>
      <c r="N59" s="25">
        <v>259.44</v>
      </c>
      <c r="O59" s="18">
        <f t="shared" si="6"/>
        <v>3799.13</v>
      </c>
      <c r="P59" s="49"/>
      <c r="Q59" s="61">
        <v>3500</v>
      </c>
      <c r="R59" s="61">
        <f>+Q59*1.05</f>
        <v>3675</v>
      </c>
      <c r="S59" s="61">
        <f>+R59*1.05</f>
        <v>3858.75</v>
      </c>
      <c r="W59" s="25"/>
    </row>
    <row r="60" spans="1:23" s="19" customFormat="1" ht="15.5" hidden="1" x14ac:dyDescent="0.35">
      <c r="A60" s="27" t="s">
        <v>72</v>
      </c>
      <c r="B60" s="180" t="s">
        <v>97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f>IFERROR(GETPIVOTDATA("[Measures].[Jrnl Posting Am]",'[1]Historical Summary Cube'!$AA$73,"[Object].[Object Group]","[Object].[Object Group].&amp;[58]","[Object].[Obj Group Nm]","[Object].[Obj Group Nm].&amp;[HIGHWAY MATERIALS]","[Accounting Period].[Fisc Period]","[Accounting Period].[Fisc Period].&amp;[12]"),0)</f>
        <v>0</v>
      </c>
      <c r="O60" s="18">
        <f t="shared" si="6"/>
        <v>0</v>
      </c>
      <c r="P60" s="49"/>
      <c r="Q60" s="61"/>
      <c r="R60" s="61"/>
      <c r="S60" s="61"/>
    </row>
    <row r="61" spans="1:23" s="19" customFormat="1" ht="15.5" hidden="1" x14ac:dyDescent="0.35">
      <c r="A61" s="27">
        <v>63</v>
      </c>
      <c r="B61" s="180" t="s">
        <v>128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f>IFERROR(GETPIVOTDATA("[Measures].[Jrnl Posting Am]",'[1]Historical Summary Cube'!$AA$73,"[Object].[Object Group]","[Object].[Object Group].&amp;[63]","[Object].[Obj Group Nm]","[Object].[Obj Group Nm].&amp;[GRANTS TO CITIES AND TOWNS]","[Accounting Period].[Fisc Period]","[Accounting Period].[Fisc Period].&amp;[12]"),0)</f>
        <v>0</v>
      </c>
      <c r="O61" s="18">
        <f t="shared" si="6"/>
        <v>0</v>
      </c>
      <c r="P61" s="49"/>
      <c r="Q61" s="61"/>
      <c r="R61" s="61"/>
      <c r="S61" s="61"/>
    </row>
    <row r="62" spans="1:23" s="19" customFormat="1" ht="15.5" x14ac:dyDescent="0.35">
      <c r="A62" s="27" t="s">
        <v>73</v>
      </c>
      <c r="B62" s="180" t="s">
        <v>98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6432</v>
      </c>
      <c r="L62" s="25">
        <v>0</v>
      </c>
      <c r="M62" s="25">
        <v>0</v>
      </c>
      <c r="N62" s="25">
        <f>IFERROR(GETPIVOTDATA("[Measures].[Jrnl Posting Am]",'[1]Historical Summary Cube'!$AA$73,"[Object].[Object Group]","[Object].[Object Group].&amp;[64]","[Object].[Obj Group Nm]","[Object].[Obj Group Nm].&amp;[GRANTS TO PUB AND PRIV ORGNS]","[Accounting Period].[Fisc Period]","[Accounting Period].[Fisc Period].&amp;[12]"),0)</f>
        <v>0</v>
      </c>
      <c r="O62" s="18">
        <f t="shared" si="6"/>
        <v>6432</v>
      </c>
      <c r="P62" s="49"/>
      <c r="Q62" s="144">
        <v>6432</v>
      </c>
      <c r="R62" s="144">
        <v>6432</v>
      </c>
      <c r="S62" s="144">
        <v>6432</v>
      </c>
      <c r="W62" s="61"/>
    </row>
    <row r="63" spans="1:23" s="19" customFormat="1" ht="15.5" hidden="1" x14ac:dyDescent="0.35">
      <c r="A63" s="27" t="s">
        <v>74</v>
      </c>
      <c r="B63" s="180" t="s">
        <v>99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f>IFERROR(GETPIVOTDATA("[Measures].[Jrnl Posting Am]",'[1]Historical Summary Cube'!$AA$73,"[Object].[Object Group]","[Object].[Object Group].&amp;[67]","[Object].[Obj Group Nm]","[Object].[Obj Group Nm].&amp;[ASSISTANCE AND RELIEF GRANT]","[Accounting Period].[Fisc Period]","[Accounting Period].[Fisc Period].&amp;[12]"),0)</f>
        <v>0</v>
      </c>
      <c r="O63" s="18">
        <f t="shared" si="6"/>
        <v>0</v>
      </c>
      <c r="P63" s="49"/>
      <c r="Q63" s="61"/>
      <c r="R63" s="61"/>
      <c r="S63" s="61"/>
    </row>
    <row r="64" spans="1:23" s="19" customFormat="1" ht="15.5" hidden="1" x14ac:dyDescent="0.35">
      <c r="A64" s="27" t="s">
        <v>75</v>
      </c>
      <c r="B64" s="180" t="s">
        <v>95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f>IFERROR(GETPIVOTDATA("[Measures].[Jrnl Posting Am]",'[1]Historical Summary Cube'!$AA$73,"[Object].[Object Group]","[Object].[Object Group].&amp;[72]","[Object].[Obj Group Nm]","[Object].[Obj Group Nm].&amp;[EQUIPMENT]","[Accounting Period].[Fisc Period]","[Accounting Period].[Fisc Period].&amp;[12]"),0)</f>
        <v>0</v>
      </c>
      <c r="O64" s="18">
        <f t="shared" si="6"/>
        <v>0</v>
      </c>
      <c r="P64" s="49"/>
      <c r="Q64" s="61"/>
      <c r="R64" s="61"/>
      <c r="S64" s="61"/>
    </row>
    <row r="65" spans="1:19" s="19" customFormat="1" ht="15.5" x14ac:dyDescent="0.35">
      <c r="A65" s="27" t="s">
        <v>76</v>
      </c>
      <c r="B65" s="180" t="s">
        <v>100</v>
      </c>
      <c r="C65" s="25">
        <v>0</v>
      </c>
      <c r="D65" s="25">
        <v>-20</v>
      </c>
      <c r="E65" s="25">
        <v>0</v>
      </c>
      <c r="F65" s="25">
        <v>0</v>
      </c>
      <c r="G65" s="25">
        <v>-20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40</v>
      </c>
      <c r="O65" s="18">
        <f t="shared" si="6"/>
        <v>0</v>
      </c>
      <c r="P65" s="49"/>
      <c r="Q65" s="61"/>
      <c r="R65" s="61"/>
      <c r="S65" s="61"/>
    </row>
    <row r="66" spans="1:19" s="19" customFormat="1" ht="15.5" x14ac:dyDescent="0.35">
      <c r="A66" s="27" t="s">
        <v>77</v>
      </c>
      <c r="B66" s="180" t="s">
        <v>101</v>
      </c>
      <c r="C66" s="25">
        <v>7568.1699999999992</v>
      </c>
      <c r="D66" s="25">
        <v>9942.77</v>
      </c>
      <c r="E66" s="25">
        <v>10755.88</v>
      </c>
      <c r="F66" s="25">
        <v>6341.3300000000008</v>
      </c>
      <c r="G66" s="25">
        <v>5737.32</v>
      </c>
      <c r="H66" s="25">
        <v>7790.6200000000008</v>
      </c>
      <c r="I66" s="25">
        <v>10074.98</v>
      </c>
      <c r="J66" s="25">
        <v>8522.380000000001</v>
      </c>
      <c r="K66" s="25">
        <v>9336.659999999998</v>
      </c>
      <c r="L66" s="25">
        <v>8401.7999999999993</v>
      </c>
      <c r="M66" s="25">
        <f>(SUM(M43:M60)*0.06265)+0.02</f>
        <v>9494.760944499998</v>
      </c>
      <c r="N66" s="25">
        <f>(SUM(N43:N60)*0.06265)-0.01</f>
        <v>8032.9980599999981</v>
      </c>
      <c r="O66" s="18">
        <f t="shared" si="6"/>
        <v>101999.66900450001</v>
      </c>
      <c r="P66" s="49"/>
      <c r="Q66" s="25">
        <f>SUM(Q43:Q60)*Q74</f>
        <v>90014.573509549999</v>
      </c>
      <c r="R66" s="25">
        <f>SUM(R43:R60)*R74</f>
        <v>93403.79308594999</v>
      </c>
      <c r="S66" s="25">
        <f>SUM(S43:S60)*S74</f>
        <v>95801.548471913993</v>
      </c>
    </row>
    <row r="67" spans="1:19" s="19" customFormat="1" ht="15.5" x14ac:dyDescent="0.35">
      <c r="A67" s="27" t="s">
        <v>78</v>
      </c>
      <c r="B67" s="180" t="s">
        <v>102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14.82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f>IFERROR(GETPIVOTDATA("[Measures].[Jrnl Posting Am]",'[1]Historical Summary Cube'!$AA$73,"[Object].[Object Group]","[Object].[Object Group].&amp;[90]","[Object].[Obj Group Nm]","[Object].[Obj Group Nm].&amp;[CHARGES TO ASSETS AND LIAB.]","[Accounting Period].[Fisc Period]","[Accounting Period].[Fisc Period].&amp;[12]"),0)</f>
        <v>0</v>
      </c>
      <c r="O67" s="18">
        <f t="shared" si="6"/>
        <v>14.82</v>
      </c>
      <c r="P67" s="49"/>
      <c r="Q67" s="61"/>
      <c r="R67" s="61"/>
      <c r="S67" s="61"/>
    </row>
    <row r="68" spans="1:19" s="17" customFormat="1" ht="16" thickBot="1" x14ac:dyDescent="0.4">
      <c r="A68" s="23"/>
      <c r="B68" s="179" t="s">
        <v>109</v>
      </c>
      <c r="C68" s="29">
        <f>SUM(C43:C67)</f>
        <v>128368.54</v>
      </c>
      <c r="D68" s="29">
        <f t="shared" ref="D68:N68" si="10">SUM(D43:D67)</f>
        <v>168626.21999999997</v>
      </c>
      <c r="E68" s="29">
        <f t="shared" si="10"/>
        <v>182437.18</v>
      </c>
      <c r="F68" s="29">
        <f t="shared" si="10"/>
        <v>107559.77000000002</v>
      </c>
      <c r="G68" s="29">
        <f t="shared" si="10"/>
        <v>97294.189999999973</v>
      </c>
      <c r="H68" s="29">
        <f t="shared" si="10"/>
        <v>132156.30000000002</v>
      </c>
      <c r="I68" s="29">
        <f t="shared" si="10"/>
        <v>170888.75000000003</v>
      </c>
      <c r="J68" s="29">
        <f t="shared" si="10"/>
        <v>144553.82999999996</v>
      </c>
      <c r="K68" s="29">
        <f t="shared" si="10"/>
        <v>164797.84999999998</v>
      </c>
      <c r="L68" s="29">
        <f t="shared" si="10"/>
        <v>142508.42999999996</v>
      </c>
      <c r="M68" s="29">
        <f t="shared" si="10"/>
        <v>161046.89094449999</v>
      </c>
      <c r="N68" s="29">
        <f t="shared" si="10"/>
        <v>136293.39805999998</v>
      </c>
      <c r="O68" s="29">
        <f t="shared" si="6"/>
        <v>1736531.3490044998</v>
      </c>
      <c r="P68" s="36"/>
      <c r="Q68" s="29">
        <f>SUM(Q43:Q67)</f>
        <v>1934604.0885095499</v>
      </c>
      <c r="R68" s="29">
        <f t="shared" ref="R68:S68" si="11">SUM(R43:R67)</f>
        <v>2007203.4280859497</v>
      </c>
      <c r="S68" s="29">
        <f t="shared" si="11"/>
        <v>2058564.9446719137</v>
      </c>
    </row>
    <row r="69" spans="1:19" s="19" customFormat="1" ht="15.5" x14ac:dyDescent="0.35">
      <c r="A69" s="1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18"/>
      <c r="P69" s="49"/>
    </row>
    <row r="70" spans="1:19" s="19" customFormat="1" ht="15.5" x14ac:dyDescent="0.35">
      <c r="A70" s="1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18"/>
      <c r="P70" s="49"/>
    </row>
    <row r="71" spans="1:19" s="19" customFormat="1" ht="15.5" x14ac:dyDescent="0.35">
      <c r="A71" s="1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18"/>
      <c r="P71" s="49"/>
    </row>
    <row r="72" spans="1:19" s="34" customFormat="1" ht="16" thickBot="1" x14ac:dyDescent="0.4">
      <c r="A72" s="31"/>
      <c r="B72" s="33" t="s">
        <v>105</v>
      </c>
      <c r="C72" s="33">
        <f t="shared" ref="C72:N72" si="12">C8+C31-C68</f>
        <v>1961483.0899999992</v>
      </c>
      <c r="D72" s="33">
        <f t="shared" ca="1" si="12"/>
        <v>1791676.8099999991</v>
      </c>
      <c r="E72" s="33">
        <f t="shared" ca="1" si="12"/>
        <v>1600234.1399999992</v>
      </c>
      <c r="F72" s="33">
        <f t="shared" ca="1" si="12"/>
        <v>1485352.1799999992</v>
      </c>
      <c r="G72" s="33">
        <f t="shared" ca="1" si="12"/>
        <v>1550435.2199999993</v>
      </c>
      <c r="H72" s="33">
        <f t="shared" ca="1" si="12"/>
        <v>2252212.3899999997</v>
      </c>
      <c r="I72" s="33">
        <f t="shared" ca="1" si="12"/>
        <v>2263610.9999999995</v>
      </c>
      <c r="J72" s="33">
        <f t="shared" ca="1" si="12"/>
        <v>2198410.0999999996</v>
      </c>
      <c r="K72" s="33">
        <f t="shared" ca="1" si="12"/>
        <v>2316927.5399999996</v>
      </c>
      <c r="L72" s="33">
        <f t="shared" ca="1" si="12"/>
        <v>2207009.7299999995</v>
      </c>
      <c r="M72" s="33">
        <f t="shared" ca="1" si="12"/>
        <v>1872486.8390554995</v>
      </c>
      <c r="N72" s="33">
        <f t="shared" ca="1" si="12"/>
        <v>1754990.6214954995</v>
      </c>
      <c r="O72" s="35">
        <f>C8+O31-O68</f>
        <v>1754990.6214954995</v>
      </c>
      <c r="P72" s="38"/>
      <c r="Q72" s="35">
        <f>Q8+Q31-Q68</f>
        <v>1938347.9057359495</v>
      </c>
      <c r="R72" s="35">
        <f t="shared" ref="R72:S72" si="13">R8+R31-R68</f>
        <v>2063724.3323999997</v>
      </c>
      <c r="S72" s="35">
        <f t="shared" si="13"/>
        <v>2130394.6782980859</v>
      </c>
    </row>
    <row r="74" spans="1:19" x14ac:dyDescent="0.35">
      <c r="O74" s="64" t="s">
        <v>676</v>
      </c>
      <c r="P74" s="68"/>
      <c r="Q74" s="68">
        <v>4.897E-2</v>
      </c>
      <c r="R74" s="68">
        <v>4.897E-2</v>
      </c>
      <c r="S74" s="68">
        <v>4.897E-2</v>
      </c>
    </row>
    <row r="77" spans="1:19" x14ac:dyDescent="0.35">
      <c r="B77" s="189" t="s">
        <v>678</v>
      </c>
    </row>
    <row r="78" spans="1:19" x14ac:dyDescent="0.35">
      <c r="B78" s="2" t="s">
        <v>682</v>
      </c>
      <c r="N78" s="181" t="s">
        <v>166</v>
      </c>
    </row>
    <row r="80" spans="1:19" hidden="1" x14ac:dyDescent="0.35">
      <c r="M80" s="182" t="s">
        <v>672</v>
      </c>
      <c r="N80" s="5" t="s">
        <v>673</v>
      </c>
      <c r="Q80" s="59">
        <v>310771</v>
      </c>
      <c r="R80" s="59">
        <v>309266</v>
      </c>
      <c r="S80" s="59">
        <f>+R80*1.02</f>
        <v>315451.32</v>
      </c>
    </row>
    <row r="81" spans="13:20" hidden="1" x14ac:dyDescent="0.35">
      <c r="M81" s="182" t="s">
        <v>674</v>
      </c>
      <c r="N81" s="184" t="s">
        <v>167</v>
      </c>
      <c r="O81" s="137"/>
      <c r="P81" s="185"/>
      <c r="Q81" s="139">
        <f>503385.61</f>
        <v>503385.61</v>
      </c>
      <c r="R81" s="139">
        <v>511756.63</v>
      </c>
      <c r="S81" s="139">
        <v>519191.47</v>
      </c>
    </row>
    <row r="82" spans="13:20" hidden="1" x14ac:dyDescent="0.35">
      <c r="Q82">
        <v>2252678.41</v>
      </c>
      <c r="R82">
        <v>2326142.5699999998</v>
      </c>
      <c r="S82">
        <v>2379047.34</v>
      </c>
    </row>
    <row r="83" spans="13:20" hidden="1" x14ac:dyDescent="0.35">
      <c r="Q83" s="188">
        <f>+Q68-Q82</f>
        <v>-318074.3214904503</v>
      </c>
      <c r="R83" s="188">
        <f t="shared" ref="R83:S83" si="14">+R68-R82</f>
        <v>-318939.14191405009</v>
      </c>
      <c r="S83" s="188">
        <f t="shared" si="14"/>
        <v>-320482.3953280861</v>
      </c>
    </row>
    <row r="84" spans="13:20" hidden="1" x14ac:dyDescent="0.35">
      <c r="Q84" s="5"/>
    </row>
    <row r="85" spans="13:20" hidden="1" x14ac:dyDescent="0.35">
      <c r="Q85" s="5"/>
    </row>
    <row r="86" spans="13:20" hidden="1" x14ac:dyDescent="0.35"/>
    <row r="87" spans="13:20" hidden="1" x14ac:dyDescent="0.35"/>
    <row r="88" spans="13:20" hidden="1" x14ac:dyDescent="0.35"/>
    <row r="89" spans="13:20" hidden="1" x14ac:dyDescent="0.35"/>
    <row r="90" spans="13:20" hidden="1" x14ac:dyDescent="0.35">
      <c r="Q90" s="59"/>
      <c r="R90" s="59"/>
      <c r="S90" s="59"/>
      <c r="T90" s="59"/>
    </row>
    <row r="91" spans="13:20" hidden="1" x14ac:dyDescent="0.35">
      <c r="N91" s="186" t="s">
        <v>514</v>
      </c>
      <c r="O91" s="187"/>
      <c r="Q91" s="59"/>
      <c r="R91" s="59"/>
      <c r="S91" s="59"/>
      <c r="T91" s="59"/>
    </row>
    <row r="92" spans="13:20" hidden="1" x14ac:dyDescent="0.35">
      <c r="N92" s="5" t="s">
        <v>515</v>
      </c>
      <c r="Q92" s="59">
        <v>2750</v>
      </c>
      <c r="R92" s="59">
        <f>+Q92*1</f>
        <v>2750</v>
      </c>
      <c r="S92" s="59">
        <f>+R92*1.05</f>
        <v>2887.5</v>
      </c>
      <c r="T92" s="59"/>
    </row>
    <row r="93" spans="13:20" hidden="1" x14ac:dyDescent="0.35">
      <c r="N93" s="5" t="s">
        <v>516</v>
      </c>
      <c r="Q93" s="59">
        <v>35000</v>
      </c>
      <c r="R93" s="59">
        <v>35000</v>
      </c>
      <c r="S93" s="59">
        <v>35000</v>
      </c>
      <c r="T93" s="59" t="s">
        <v>698</v>
      </c>
    </row>
    <row r="94" spans="13:20" hidden="1" x14ac:dyDescent="0.35">
      <c r="N94" s="5" t="s">
        <v>517</v>
      </c>
      <c r="Q94" s="59">
        <v>1500</v>
      </c>
      <c r="R94" s="59">
        <f>+Q94*1.05</f>
        <v>1575</v>
      </c>
      <c r="S94" s="59">
        <f>+R94*1.05</f>
        <v>1653.75</v>
      </c>
      <c r="T94" s="59"/>
    </row>
    <row r="95" spans="13:20" hidden="1" x14ac:dyDescent="0.35">
      <c r="N95" s="5" t="s">
        <v>518</v>
      </c>
      <c r="Q95" s="59">
        <v>600</v>
      </c>
      <c r="R95" s="59">
        <f>+Q95*1.05</f>
        <v>630</v>
      </c>
      <c r="S95" s="59">
        <f>+R95*1.05</f>
        <v>661.5</v>
      </c>
      <c r="T95" s="59"/>
    </row>
    <row r="96" spans="13:20" hidden="1" x14ac:dyDescent="0.35">
      <c r="N96" s="5" t="s">
        <v>519</v>
      </c>
      <c r="Q96" s="59">
        <f>SUM(Q11:Q12)*0.015</f>
        <v>39280.275000000001</v>
      </c>
      <c r="R96" s="59">
        <f t="shared" ref="R96:S96" si="15">SUM(R11:R12)*0.015</f>
        <v>39280.275000000001</v>
      </c>
      <c r="S96" s="59">
        <f t="shared" si="15"/>
        <v>39280.275000000001</v>
      </c>
      <c r="T96" s="59"/>
    </row>
    <row r="97" spans="13:20" hidden="1" x14ac:dyDescent="0.35">
      <c r="N97" s="5" t="s">
        <v>520</v>
      </c>
      <c r="Q97" s="59">
        <f>700*9</f>
        <v>6300</v>
      </c>
      <c r="R97" s="59">
        <f>+Q97</f>
        <v>6300</v>
      </c>
      <c r="S97" s="59">
        <f>+R97</f>
        <v>6300</v>
      </c>
      <c r="T97" s="59"/>
    </row>
    <row r="98" spans="13:20" ht="15" hidden="1" thickBot="1" x14ac:dyDescent="0.4">
      <c r="Q98" s="143">
        <f>SUM(Q92:Q97)</f>
        <v>85430.274999999994</v>
      </c>
      <c r="R98" s="143">
        <f t="shared" ref="R98:S98" si="16">SUM(R92:R97)</f>
        <v>85535.274999999994</v>
      </c>
      <c r="S98" s="143">
        <f t="shared" si="16"/>
        <v>85783.024999999994</v>
      </c>
      <c r="T98" s="59"/>
    </row>
    <row r="99" spans="13:20" ht="15" hidden="1" thickTop="1" x14ac:dyDescent="0.35">
      <c r="Q99" s="59"/>
      <c r="R99" s="59"/>
      <c r="S99" s="59"/>
      <c r="T99" s="59"/>
    </row>
    <row r="100" spans="13:20" hidden="1" x14ac:dyDescent="0.35"/>
    <row r="101" spans="13:20" hidden="1" x14ac:dyDescent="0.35"/>
    <row r="102" spans="13:20" hidden="1" x14ac:dyDescent="0.35"/>
    <row r="103" spans="13:20" hidden="1" x14ac:dyDescent="0.35">
      <c r="M103" s="5" t="s">
        <v>675</v>
      </c>
      <c r="Q103" s="59">
        <f>(33345*9)+(25966*3)</f>
        <v>378003</v>
      </c>
      <c r="R103" s="59">
        <f>33786*12</f>
        <v>405432</v>
      </c>
      <c r="S103" s="59">
        <f>34383*12</f>
        <v>412596</v>
      </c>
      <c r="T103" s="59"/>
    </row>
    <row r="104" spans="13:20" hidden="1" x14ac:dyDescent="0.35"/>
    <row r="105" spans="13:20" hidden="1" x14ac:dyDescent="0.35"/>
    <row r="106" spans="13:20" ht="15.5" hidden="1" x14ac:dyDescent="0.35">
      <c r="N106" s="19" t="s">
        <v>699</v>
      </c>
      <c r="O106" s="153">
        <v>40</v>
      </c>
      <c r="Q106" s="59">
        <v>11000</v>
      </c>
      <c r="R106" s="59">
        <v>11000</v>
      </c>
      <c r="S106" s="59">
        <v>11000</v>
      </c>
      <c r="T106" t="s">
        <v>701</v>
      </c>
    </row>
    <row r="107" spans="13:20" ht="15.5" hidden="1" x14ac:dyDescent="0.35">
      <c r="N107" s="19" t="s">
        <v>700</v>
      </c>
      <c r="O107" s="199">
        <v>40</v>
      </c>
      <c r="Q107" s="200">
        <v>14621</v>
      </c>
      <c r="R107" s="200">
        <v>14621</v>
      </c>
      <c r="S107" s="200">
        <v>14621</v>
      </c>
      <c r="T107" t="s">
        <v>689</v>
      </c>
    </row>
    <row r="108" spans="13:20" hidden="1" x14ac:dyDescent="0.35"/>
    <row r="109" spans="13:20" hidden="1" x14ac:dyDescent="0.35"/>
  </sheetData>
  <mergeCells count="1">
    <mergeCell ref="C6:N6"/>
  </mergeCells>
  <conditionalFormatting sqref="P32">
    <cfRule type="cellIs" dxfId="359" priority="3" operator="equal">
      <formula>"ERROR"</formula>
    </cfRule>
  </conditionalFormatting>
  <conditionalFormatting sqref="P69">
    <cfRule type="cellIs" dxfId="358" priority="2" operator="equal">
      <formula>"ERROR"</formula>
    </cfRule>
  </conditionalFormatting>
  <conditionalFormatting sqref="A7">
    <cfRule type="cellIs" dxfId="357" priority="1" operator="equal">
      <formula>"ERROR"</formula>
    </cfRule>
  </conditionalFormatting>
  <pageMargins left="0.2" right="0.2" top="0.5" bottom="0.5" header="0.3" footer="0.3"/>
  <pageSetup scale="73" orientation="portrait" r:id="rId1"/>
  <headerFooter>
    <oddFooter>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1D26-4157-48C6-8E67-99DF2E90D25E}">
  <sheetPr filterMode="1"/>
  <dimension ref="A1:XEU71"/>
  <sheetViews>
    <sheetView topLeftCell="O4" workbookViewId="0">
      <selection activeCell="BA7" sqref="BA7"/>
    </sheetView>
  </sheetViews>
  <sheetFormatPr defaultRowHeight="15.75" customHeight="1" x14ac:dyDescent="0.35"/>
  <cols>
    <col min="1" max="1" width="7" customWidth="1"/>
    <col min="2" max="2" width="11.453125" bestFit="1" customWidth="1"/>
    <col min="3" max="3" width="28.81640625" bestFit="1" customWidth="1"/>
    <col min="4" max="4" width="9" bestFit="1" customWidth="1"/>
    <col min="5" max="5" width="8.1796875" bestFit="1" customWidth="1"/>
    <col min="6" max="6" width="6" bestFit="1" customWidth="1"/>
    <col min="7" max="7" width="8.7265625" bestFit="1" customWidth="1"/>
    <col min="8" max="8" width="20.7265625" bestFit="1" customWidth="1"/>
    <col min="9" max="9" width="14.81640625" bestFit="1" customWidth="1"/>
    <col min="10" max="10" width="6.26953125" customWidth="1"/>
    <col min="11" max="11" width="31.54296875" bestFit="1" customWidth="1"/>
    <col min="12" max="12" width="14.81640625" bestFit="1" customWidth="1"/>
    <col min="13" max="13" width="10.54296875" bestFit="1" customWidth="1"/>
    <col min="14" max="14" width="11.54296875" bestFit="1" customWidth="1"/>
    <col min="16" max="16" width="0" hidden="1" customWidth="1"/>
    <col min="17" max="17" width="9.1796875" hidden="1" customWidth="1"/>
    <col min="18" max="18" width="9.54296875" hidden="1" customWidth="1"/>
    <col min="19" max="19" width="9.7265625" hidden="1" customWidth="1"/>
    <col min="20" max="20" width="9.54296875" hidden="1" customWidth="1"/>
    <col min="21" max="22" width="9.7265625" hidden="1" customWidth="1"/>
    <col min="23" max="23" width="10.54296875" hidden="1" customWidth="1"/>
    <col min="24" max="24" width="9.7265625" hidden="1" customWidth="1"/>
    <col min="25" max="26" width="10.7265625" hidden="1" customWidth="1"/>
    <col min="27" max="27" width="9.7265625" hidden="1" customWidth="1"/>
    <col min="28" max="28" width="10.7265625" hidden="1" customWidth="1"/>
    <col min="29" max="29" width="9.7265625" hidden="1" customWidth="1"/>
    <col min="30" max="30" width="10.7265625" hidden="1" customWidth="1"/>
    <col min="31" max="31" width="9.54296875" hidden="1" customWidth="1"/>
    <col min="32" max="32" width="9.7265625" hidden="1" customWidth="1"/>
    <col min="33" max="33" width="9.54296875" hidden="1" customWidth="1"/>
    <col min="34" max="34" width="9.7265625" hidden="1" customWidth="1"/>
    <col min="35" max="35" width="9.54296875" hidden="1" customWidth="1"/>
    <col min="36" max="37" width="9.7265625" hidden="1" customWidth="1"/>
    <col min="38" max="38" width="10.54296875" hidden="1" customWidth="1"/>
    <col min="39" max="41" width="9.7265625" hidden="1" customWidth="1"/>
    <col min="42" max="42" width="10.54296875" bestFit="1" customWidth="1"/>
    <col min="43" max="43" width="11.54296875" bestFit="1" customWidth="1"/>
    <col min="44" max="44" width="17.26953125" customWidth="1"/>
    <col min="45" max="45" width="10" customWidth="1"/>
    <col min="46" max="46" width="14.26953125" bestFit="1" customWidth="1"/>
    <col min="47" max="47" width="10" customWidth="1"/>
    <col min="48" max="48" width="13.26953125" bestFit="1" customWidth="1"/>
    <col min="49" max="49" width="10" customWidth="1"/>
    <col min="50" max="50" width="14.26953125" customWidth="1"/>
    <col min="51" max="51" width="10" customWidth="1"/>
    <col min="52" max="52" width="45.81640625" customWidth="1"/>
    <col min="56" max="56" width="10.54296875" bestFit="1" customWidth="1"/>
  </cols>
  <sheetData>
    <row r="1" spans="1:56" s="127" customFormat="1" ht="59" thickTop="1" thickBot="1" x14ac:dyDescent="0.4">
      <c r="A1" s="131" t="s">
        <v>650</v>
      </c>
      <c r="B1" s="134" t="s">
        <v>649</v>
      </c>
      <c r="C1" s="133" t="s">
        <v>648</v>
      </c>
      <c r="D1" s="133" t="s">
        <v>647</v>
      </c>
      <c r="E1" s="133" t="s">
        <v>646</v>
      </c>
      <c r="F1" s="133" t="s">
        <v>645</v>
      </c>
      <c r="G1" s="133" t="s">
        <v>644</v>
      </c>
      <c r="H1" s="133" t="s">
        <v>643</v>
      </c>
      <c r="I1" s="133" t="s">
        <v>642</v>
      </c>
      <c r="J1" s="133" t="s">
        <v>641</v>
      </c>
      <c r="K1" s="133" t="s">
        <v>640</v>
      </c>
      <c r="L1" s="133" t="s">
        <v>639</v>
      </c>
      <c r="M1" s="133" t="s">
        <v>638</v>
      </c>
      <c r="N1" s="132" t="s">
        <v>637</v>
      </c>
      <c r="O1" s="131" t="s">
        <v>636</v>
      </c>
      <c r="P1" s="131" t="s">
        <v>635</v>
      </c>
      <c r="Q1" s="131" t="s">
        <v>634</v>
      </c>
      <c r="R1" s="130">
        <v>44748</v>
      </c>
      <c r="S1" s="130">
        <v>44762</v>
      </c>
      <c r="T1" s="130">
        <v>44776</v>
      </c>
      <c r="U1" s="130">
        <v>44790</v>
      </c>
      <c r="V1" s="130">
        <v>44804</v>
      </c>
      <c r="W1" s="130">
        <v>44818</v>
      </c>
      <c r="X1" s="130">
        <v>44832</v>
      </c>
      <c r="Y1" s="130">
        <v>44846</v>
      </c>
      <c r="Z1" s="130">
        <v>44860</v>
      </c>
      <c r="AA1" s="130">
        <v>44874</v>
      </c>
      <c r="AB1" s="130">
        <v>44888</v>
      </c>
      <c r="AC1" s="130">
        <v>44902</v>
      </c>
      <c r="AD1" s="130">
        <v>44916</v>
      </c>
      <c r="AE1" s="130">
        <v>44930</v>
      </c>
      <c r="AF1" s="130">
        <v>44944</v>
      </c>
      <c r="AG1" s="130">
        <v>44958</v>
      </c>
      <c r="AH1" s="130">
        <v>44972</v>
      </c>
      <c r="AI1" s="130">
        <v>44986</v>
      </c>
      <c r="AJ1" s="130">
        <v>45000</v>
      </c>
      <c r="AK1" s="130">
        <v>45014</v>
      </c>
      <c r="AL1" s="130">
        <v>45028</v>
      </c>
      <c r="AM1" s="130">
        <v>45042</v>
      </c>
      <c r="AN1" s="130">
        <v>45056</v>
      </c>
      <c r="AO1" s="130">
        <v>45070</v>
      </c>
      <c r="AP1" s="130">
        <v>45084</v>
      </c>
      <c r="AQ1" s="130">
        <v>45098</v>
      </c>
      <c r="AR1" s="130" t="s">
        <v>633</v>
      </c>
      <c r="AS1" s="129" t="s">
        <v>632</v>
      </c>
      <c r="AT1" s="129" t="s">
        <v>631</v>
      </c>
      <c r="AU1" s="128" t="s">
        <v>630</v>
      </c>
      <c r="AV1" s="127" t="s">
        <v>629</v>
      </c>
      <c r="AW1" s="127" t="s">
        <v>628</v>
      </c>
      <c r="AX1" s="127" t="s">
        <v>627</v>
      </c>
      <c r="AY1" s="127" t="s">
        <v>626</v>
      </c>
    </row>
    <row r="2" spans="1:56" s="73" customFormat="1" ht="15" thickTop="1" x14ac:dyDescent="0.35">
      <c r="A2" s="126" t="s">
        <v>536</v>
      </c>
      <c r="B2" s="124" t="s">
        <v>625</v>
      </c>
      <c r="C2" s="124" t="s">
        <v>621</v>
      </c>
      <c r="D2" s="124">
        <v>23</v>
      </c>
      <c r="E2" s="124" t="s">
        <v>564</v>
      </c>
      <c r="F2" s="124">
        <v>9</v>
      </c>
      <c r="G2" s="124" t="s">
        <v>539</v>
      </c>
      <c r="H2" s="124" t="s">
        <v>563</v>
      </c>
      <c r="I2" s="124" t="s">
        <v>619</v>
      </c>
      <c r="J2" s="124">
        <v>1</v>
      </c>
      <c r="K2" s="124" t="s">
        <v>620</v>
      </c>
      <c r="L2" s="124" t="s">
        <v>619</v>
      </c>
      <c r="M2" s="124">
        <v>2023</v>
      </c>
      <c r="N2" s="125">
        <v>84106</v>
      </c>
      <c r="O2" s="124">
        <v>52</v>
      </c>
      <c r="P2" s="124">
        <v>80</v>
      </c>
      <c r="Q2" s="123" t="s">
        <v>528</v>
      </c>
      <c r="R2" s="122">
        <v>0</v>
      </c>
      <c r="S2" s="122">
        <v>0</v>
      </c>
      <c r="T2" s="122">
        <v>0</v>
      </c>
      <c r="U2" s="122">
        <v>0</v>
      </c>
      <c r="V2" s="122">
        <v>0</v>
      </c>
      <c r="W2" s="122">
        <v>0</v>
      </c>
      <c r="X2" s="122">
        <v>0</v>
      </c>
      <c r="Y2" s="122">
        <v>0</v>
      </c>
      <c r="Z2" s="122">
        <v>0</v>
      </c>
      <c r="AA2" s="122">
        <v>0</v>
      </c>
      <c r="AB2" s="122">
        <v>0</v>
      </c>
      <c r="AC2" s="122">
        <v>0</v>
      </c>
      <c r="AD2" s="122">
        <v>0</v>
      </c>
      <c r="AE2" s="122">
        <v>0</v>
      </c>
      <c r="AF2" s="122">
        <v>0</v>
      </c>
      <c r="AG2" s="122">
        <v>0</v>
      </c>
      <c r="AH2" s="122">
        <v>0</v>
      </c>
      <c r="AI2" s="122">
        <v>0</v>
      </c>
      <c r="AJ2" s="122">
        <v>0</v>
      </c>
      <c r="AK2" s="122">
        <v>0</v>
      </c>
      <c r="AL2" s="122">
        <v>0</v>
      </c>
      <c r="AM2" s="122">
        <v>0</v>
      </c>
      <c r="AN2" s="122">
        <v>0</v>
      </c>
      <c r="AO2" s="122">
        <v>0</v>
      </c>
      <c r="AP2" s="122">
        <v>0</v>
      </c>
      <c r="AQ2" s="122">
        <v>0</v>
      </c>
      <c r="AR2" s="122">
        <v>0</v>
      </c>
      <c r="AS2" s="122">
        <v>289.2</v>
      </c>
      <c r="AT2" s="121">
        <v>95249.97</v>
      </c>
      <c r="AU2" s="121">
        <v>360</v>
      </c>
      <c r="AV2" s="121">
        <v>100501.45</v>
      </c>
      <c r="AW2" s="121">
        <v>360</v>
      </c>
      <c r="AX2" s="121">
        <v>104118.02</v>
      </c>
      <c r="AY2" s="121">
        <v>360</v>
      </c>
      <c r="AZ2" s="120" t="s">
        <v>624</v>
      </c>
    </row>
    <row r="3" spans="1:56" s="73" customFormat="1" ht="14.5" x14ac:dyDescent="0.35">
      <c r="A3" s="119" t="s">
        <v>536</v>
      </c>
      <c r="B3" s="70" t="s">
        <v>623</v>
      </c>
      <c r="C3" s="70" t="s">
        <v>621</v>
      </c>
      <c r="D3" s="70">
        <v>21</v>
      </c>
      <c r="E3" s="70" t="s">
        <v>576</v>
      </c>
      <c r="F3" s="70">
        <v>4</v>
      </c>
      <c r="G3" s="70" t="s">
        <v>532</v>
      </c>
      <c r="H3" s="70" t="s">
        <v>575</v>
      </c>
      <c r="I3" s="70" t="s">
        <v>619</v>
      </c>
      <c r="J3" s="70">
        <v>1</v>
      </c>
      <c r="K3" s="70" t="s">
        <v>620</v>
      </c>
      <c r="L3" s="70" t="s">
        <v>619</v>
      </c>
      <c r="M3" s="70">
        <v>2023</v>
      </c>
      <c r="N3" s="77">
        <v>38607</v>
      </c>
      <c r="O3" s="70">
        <v>26</v>
      </c>
      <c r="P3" s="70">
        <v>80</v>
      </c>
      <c r="Q3" s="83" t="s">
        <v>528</v>
      </c>
      <c r="R3" s="76">
        <v>0</v>
      </c>
      <c r="S3" s="76">
        <v>0</v>
      </c>
      <c r="T3" s="76">
        <v>0</v>
      </c>
      <c r="U3" s="76">
        <v>0</v>
      </c>
      <c r="V3" s="76">
        <v>0</v>
      </c>
      <c r="W3" s="76">
        <v>0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0</v>
      </c>
      <c r="AD3" s="76">
        <v>0</v>
      </c>
      <c r="AE3" s="76">
        <v>0</v>
      </c>
      <c r="AF3" s="76">
        <v>0</v>
      </c>
      <c r="AG3" s="76">
        <v>0</v>
      </c>
      <c r="AH3" s="76">
        <v>0</v>
      </c>
      <c r="AI3" s="76">
        <v>0</v>
      </c>
      <c r="AJ3" s="76">
        <v>0</v>
      </c>
      <c r="AK3" s="76">
        <v>0</v>
      </c>
      <c r="AL3" s="76">
        <v>0</v>
      </c>
      <c r="AM3" s="76">
        <v>0</v>
      </c>
      <c r="AN3" s="76">
        <v>0</v>
      </c>
      <c r="AO3" s="76">
        <v>0</v>
      </c>
      <c r="AP3" s="76">
        <v>0</v>
      </c>
      <c r="AQ3" s="76">
        <v>0</v>
      </c>
      <c r="AR3" s="76">
        <v>0</v>
      </c>
      <c r="AS3" s="76">
        <v>289.2</v>
      </c>
      <c r="AT3" s="103">
        <v>42154.26</v>
      </c>
      <c r="AU3" s="103">
        <v>360</v>
      </c>
      <c r="AV3" s="103">
        <v>44333.05</v>
      </c>
      <c r="AW3" s="103">
        <v>360</v>
      </c>
      <c r="AX3" s="103">
        <v>45968.75</v>
      </c>
      <c r="AY3" s="103">
        <v>360</v>
      </c>
      <c r="AZ3" s="118" t="s">
        <v>618</v>
      </c>
    </row>
    <row r="4" spans="1:56" s="73" customFormat="1" ht="14.5" x14ac:dyDescent="0.35">
      <c r="A4" s="119" t="s">
        <v>536</v>
      </c>
      <c r="B4" s="70" t="s">
        <v>622</v>
      </c>
      <c r="C4" s="70" t="s">
        <v>621</v>
      </c>
      <c r="D4" s="70">
        <v>13</v>
      </c>
      <c r="E4" s="70" t="s">
        <v>545</v>
      </c>
      <c r="F4" s="70">
        <v>80</v>
      </c>
      <c r="G4" s="70" t="s">
        <v>544</v>
      </c>
      <c r="H4" s="70" t="s">
        <v>543</v>
      </c>
      <c r="I4" s="70" t="s">
        <v>619</v>
      </c>
      <c r="J4" s="70">
        <v>1</v>
      </c>
      <c r="K4" s="70" t="s">
        <v>620</v>
      </c>
      <c r="L4" s="70" t="s">
        <v>619</v>
      </c>
      <c r="M4" s="70">
        <v>2023</v>
      </c>
      <c r="N4" s="77">
        <v>33736</v>
      </c>
      <c r="O4" s="70">
        <v>26</v>
      </c>
      <c r="P4" s="70">
        <v>80</v>
      </c>
      <c r="Q4" s="83" t="s">
        <v>528</v>
      </c>
      <c r="R4" s="76">
        <v>0</v>
      </c>
      <c r="S4" s="76">
        <v>0</v>
      </c>
      <c r="T4" s="76">
        <v>0</v>
      </c>
      <c r="U4" s="76">
        <v>0</v>
      </c>
      <c r="V4" s="76">
        <v>0</v>
      </c>
      <c r="W4" s="76">
        <v>0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0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0</v>
      </c>
      <c r="AK4" s="76">
        <v>0</v>
      </c>
      <c r="AL4" s="76">
        <v>0</v>
      </c>
      <c r="AM4" s="76">
        <v>0</v>
      </c>
      <c r="AN4" s="76">
        <v>0</v>
      </c>
      <c r="AO4" s="76">
        <v>0</v>
      </c>
      <c r="AP4" s="76">
        <v>0</v>
      </c>
      <c r="AQ4" s="76">
        <v>0</v>
      </c>
      <c r="AR4" s="76">
        <v>0</v>
      </c>
      <c r="AS4" s="76">
        <v>289.2</v>
      </c>
      <c r="AT4" s="103">
        <v>36674.65</v>
      </c>
      <c r="AU4" s="103">
        <v>360</v>
      </c>
      <c r="AV4" s="103">
        <v>37692.54</v>
      </c>
      <c r="AW4" s="103">
        <v>360</v>
      </c>
      <c r="AX4" s="103">
        <v>39053.18</v>
      </c>
      <c r="AY4" s="103">
        <v>360</v>
      </c>
      <c r="AZ4" s="118" t="s">
        <v>618</v>
      </c>
    </row>
    <row r="5" spans="1:56" s="73" customFormat="1" ht="15" thickBot="1" x14ac:dyDescent="0.4">
      <c r="A5" s="117" t="s">
        <v>617</v>
      </c>
      <c r="B5" s="115"/>
      <c r="C5" s="116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67"/>
      <c r="AU5" s="167"/>
      <c r="AV5" s="167"/>
      <c r="AW5" s="167"/>
      <c r="AX5" s="167"/>
      <c r="AY5" s="167"/>
      <c r="AZ5" s="115"/>
    </row>
    <row r="6" spans="1:56" s="73" customFormat="1" ht="15" thickTop="1" x14ac:dyDescent="0.35">
      <c r="A6" s="114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5"/>
      <c r="AU6" s="5"/>
      <c r="AV6" s="5"/>
      <c r="AW6" s="5"/>
      <c r="AX6" s="5"/>
      <c r="AY6" s="113"/>
      <c r="AZ6" s="113"/>
      <c r="BA6" s="73" t="s">
        <v>681</v>
      </c>
      <c r="BD6" s="190"/>
    </row>
    <row r="12" spans="1:56" s="73" customFormat="1" ht="14.5" hidden="1" x14ac:dyDescent="0.35">
      <c r="A12" s="112" t="s">
        <v>597</v>
      </c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1"/>
      <c r="O12" s="110"/>
      <c r="P12" s="110"/>
      <c r="Q12" s="110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4"/>
      <c r="AU12" s="103"/>
      <c r="AV12" s="103"/>
      <c r="AW12" s="103"/>
      <c r="AX12" s="103"/>
      <c r="AY12" s="103"/>
      <c r="AZ12" s="71"/>
    </row>
    <row r="13" spans="1:56" s="73" customFormat="1" ht="14.5" hidden="1" x14ac:dyDescent="0.35">
      <c r="A13" s="108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7"/>
      <c r="O13" s="106"/>
      <c r="P13" s="106"/>
      <c r="Q13" s="106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4"/>
      <c r="AU13" s="103"/>
      <c r="AV13" s="103"/>
      <c r="AW13" s="103"/>
      <c r="AX13" s="103"/>
      <c r="AY13" s="103"/>
      <c r="AZ13" s="102"/>
    </row>
    <row r="14" spans="1:56" s="73" customFormat="1" ht="14.5" hidden="1" x14ac:dyDescent="0.35">
      <c r="A14" s="78" t="s">
        <v>536</v>
      </c>
      <c r="B14" s="70" t="s">
        <v>596</v>
      </c>
      <c r="C14" s="70" t="s">
        <v>595</v>
      </c>
      <c r="D14" s="70">
        <v>21</v>
      </c>
      <c r="E14" s="70" t="s">
        <v>576</v>
      </c>
      <c r="F14" s="70">
        <v>4</v>
      </c>
      <c r="G14" s="70" t="s">
        <v>532</v>
      </c>
      <c r="H14" s="70" t="s">
        <v>575</v>
      </c>
      <c r="I14" s="70" t="s">
        <v>562</v>
      </c>
      <c r="J14" s="70">
        <v>1</v>
      </c>
      <c r="K14" s="70" t="s">
        <v>567</v>
      </c>
      <c r="L14" s="70" t="s">
        <v>562</v>
      </c>
      <c r="M14" s="70">
        <v>2023</v>
      </c>
      <c r="N14" s="77">
        <v>71368</v>
      </c>
      <c r="O14" s="70">
        <v>52</v>
      </c>
      <c r="P14" s="70">
        <v>80</v>
      </c>
      <c r="Q14" s="70" t="s">
        <v>528</v>
      </c>
      <c r="R14" s="76">
        <v>2707.24</v>
      </c>
      <c r="S14" s="76">
        <v>2751.26</v>
      </c>
      <c r="T14" s="76">
        <v>2463.81</v>
      </c>
      <c r="U14" s="76">
        <v>3022.9</v>
      </c>
      <c r="V14" s="76">
        <v>2419.2600000000002</v>
      </c>
      <c r="W14" s="76">
        <v>2463.81</v>
      </c>
      <c r="X14" s="76">
        <v>2463.8200000000002</v>
      </c>
      <c r="Y14" s="76">
        <v>2463.8200000000002</v>
      </c>
      <c r="Z14" s="76">
        <v>2463.8200000000002</v>
      </c>
      <c r="AA14" s="76">
        <v>2463.81</v>
      </c>
      <c r="AB14" s="76">
        <v>2463.8200000000002</v>
      </c>
      <c r="AC14" s="76">
        <v>2910.94</v>
      </c>
      <c r="AD14" s="76">
        <v>2910.92</v>
      </c>
      <c r="AE14" s="76">
        <v>2910.93</v>
      </c>
      <c r="AF14" s="76">
        <v>2910.92</v>
      </c>
      <c r="AG14" s="76">
        <v>2910.93</v>
      </c>
      <c r="AH14" s="76">
        <v>2910.92</v>
      </c>
      <c r="AI14" s="76">
        <v>2910.93</v>
      </c>
      <c r="AJ14" s="76">
        <v>2910.93</v>
      </c>
      <c r="AK14" s="76">
        <v>2419.25</v>
      </c>
      <c r="AL14" s="76">
        <v>2910.92</v>
      </c>
      <c r="AM14" s="76">
        <v>2911.77</v>
      </c>
      <c r="AN14" s="76">
        <v>2911.76</v>
      </c>
      <c r="AO14" s="76">
        <v>2911.78</v>
      </c>
      <c r="AP14" s="76">
        <v>2911</v>
      </c>
      <c r="AQ14" s="76">
        <v>2911</v>
      </c>
      <c r="AR14" s="76">
        <v>71322.26999999999</v>
      </c>
      <c r="AS14" s="76">
        <v>289.2</v>
      </c>
      <c r="AT14" s="76">
        <v>76970.990000000005</v>
      </c>
      <c r="AU14" s="76">
        <v>360</v>
      </c>
      <c r="AV14" s="76">
        <v>80455.27</v>
      </c>
      <c r="AW14" s="76">
        <v>360</v>
      </c>
      <c r="AX14" s="76">
        <v>83261.789999999994</v>
      </c>
      <c r="AY14" s="76">
        <v>360</v>
      </c>
      <c r="AZ14" s="74"/>
    </row>
    <row r="15" spans="1:56" s="73" customFormat="1" ht="14.5" x14ac:dyDescent="0.35">
      <c r="A15" s="78" t="s">
        <v>536</v>
      </c>
      <c r="B15" s="70" t="s">
        <v>594</v>
      </c>
      <c r="C15" s="70" t="s">
        <v>559</v>
      </c>
      <c r="D15" s="70">
        <v>21</v>
      </c>
      <c r="E15" s="70" t="s">
        <v>576</v>
      </c>
      <c r="F15" s="70">
        <v>4</v>
      </c>
      <c r="G15" s="70" t="s">
        <v>532</v>
      </c>
      <c r="H15" s="70" t="s">
        <v>575</v>
      </c>
      <c r="I15" s="70" t="s">
        <v>529</v>
      </c>
      <c r="J15" s="70">
        <v>1</v>
      </c>
      <c r="K15" s="70" t="s">
        <v>530</v>
      </c>
      <c r="L15" s="70" t="s">
        <v>529</v>
      </c>
      <c r="M15" s="70">
        <v>2023</v>
      </c>
      <c r="N15" s="77">
        <v>39626</v>
      </c>
      <c r="O15" s="70">
        <v>40</v>
      </c>
      <c r="P15" s="70">
        <v>80</v>
      </c>
      <c r="Q15" s="70" t="s">
        <v>586</v>
      </c>
      <c r="R15" s="76">
        <v>2352.75</v>
      </c>
      <c r="S15" s="76">
        <v>2398.89</v>
      </c>
      <c r="T15" s="76">
        <v>2445.0500000000002</v>
      </c>
      <c r="U15" s="76">
        <v>2445.06</v>
      </c>
      <c r="V15" s="76">
        <v>2415.0500000000002</v>
      </c>
      <c r="W15" s="76">
        <v>2445.0500000000002</v>
      </c>
      <c r="X15" s="76">
        <v>2445.0500000000002</v>
      </c>
      <c r="Y15" s="76">
        <v>2445.0500000000002</v>
      </c>
      <c r="Z15" s="76">
        <v>2445.0500000000002</v>
      </c>
      <c r="AA15" s="76">
        <v>2445.0500000000002</v>
      </c>
      <c r="AB15" s="76">
        <v>2445.0500000000002</v>
      </c>
      <c r="AC15" s="76">
        <v>2445.0500000000002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76"/>
      <c r="AJ15" s="76"/>
      <c r="AK15" s="76"/>
      <c r="AL15" s="76"/>
      <c r="AM15" s="76"/>
      <c r="AN15" s="76"/>
      <c r="AO15" s="76"/>
      <c r="AP15" s="76"/>
      <c r="AQ15" s="76"/>
      <c r="AR15" s="76">
        <v>29172.149999999994</v>
      </c>
      <c r="AS15" s="76">
        <v>289.2</v>
      </c>
      <c r="AT15" s="76"/>
      <c r="AU15" s="86"/>
      <c r="AV15" s="86"/>
      <c r="AW15" s="86"/>
      <c r="AX15" s="86"/>
      <c r="AY15" s="86"/>
      <c r="AZ15" s="74"/>
    </row>
    <row r="16" spans="1:56" s="73" customFormat="1" ht="14.5" x14ac:dyDescent="0.35">
      <c r="A16" s="78" t="s">
        <v>536</v>
      </c>
      <c r="B16" s="70" t="s">
        <v>594</v>
      </c>
      <c r="C16" s="70" t="s">
        <v>593</v>
      </c>
      <c r="D16" s="70">
        <v>21</v>
      </c>
      <c r="E16" s="70" t="s">
        <v>576</v>
      </c>
      <c r="F16" s="70">
        <v>4</v>
      </c>
      <c r="G16" s="70" t="s">
        <v>532</v>
      </c>
      <c r="H16" s="70" t="s">
        <v>575</v>
      </c>
      <c r="I16" s="70" t="s">
        <v>529</v>
      </c>
      <c r="J16" s="70"/>
      <c r="K16" s="70" t="s">
        <v>530</v>
      </c>
      <c r="L16" s="70" t="s">
        <v>529</v>
      </c>
      <c r="M16" s="70">
        <v>2023</v>
      </c>
      <c r="N16" s="77"/>
      <c r="O16" s="70"/>
      <c r="P16" s="70"/>
      <c r="Q16" s="70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>
        <v>1076.56</v>
      </c>
      <c r="AJ16" s="76">
        <v>2123.12</v>
      </c>
      <c r="AK16" s="76">
        <v>2093.12</v>
      </c>
      <c r="AL16" s="76">
        <v>2598.23</v>
      </c>
      <c r="AM16" s="76">
        <v>2598.23</v>
      </c>
      <c r="AN16" s="76">
        <v>2598.23</v>
      </c>
      <c r="AO16" s="76">
        <v>2598.23</v>
      </c>
      <c r="AP16" s="76">
        <v>2598.23</v>
      </c>
      <c r="AQ16" s="76">
        <v>2598.23</v>
      </c>
      <c r="AR16" s="76">
        <v>20882.179999999997</v>
      </c>
      <c r="AS16" s="76">
        <v>289.2</v>
      </c>
      <c r="AT16" s="76">
        <v>52967.94</v>
      </c>
      <c r="AU16" s="75">
        <v>360</v>
      </c>
      <c r="AV16" s="75">
        <v>55500.47</v>
      </c>
      <c r="AW16" s="75">
        <v>360</v>
      </c>
      <c r="AX16" s="75">
        <v>57775.18</v>
      </c>
      <c r="AY16" s="75">
        <v>360</v>
      </c>
      <c r="AZ16" s="74"/>
    </row>
    <row r="17" spans="1:16375" s="73" customFormat="1" ht="14.5" hidden="1" x14ac:dyDescent="0.35">
      <c r="A17" s="78" t="s">
        <v>536</v>
      </c>
      <c r="B17" s="70" t="s">
        <v>591</v>
      </c>
      <c r="C17" s="70" t="s">
        <v>592</v>
      </c>
      <c r="D17" s="70">
        <v>21</v>
      </c>
      <c r="E17" s="70" t="s">
        <v>576</v>
      </c>
      <c r="F17" s="70">
        <v>4</v>
      </c>
      <c r="G17" s="70" t="s">
        <v>532</v>
      </c>
      <c r="H17" s="70" t="s">
        <v>575</v>
      </c>
      <c r="I17" s="70" t="s">
        <v>562</v>
      </c>
      <c r="J17" s="70">
        <v>1</v>
      </c>
      <c r="K17" s="70" t="s">
        <v>567</v>
      </c>
      <c r="L17" s="70" t="s">
        <v>562</v>
      </c>
      <c r="M17" s="70">
        <v>2023</v>
      </c>
      <c r="N17" s="77">
        <v>47696</v>
      </c>
      <c r="O17" s="70">
        <v>40</v>
      </c>
      <c r="P17" s="70">
        <v>80</v>
      </c>
      <c r="Q17" s="70" t="s">
        <v>586</v>
      </c>
      <c r="R17" s="76">
        <v>2504.17</v>
      </c>
      <c r="S17" s="76">
        <v>2557.5</v>
      </c>
      <c r="T17" s="76">
        <v>2150.6999999999998</v>
      </c>
      <c r="U17" s="76">
        <v>2165.92</v>
      </c>
      <c r="V17" s="76">
        <v>2106.14</v>
      </c>
      <c r="W17" s="76">
        <v>2150.6999999999998</v>
      </c>
      <c r="X17" s="76">
        <v>2150.71</v>
      </c>
      <c r="Y17" s="76">
        <v>2150.6999999999998</v>
      </c>
      <c r="Z17" s="76">
        <v>2429.4499999999998</v>
      </c>
      <c r="AA17" s="76">
        <v>2150.6999999999998</v>
      </c>
      <c r="AB17" s="76">
        <v>2150.71</v>
      </c>
      <c r="AC17" s="76">
        <v>2597.81</v>
      </c>
      <c r="AD17" s="76"/>
      <c r="AE17" s="76">
        <v>0</v>
      </c>
      <c r="AF17" s="76">
        <v>0</v>
      </c>
      <c r="AG17" s="76">
        <v>0</v>
      </c>
      <c r="AH17" s="76">
        <v>0</v>
      </c>
      <c r="AI17" s="76">
        <v>299.58999999999997</v>
      </c>
      <c r="AJ17" s="76"/>
      <c r="AK17" s="76"/>
      <c r="AL17" s="76"/>
      <c r="AM17" s="76"/>
      <c r="AN17" s="76"/>
      <c r="AO17" s="76"/>
      <c r="AP17" s="76"/>
      <c r="AQ17" s="76"/>
      <c r="AR17" s="76">
        <v>27564.800000000003</v>
      </c>
      <c r="AS17" s="76">
        <v>289.2</v>
      </c>
      <c r="AT17" s="76"/>
      <c r="AU17" s="86"/>
      <c r="AV17" s="86"/>
      <c r="AW17" s="86"/>
      <c r="AX17" s="86"/>
      <c r="AY17" s="86"/>
      <c r="AZ17" s="74"/>
    </row>
    <row r="18" spans="1:16375" s="73" customFormat="1" ht="14.5" hidden="1" x14ac:dyDescent="0.35">
      <c r="A18" s="78" t="s">
        <v>536</v>
      </c>
      <c r="B18" s="70" t="s">
        <v>591</v>
      </c>
      <c r="C18" s="70" t="s">
        <v>590</v>
      </c>
      <c r="D18" s="70">
        <v>21</v>
      </c>
      <c r="E18" s="70" t="s">
        <v>576</v>
      </c>
      <c r="F18" s="70">
        <v>4</v>
      </c>
      <c r="G18" s="70" t="s">
        <v>532</v>
      </c>
      <c r="H18" s="70" t="s">
        <v>575</v>
      </c>
      <c r="I18" s="70" t="s">
        <v>562</v>
      </c>
      <c r="J18" s="70"/>
      <c r="K18" s="70" t="s">
        <v>567</v>
      </c>
      <c r="L18" s="70" t="s">
        <v>562</v>
      </c>
      <c r="M18" s="70">
        <v>2023</v>
      </c>
      <c r="N18" s="77"/>
      <c r="O18" s="70"/>
      <c r="P18" s="70"/>
      <c r="Q18" s="70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>
        <v>0</v>
      </c>
      <c r="AL18" s="76">
        <v>0</v>
      </c>
      <c r="AM18" s="76">
        <v>0</v>
      </c>
      <c r="AN18" s="76">
        <v>0</v>
      </c>
      <c r="AO18" s="76">
        <v>2123.12</v>
      </c>
      <c r="AP18" s="76">
        <v>2124</v>
      </c>
      <c r="AQ18" s="76">
        <v>2124</v>
      </c>
      <c r="AR18" s="76">
        <v>6371.12</v>
      </c>
      <c r="AS18" s="76">
        <v>289.2</v>
      </c>
      <c r="AT18" s="76">
        <v>64373.78</v>
      </c>
      <c r="AU18" s="76">
        <v>360</v>
      </c>
      <c r="AV18" s="76">
        <v>67847.8</v>
      </c>
      <c r="AW18" s="76">
        <v>360</v>
      </c>
      <c r="AX18" s="76">
        <v>70015.73</v>
      </c>
      <c r="AY18" s="76">
        <v>360</v>
      </c>
      <c r="AZ18" s="74" t="s">
        <v>589</v>
      </c>
    </row>
    <row r="19" spans="1:16375" s="73" customFormat="1" ht="14.5" hidden="1" x14ac:dyDescent="0.35">
      <c r="A19" s="78" t="s">
        <v>536</v>
      </c>
      <c r="B19" s="70" t="s">
        <v>588</v>
      </c>
      <c r="C19" s="70" t="s">
        <v>587</v>
      </c>
      <c r="D19" s="70">
        <v>21</v>
      </c>
      <c r="E19" s="70" t="s">
        <v>576</v>
      </c>
      <c r="F19" s="70">
        <v>4</v>
      </c>
      <c r="G19" s="70" t="s">
        <v>532</v>
      </c>
      <c r="H19" s="70" t="s">
        <v>575</v>
      </c>
      <c r="I19" s="70" t="s">
        <v>562</v>
      </c>
      <c r="J19" s="70">
        <v>1</v>
      </c>
      <c r="K19" s="70" t="s">
        <v>567</v>
      </c>
      <c r="L19" s="70" t="s">
        <v>562</v>
      </c>
      <c r="M19" s="70">
        <v>2023</v>
      </c>
      <c r="N19" s="77">
        <v>62647</v>
      </c>
      <c r="O19" s="70">
        <v>40</v>
      </c>
      <c r="P19" s="70">
        <v>80</v>
      </c>
      <c r="Q19" s="70" t="s">
        <v>586</v>
      </c>
      <c r="R19" s="76">
        <v>3242.99</v>
      </c>
      <c r="S19" s="76">
        <v>3297.08</v>
      </c>
      <c r="T19" s="76">
        <v>2878.84</v>
      </c>
      <c r="U19" s="76">
        <v>2878.85</v>
      </c>
      <c r="V19" s="76">
        <v>2834.27</v>
      </c>
      <c r="W19" s="76">
        <v>2878.85</v>
      </c>
      <c r="X19" s="76">
        <v>2878.84</v>
      </c>
      <c r="Y19" s="76">
        <v>2878.85</v>
      </c>
      <c r="Z19" s="76">
        <v>2878.84</v>
      </c>
      <c r="AA19" s="76">
        <v>2878.86</v>
      </c>
      <c r="AB19" s="76">
        <v>2878.84</v>
      </c>
      <c r="AC19" s="76">
        <v>3351.2</v>
      </c>
      <c r="AD19" s="76">
        <v>0</v>
      </c>
      <c r="AE19" s="76">
        <v>0</v>
      </c>
      <c r="AF19" s="76">
        <v>0</v>
      </c>
      <c r="AG19" s="76">
        <v>0</v>
      </c>
      <c r="AH19" s="76">
        <v>0</v>
      </c>
      <c r="AI19" s="76">
        <v>0</v>
      </c>
      <c r="AJ19" s="76">
        <v>3351.19</v>
      </c>
      <c r="AK19" s="76">
        <v>2834.28</v>
      </c>
      <c r="AL19" s="76">
        <v>3351.2</v>
      </c>
      <c r="AM19" s="76">
        <v>3351.19</v>
      </c>
      <c r="AN19" s="76">
        <v>3351.19</v>
      </c>
      <c r="AO19" s="76">
        <v>3351.2</v>
      </c>
      <c r="AP19" s="76">
        <v>3352</v>
      </c>
      <c r="AQ19" s="76">
        <v>3352</v>
      </c>
      <c r="AR19" s="76">
        <v>62050.559999999998</v>
      </c>
      <c r="AS19" s="76">
        <v>289.2</v>
      </c>
      <c r="AT19" s="76">
        <v>65848.03</v>
      </c>
      <c r="AU19" s="76">
        <v>360</v>
      </c>
      <c r="AV19" s="76">
        <v>66617.789999999994</v>
      </c>
      <c r="AW19" s="76">
        <v>360</v>
      </c>
      <c r="AX19" s="76">
        <v>67283.967899999989</v>
      </c>
      <c r="AY19" s="76">
        <v>360</v>
      </c>
      <c r="AZ19" s="84" t="s">
        <v>585</v>
      </c>
    </row>
    <row r="20" spans="1:16375" s="73" customFormat="1" ht="14.5" hidden="1" x14ac:dyDescent="0.35">
      <c r="A20" s="98" t="s">
        <v>536</v>
      </c>
      <c r="B20" s="97" t="s">
        <v>584</v>
      </c>
      <c r="C20" s="97" t="s">
        <v>546</v>
      </c>
      <c r="D20" s="97">
        <v>21</v>
      </c>
      <c r="E20" s="97" t="s">
        <v>576</v>
      </c>
      <c r="F20" s="97">
        <v>4</v>
      </c>
      <c r="G20" s="97" t="s">
        <v>532</v>
      </c>
      <c r="H20" s="97" t="s">
        <v>575</v>
      </c>
      <c r="I20" s="97" t="s">
        <v>562</v>
      </c>
      <c r="J20" s="97">
        <v>1</v>
      </c>
      <c r="K20" s="97" t="s">
        <v>567</v>
      </c>
      <c r="L20" s="97" t="s">
        <v>562</v>
      </c>
      <c r="M20" s="97">
        <v>2023</v>
      </c>
      <c r="N20" s="96">
        <v>13087</v>
      </c>
      <c r="O20" s="97">
        <v>25</v>
      </c>
      <c r="P20" s="97">
        <v>40</v>
      </c>
      <c r="Q20" s="97" t="s">
        <v>164</v>
      </c>
      <c r="R20" s="96">
        <v>0</v>
      </c>
      <c r="S20" s="96">
        <v>0</v>
      </c>
      <c r="T20" s="96">
        <v>0</v>
      </c>
      <c r="U20" s="96">
        <v>0</v>
      </c>
      <c r="V20" s="96">
        <v>0</v>
      </c>
      <c r="W20" s="96">
        <v>0</v>
      </c>
      <c r="X20" s="96">
        <v>0</v>
      </c>
      <c r="Y20" s="96">
        <v>0</v>
      </c>
      <c r="Z20" s="96">
        <v>0</v>
      </c>
      <c r="AA20" s="96">
        <v>0</v>
      </c>
      <c r="AB20" s="96">
        <v>0</v>
      </c>
      <c r="AC20" s="96">
        <v>0</v>
      </c>
      <c r="AD20" s="96">
        <v>0</v>
      </c>
      <c r="AE20" s="96">
        <v>0</v>
      </c>
      <c r="AF20" s="96">
        <v>80.73</v>
      </c>
      <c r="AG20" s="96">
        <v>766.07</v>
      </c>
      <c r="AH20" s="96">
        <v>0</v>
      </c>
      <c r="AI20" s="96">
        <v>1275.08</v>
      </c>
      <c r="AJ20" s="96">
        <v>0</v>
      </c>
      <c r="AK20" s="96">
        <v>0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2121.88</v>
      </c>
      <c r="AS20" s="96">
        <v>289.2</v>
      </c>
      <c r="AT20" s="96">
        <v>28504.89</v>
      </c>
      <c r="AU20" s="96">
        <v>360</v>
      </c>
      <c r="AV20" s="96">
        <v>33478.1</v>
      </c>
      <c r="AW20" s="96">
        <v>360</v>
      </c>
      <c r="AX20" s="96">
        <v>34313.26</v>
      </c>
      <c r="AY20" s="96">
        <v>360</v>
      </c>
      <c r="AZ20" s="95" t="s">
        <v>583</v>
      </c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94"/>
      <c r="JO20" s="94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94"/>
      <c r="KW20" s="94"/>
      <c r="KX20" s="94"/>
      <c r="KY20" s="94"/>
      <c r="KZ20" s="94"/>
      <c r="LA20" s="94"/>
      <c r="LB20" s="94"/>
      <c r="LC20" s="94"/>
      <c r="LD20" s="94"/>
      <c r="LE20" s="94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/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/>
      <c r="MT20" s="94"/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94"/>
      <c r="TC20" s="94"/>
      <c r="TD20" s="94"/>
      <c r="TE20" s="94"/>
      <c r="TF20" s="94"/>
      <c r="TG20" s="94"/>
      <c r="TH20" s="94"/>
      <c r="TI20" s="94"/>
      <c r="TJ20" s="94"/>
      <c r="TK20" s="94"/>
      <c r="TL20" s="94"/>
      <c r="TM20" s="94"/>
      <c r="TN20" s="94"/>
      <c r="TO20" s="94"/>
      <c r="TP20" s="94"/>
      <c r="TQ20" s="94"/>
      <c r="TR20" s="94"/>
      <c r="TS20" s="94"/>
      <c r="TT20" s="94"/>
      <c r="TU20" s="94"/>
      <c r="TV20" s="94"/>
      <c r="TW20" s="94"/>
      <c r="TX20" s="94"/>
      <c r="TY20" s="94"/>
      <c r="TZ20" s="94"/>
      <c r="UA20" s="94"/>
      <c r="UB20" s="94"/>
      <c r="UC20" s="94"/>
      <c r="UD20" s="94"/>
      <c r="UE20" s="94"/>
      <c r="UF20" s="94"/>
      <c r="UG20" s="94"/>
      <c r="UH20" s="94"/>
      <c r="UI20" s="94"/>
      <c r="UJ20" s="94"/>
      <c r="UK20" s="94"/>
      <c r="UL20" s="94"/>
      <c r="UM20" s="94"/>
      <c r="UN20" s="94"/>
      <c r="UO20" s="94"/>
      <c r="UP20" s="94"/>
      <c r="UQ20" s="94"/>
      <c r="UR20" s="94"/>
      <c r="US20" s="94"/>
      <c r="UT20" s="94"/>
      <c r="UU20" s="94"/>
      <c r="UV20" s="94"/>
      <c r="UW20" s="94"/>
      <c r="UX20" s="94"/>
      <c r="UY20" s="94"/>
      <c r="UZ20" s="94"/>
      <c r="VA20" s="94"/>
      <c r="VB20" s="94"/>
      <c r="VC20" s="94"/>
      <c r="VD20" s="94"/>
      <c r="VE20" s="94"/>
      <c r="VF20" s="94"/>
      <c r="VG20" s="94"/>
      <c r="VH20" s="94"/>
      <c r="VI20" s="94"/>
      <c r="VJ20" s="94"/>
      <c r="VK20" s="94"/>
      <c r="VL20" s="94"/>
      <c r="VM20" s="94"/>
      <c r="VN20" s="94"/>
      <c r="VO20" s="94"/>
      <c r="VP20" s="94"/>
      <c r="VQ20" s="94"/>
      <c r="VR20" s="94"/>
      <c r="VS20" s="94"/>
      <c r="VT20" s="94"/>
      <c r="VU20" s="94"/>
      <c r="VV20" s="94"/>
      <c r="VW20" s="94"/>
      <c r="VX20" s="94"/>
      <c r="VY20" s="94"/>
      <c r="VZ20" s="94"/>
      <c r="WA20" s="94"/>
      <c r="WB20" s="94"/>
      <c r="WC20" s="94"/>
      <c r="WD20" s="94"/>
      <c r="WE20" s="94"/>
      <c r="WF20" s="94"/>
      <c r="WG20" s="94"/>
      <c r="WH20" s="94"/>
      <c r="WI20" s="94"/>
      <c r="WJ20" s="94"/>
      <c r="WK20" s="94"/>
      <c r="WL20" s="94"/>
      <c r="WM20" s="94"/>
      <c r="WN20" s="94"/>
      <c r="WO20" s="94"/>
      <c r="WP20" s="94"/>
      <c r="WQ20" s="94"/>
      <c r="WR20" s="94"/>
      <c r="WS20" s="94"/>
      <c r="WT20" s="94"/>
      <c r="WU20" s="94"/>
      <c r="WV20" s="94"/>
      <c r="WW20" s="94"/>
      <c r="WX20" s="94"/>
      <c r="WY20" s="94"/>
      <c r="WZ20" s="94"/>
      <c r="XA20" s="94"/>
      <c r="XB20" s="94"/>
      <c r="XC20" s="94"/>
      <c r="XD20" s="94"/>
      <c r="XE20" s="94"/>
      <c r="XF20" s="94"/>
      <c r="XG20" s="94"/>
      <c r="XH20" s="94"/>
      <c r="XI20" s="94"/>
      <c r="XJ20" s="94"/>
      <c r="XK20" s="94"/>
      <c r="XL20" s="94"/>
      <c r="XM20" s="94"/>
      <c r="XN20" s="94"/>
      <c r="XO20" s="94"/>
      <c r="XP20" s="94"/>
      <c r="XQ20" s="94"/>
      <c r="XR20" s="94"/>
      <c r="XS20" s="94"/>
      <c r="XT20" s="94"/>
      <c r="XU20" s="94"/>
      <c r="XV20" s="94"/>
      <c r="XW20" s="94"/>
      <c r="XX20" s="94"/>
      <c r="XY20" s="94"/>
      <c r="XZ20" s="94"/>
      <c r="YA20" s="94"/>
      <c r="YB20" s="94"/>
      <c r="YC20" s="94"/>
      <c r="YD20" s="94"/>
      <c r="YE20" s="94"/>
      <c r="YF20" s="94"/>
      <c r="YG20" s="94"/>
      <c r="YH20" s="94"/>
      <c r="YI20" s="94"/>
      <c r="YJ20" s="94"/>
      <c r="YK20" s="94"/>
      <c r="YL20" s="94"/>
      <c r="YM20" s="94"/>
      <c r="YN20" s="94"/>
      <c r="YO20" s="94"/>
      <c r="YP20" s="94"/>
      <c r="YQ20" s="94"/>
      <c r="YR20" s="94"/>
      <c r="YS20" s="94"/>
      <c r="YT20" s="94"/>
      <c r="YU20" s="94"/>
      <c r="YV20" s="94"/>
      <c r="YW20" s="94"/>
      <c r="YX20" s="94"/>
      <c r="YY20" s="94"/>
      <c r="YZ20" s="94"/>
      <c r="ZA20" s="94"/>
      <c r="ZB20" s="94"/>
      <c r="ZC20" s="94"/>
      <c r="ZD20" s="94"/>
      <c r="ZE20" s="94"/>
      <c r="ZF20" s="94"/>
      <c r="ZG20" s="94"/>
      <c r="ZH20" s="94"/>
      <c r="ZI20" s="94"/>
      <c r="ZJ20" s="94"/>
      <c r="ZK20" s="94"/>
      <c r="ZL20" s="94"/>
      <c r="ZM20" s="94"/>
      <c r="ZN20" s="94"/>
      <c r="ZO20" s="94"/>
      <c r="ZP20" s="94"/>
      <c r="ZQ20" s="94"/>
      <c r="ZR20" s="94"/>
      <c r="ZS20" s="94"/>
      <c r="ZT20" s="94"/>
      <c r="ZU20" s="94"/>
      <c r="ZV20" s="94"/>
      <c r="ZW20" s="94"/>
      <c r="ZX20" s="94"/>
      <c r="ZY20" s="94"/>
      <c r="ZZ20" s="94"/>
      <c r="AAA20" s="94"/>
      <c r="AAB20" s="94"/>
      <c r="AAC20" s="94"/>
      <c r="AAD20" s="94"/>
      <c r="AAE20" s="94"/>
      <c r="AAF20" s="94"/>
      <c r="AAG20" s="94"/>
      <c r="AAH20" s="94"/>
      <c r="AAI20" s="94"/>
      <c r="AAJ20" s="94"/>
      <c r="AAK20" s="94"/>
      <c r="AAL20" s="94"/>
      <c r="AAM20" s="94"/>
      <c r="AAN20" s="94"/>
      <c r="AAO20" s="94"/>
      <c r="AAP20" s="94"/>
      <c r="AAQ20" s="94"/>
      <c r="AAR20" s="94"/>
      <c r="AAS20" s="94"/>
      <c r="AAT20" s="94"/>
      <c r="AAU20" s="94"/>
      <c r="AAV20" s="94"/>
      <c r="AAW20" s="94"/>
      <c r="AAX20" s="94"/>
      <c r="AAY20" s="94"/>
      <c r="AAZ20" s="94"/>
      <c r="ABA20" s="94"/>
      <c r="ABB20" s="94"/>
      <c r="ABC20" s="94"/>
      <c r="ABD20" s="94"/>
      <c r="ABE20" s="94"/>
      <c r="ABF20" s="94"/>
      <c r="ABG20" s="94"/>
      <c r="ABH20" s="94"/>
      <c r="ABI20" s="94"/>
      <c r="ABJ20" s="94"/>
      <c r="ABK20" s="94"/>
      <c r="ABL20" s="94"/>
      <c r="ABM20" s="94"/>
      <c r="ABN20" s="94"/>
      <c r="ABO20" s="94"/>
      <c r="ABP20" s="94"/>
      <c r="ABQ20" s="94"/>
      <c r="ABR20" s="94"/>
      <c r="ABS20" s="94"/>
      <c r="ABT20" s="94"/>
      <c r="ABU20" s="94"/>
      <c r="ABV20" s="94"/>
      <c r="ABW20" s="94"/>
      <c r="ABX20" s="94"/>
      <c r="ABY20" s="94"/>
      <c r="ABZ20" s="94"/>
      <c r="ACA20" s="94"/>
      <c r="ACB20" s="94"/>
      <c r="ACC20" s="94"/>
      <c r="ACD20" s="94"/>
      <c r="ACE20" s="94"/>
      <c r="ACF20" s="94"/>
      <c r="ACG20" s="94"/>
      <c r="ACH20" s="94"/>
      <c r="ACI20" s="94"/>
      <c r="ACJ20" s="94"/>
      <c r="ACK20" s="94"/>
      <c r="ACL20" s="94"/>
      <c r="ACM20" s="94"/>
      <c r="ACN20" s="94"/>
      <c r="ACO20" s="94"/>
      <c r="ACP20" s="94"/>
      <c r="ACQ20" s="94"/>
      <c r="ACR20" s="94"/>
      <c r="ACS20" s="94"/>
      <c r="ACT20" s="94"/>
      <c r="ACU20" s="94"/>
      <c r="ACV20" s="94"/>
      <c r="ACW20" s="94"/>
      <c r="ACX20" s="94"/>
      <c r="ACY20" s="94"/>
      <c r="ACZ20" s="94"/>
      <c r="ADA20" s="94"/>
      <c r="ADB20" s="94"/>
      <c r="ADC20" s="94"/>
      <c r="ADD20" s="94"/>
      <c r="ADE20" s="94"/>
      <c r="ADF20" s="94"/>
      <c r="ADG20" s="94"/>
      <c r="ADH20" s="94"/>
      <c r="ADI20" s="94"/>
      <c r="ADJ20" s="94"/>
      <c r="ADK20" s="94"/>
      <c r="ADL20" s="94"/>
      <c r="ADM20" s="94"/>
      <c r="ADN20" s="94"/>
      <c r="ADO20" s="94"/>
      <c r="ADP20" s="94"/>
      <c r="ADQ20" s="94"/>
      <c r="ADR20" s="94"/>
      <c r="ADS20" s="94"/>
      <c r="ADT20" s="94"/>
      <c r="ADU20" s="94"/>
      <c r="ADV20" s="94"/>
      <c r="ADW20" s="94"/>
      <c r="ADX20" s="94"/>
      <c r="ADY20" s="94"/>
      <c r="ADZ20" s="94"/>
      <c r="AEA20" s="94"/>
      <c r="AEB20" s="94"/>
      <c r="AEC20" s="94"/>
      <c r="AED20" s="94"/>
      <c r="AEE20" s="94"/>
      <c r="AEF20" s="94"/>
      <c r="AEG20" s="94"/>
      <c r="AEH20" s="94"/>
      <c r="AEI20" s="94"/>
      <c r="AEJ20" s="94"/>
      <c r="AEK20" s="94"/>
      <c r="AEL20" s="94"/>
      <c r="AEM20" s="94"/>
      <c r="AEN20" s="94"/>
      <c r="AEO20" s="94"/>
      <c r="AEP20" s="94"/>
      <c r="AEQ20" s="94"/>
      <c r="AER20" s="94"/>
      <c r="AES20" s="94"/>
      <c r="AET20" s="94"/>
      <c r="AEU20" s="94"/>
      <c r="AEV20" s="94"/>
      <c r="AEW20" s="94"/>
      <c r="AEX20" s="94"/>
      <c r="AEY20" s="94"/>
      <c r="AEZ20" s="94"/>
      <c r="AFA20" s="94"/>
      <c r="AFB20" s="94"/>
      <c r="AFC20" s="94"/>
      <c r="AFD20" s="94"/>
      <c r="AFE20" s="94"/>
      <c r="AFF20" s="94"/>
      <c r="AFG20" s="94"/>
      <c r="AFH20" s="94"/>
      <c r="AFI20" s="94"/>
      <c r="AFJ20" s="94"/>
      <c r="AFK20" s="94"/>
      <c r="AFL20" s="94"/>
      <c r="AFM20" s="94"/>
      <c r="AFN20" s="94"/>
      <c r="AFO20" s="94"/>
      <c r="AFP20" s="94"/>
      <c r="AFQ20" s="94"/>
      <c r="AFR20" s="94"/>
      <c r="AFS20" s="94"/>
      <c r="AFT20" s="94"/>
      <c r="AFU20" s="94"/>
      <c r="AFV20" s="94"/>
      <c r="AFW20" s="94"/>
      <c r="AFX20" s="94"/>
      <c r="AFY20" s="94"/>
      <c r="AFZ20" s="94"/>
      <c r="AGA20" s="94"/>
      <c r="AGB20" s="94"/>
      <c r="AGC20" s="94"/>
      <c r="AGD20" s="94"/>
      <c r="AGE20" s="94"/>
      <c r="AGF20" s="94"/>
      <c r="AGG20" s="94"/>
      <c r="AGH20" s="94"/>
      <c r="AGI20" s="94"/>
      <c r="AGJ20" s="94"/>
      <c r="AGK20" s="94"/>
      <c r="AGL20" s="94"/>
      <c r="AGM20" s="94"/>
      <c r="AGN20" s="94"/>
      <c r="AGO20" s="94"/>
      <c r="AGP20" s="94"/>
      <c r="AGQ20" s="94"/>
      <c r="AGR20" s="94"/>
      <c r="AGS20" s="94"/>
      <c r="AGT20" s="94"/>
      <c r="AGU20" s="94"/>
      <c r="AGV20" s="94"/>
      <c r="AGW20" s="94"/>
      <c r="AGX20" s="94"/>
      <c r="AGY20" s="94"/>
      <c r="AGZ20" s="94"/>
      <c r="AHA20" s="94"/>
      <c r="AHB20" s="94"/>
      <c r="AHC20" s="94"/>
      <c r="AHD20" s="94"/>
      <c r="AHE20" s="94"/>
      <c r="AHF20" s="94"/>
      <c r="AHG20" s="94"/>
      <c r="AHH20" s="94"/>
      <c r="AHI20" s="94"/>
      <c r="AHJ20" s="94"/>
      <c r="AHK20" s="94"/>
      <c r="AHL20" s="94"/>
      <c r="AHM20" s="94"/>
      <c r="AHN20" s="94"/>
      <c r="AHO20" s="94"/>
      <c r="AHP20" s="94"/>
      <c r="AHQ20" s="94"/>
      <c r="AHR20" s="94"/>
      <c r="AHS20" s="94"/>
      <c r="AHT20" s="94"/>
      <c r="AHU20" s="94"/>
      <c r="AHV20" s="94"/>
      <c r="AHW20" s="94"/>
      <c r="AHX20" s="94"/>
      <c r="AHY20" s="94"/>
      <c r="AHZ20" s="94"/>
      <c r="AIA20" s="94"/>
      <c r="AIB20" s="94"/>
      <c r="AIC20" s="94"/>
      <c r="AID20" s="94"/>
      <c r="AIE20" s="94"/>
      <c r="AIF20" s="94"/>
      <c r="AIG20" s="94"/>
      <c r="AIH20" s="94"/>
      <c r="AII20" s="94"/>
      <c r="AIJ20" s="94"/>
      <c r="AIK20" s="94"/>
      <c r="AIL20" s="94"/>
      <c r="AIM20" s="94"/>
      <c r="AIN20" s="94"/>
      <c r="AIO20" s="94"/>
      <c r="AIP20" s="94"/>
      <c r="AIQ20" s="94"/>
      <c r="AIR20" s="94"/>
      <c r="AIS20" s="94"/>
      <c r="AIT20" s="94"/>
      <c r="AIU20" s="94"/>
      <c r="AIV20" s="94"/>
      <c r="AIW20" s="94"/>
      <c r="AIX20" s="94"/>
      <c r="AIY20" s="94"/>
      <c r="AIZ20" s="94"/>
      <c r="AJA20" s="94"/>
      <c r="AJB20" s="94"/>
      <c r="AJC20" s="94"/>
      <c r="AJD20" s="94"/>
      <c r="AJE20" s="94"/>
      <c r="AJF20" s="94"/>
      <c r="AJG20" s="94"/>
      <c r="AJH20" s="94"/>
      <c r="AJI20" s="94"/>
      <c r="AJJ20" s="94"/>
      <c r="AJK20" s="94"/>
      <c r="AJL20" s="94"/>
      <c r="AJM20" s="94"/>
      <c r="AJN20" s="94"/>
      <c r="AJO20" s="94"/>
      <c r="AJP20" s="94"/>
      <c r="AJQ20" s="94"/>
      <c r="AJR20" s="94"/>
      <c r="AJS20" s="94"/>
      <c r="AJT20" s="94"/>
      <c r="AJU20" s="94"/>
      <c r="AJV20" s="94"/>
      <c r="AJW20" s="94"/>
      <c r="AJX20" s="94"/>
      <c r="AJY20" s="94"/>
      <c r="AJZ20" s="94"/>
      <c r="AKA20" s="94"/>
      <c r="AKB20" s="94"/>
      <c r="AKC20" s="94"/>
      <c r="AKD20" s="94"/>
      <c r="AKE20" s="94"/>
      <c r="AKF20" s="94"/>
      <c r="AKG20" s="94"/>
      <c r="AKH20" s="94"/>
      <c r="AKI20" s="94"/>
      <c r="AKJ20" s="94"/>
      <c r="AKK20" s="94"/>
      <c r="AKL20" s="94"/>
      <c r="AKM20" s="94"/>
      <c r="AKN20" s="94"/>
      <c r="AKO20" s="94"/>
      <c r="AKP20" s="94"/>
      <c r="AKQ20" s="94"/>
      <c r="AKR20" s="94"/>
      <c r="AKS20" s="94"/>
      <c r="AKT20" s="94"/>
      <c r="AKU20" s="94"/>
      <c r="AKV20" s="94"/>
      <c r="AKW20" s="94"/>
      <c r="AKX20" s="94"/>
      <c r="AKY20" s="94"/>
      <c r="AKZ20" s="94"/>
      <c r="ALA20" s="94"/>
      <c r="ALB20" s="94"/>
      <c r="ALC20" s="94"/>
      <c r="ALD20" s="94"/>
      <c r="ALE20" s="94"/>
      <c r="ALF20" s="94"/>
      <c r="ALG20" s="94"/>
      <c r="ALH20" s="94"/>
      <c r="ALI20" s="94"/>
      <c r="ALJ20" s="94"/>
      <c r="ALK20" s="94"/>
      <c r="ALL20" s="94"/>
      <c r="ALM20" s="94"/>
      <c r="ALN20" s="94"/>
      <c r="ALO20" s="94"/>
      <c r="ALP20" s="94"/>
      <c r="ALQ20" s="94"/>
      <c r="ALR20" s="94"/>
      <c r="ALS20" s="94"/>
      <c r="ALT20" s="94"/>
      <c r="ALU20" s="94"/>
      <c r="ALV20" s="94"/>
      <c r="ALW20" s="94"/>
      <c r="ALX20" s="94"/>
      <c r="ALY20" s="94"/>
      <c r="ALZ20" s="94"/>
      <c r="AMA20" s="94"/>
      <c r="AMB20" s="94"/>
      <c r="AMC20" s="94"/>
      <c r="AMD20" s="94"/>
      <c r="AME20" s="94"/>
      <c r="AMF20" s="94"/>
      <c r="AMG20" s="94"/>
      <c r="AMH20" s="94"/>
      <c r="AMI20" s="94"/>
      <c r="AMJ20" s="94"/>
      <c r="AMK20" s="94"/>
      <c r="AML20" s="94"/>
      <c r="AMM20" s="94"/>
      <c r="AMN20" s="94"/>
      <c r="AMO20" s="94"/>
      <c r="AMP20" s="94"/>
      <c r="AMQ20" s="94"/>
      <c r="AMR20" s="94"/>
      <c r="AMS20" s="94"/>
      <c r="AMT20" s="94"/>
      <c r="AMU20" s="94"/>
      <c r="AMV20" s="94"/>
      <c r="AMW20" s="94"/>
      <c r="AMX20" s="94"/>
      <c r="AMY20" s="94"/>
      <c r="AMZ20" s="94"/>
      <c r="ANA20" s="94"/>
      <c r="ANB20" s="94"/>
      <c r="ANC20" s="94"/>
      <c r="AND20" s="94"/>
      <c r="ANE20" s="94"/>
      <c r="ANF20" s="94"/>
      <c r="ANG20" s="94"/>
      <c r="ANH20" s="94"/>
      <c r="ANI20" s="94"/>
      <c r="ANJ20" s="94"/>
      <c r="ANK20" s="94"/>
      <c r="ANL20" s="94"/>
      <c r="ANM20" s="94"/>
      <c r="ANN20" s="94"/>
      <c r="ANO20" s="94"/>
      <c r="ANP20" s="94"/>
      <c r="ANQ20" s="94"/>
      <c r="ANR20" s="94"/>
      <c r="ANS20" s="94"/>
      <c r="ANT20" s="94"/>
      <c r="ANU20" s="94"/>
      <c r="ANV20" s="94"/>
      <c r="ANW20" s="94"/>
      <c r="ANX20" s="94"/>
      <c r="ANY20" s="94"/>
      <c r="ANZ20" s="94"/>
      <c r="AOA20" s="94"/>
      <c r="AOB20" s="94"/>
      <c r="AOC20" s="94"/>
      <c r="AOD20" s="94"/>
      <c r="AOE20" s="94"/>
      <c r="AOF20" s="94"/>
      <c r="AOG20" s="94"/>
      <c r="AOH20" s="94"/>
      <c r="AOI20" s="94"/>
      <c r="AOJ20" s="94"/>
      <c r="AOK20" s="94"/>
      <c r="AOL20" s="94"/>
      <c r="AOM20" s="94"/>
      <c r="AON20" s="94"/>
      <c r="AOO20" s="94"/>
      <c r="AOP20" s="94"/>
      <c r="AOQ20" s="94"/>
      <c r="AOR20" s="94"/>
      <c r="AOS20" s="94"/>
      <c r="AOT20" s="94"/>
      <c r="AOU20" s="94"/>
      <c r="AOV20" s="94"/>
      <c r="AOW20" s="94"/>
      <c r="AOX20" s="94"/>
      <c r="AOY20" s="94"/>
      <c r="AOZ20" s="94"/>
      <c r="APA20" s="94"/>
      <c r="APB20" s="94"/>
      <c r="APC20" s="94"/>
      <c r="APD20" s="94"/>
      <c r="APE20" s="94"/>
      <c r="APF20" s="94"/>
      <c r="APG20" s="94"/>
      <c r="APH20" s="94"/>
      <c r="API20" s="94"/>
      <c r="APJ20" s="94"/>
      <c r="APK20" s="94"/>
      <c r="APL20" s="94"/>
      <c r="APM20" s="94"/>
      <c r="APN20" s="94"/>
      <c r="APO20" s="94"/>
      <c r="APP20" s="94"/>
      <c r="APQ20" s="94"/>
      <c r="APR20" s="94"/>
      <c r="APS20" s="94"/>
      <c r="APT20" s="94"/>
      <c r="APU20" s="94"/>
      <c r="APV20" s="94"/>
      <c r="APW20" s="94"/>
      <c r="APX20" s="94"/>
      <c r="APY20" s="94"/>
      <c r="APZ20" s="94"/>
      <c r="AQA20" s="94"/>
      <c r="AQB20" s="94"/>
      <c r="AQC20" s="94"/>
      <c r="AQD20" s="94"/>
      <c r="AQE20" s="94"/>
      <c r="AQF20" s="94"/>
      <c r="AQG20" s="94"/>
      <c r="AQH20" s="94"/>
      <c r="AQI20" s="94"/>
      <c r="AQJ20" s="94"/>
      <c r="AQK20" s="94"/>
      <c r="AQL20" s="94"/>
      <c r="AQM20" s="94"/>
      <c r="AQN20" s="94"/>
      <c r="AQO20" s="94"/>
      <c r="AQP20" s="94"/>
      <c r="AQQ20" s="94"/>
      <c r="AQR20" s="94"/>
      <c r="AQS20" s="94"/>
      <c r="AQT20" s="94"/>
      <c r="AQU20" s="94"/>
      <c r="AQV20" s="94"/>
      <c r="AQW20" s="94"/>
      <c r="AQX20" s="94"/>
      <c r="AQY20" s="94"/>
      <c r="AQZ20" s="94"/>
      <c r="ARA20" s="94"/>
      <c r="ARB20" s="94"/>
      <c r="ARC20" s="94"/>
      <c r="ARD20" s="94"/>
      <c r="ARE20" s="94"/>
      <c r="ARF20" s="94"/>
      <c r="ARG20" s="94"/>
      <c r="ARH20" s="94"/>
      <c r="ARI20" s="94"/>
      <c r="ARJ20" s="94"/>
      <c r="ARK20" s="94"/>
      <c r="ARL20" s="94"/>
      <c r="ARM20" s="94"/>
      <c r="ARN20" s="94"/>
      <c r="ARO20" s="94"/>
      <c r="ARP20" s="94"/>
      <c r="ARQ20" s="94"/>
      <c r="ARR20" s="94"/>
      <c r="ARS20" s="94"/>
      <c r="ART20" s="94"/>
      <c r="ARU20" s="94"/>
      <c r="ARV20" s="94"/>
      <c r="ARW20" s="94"/>
      <c r="ARX20" s="94"/>
      <c r="ARY20" s="94"/>
      <c r="ARZ20" s="94"/>
      <c r="ASA20" s="94"/>
      <c r="ASB20" s="94"/>
      <c r="ASC20" s="94"/>
      <c r="ASD20" s="94"/>
      <c r="ASE20" s="94"/>
      <c r="ASF20" s="94"/>
      <c r="ASG20" s="94"/>
      <c r="ASH20" s="94"/>
      <c r="ASI20" s="94"/>
      <c r="ASJ20" s="94"/>
      <c r="ASK20" s="94"/>
      <c r="ASL20" s="94"/>
      <c r="ASM20" s="94"/>
      <c r="ASN20" s="94"/>
      <c r="ASO20" s="94"/>
      <c r="ASP20" s="94"/>
      <c r="ASQ20" s="94"/>
      <c r="ASR20" s="94"/>
      <c r="ASS20" s="94"/>
      <c r="AST20" s="94"/>
      <c r="ASU20" s="94"/>
      <c r="ASV20" s="94"/>
      <c r="ASW20" s="94"/>
      <c r="ASX20" s="94"/>
      <c r="ASY20" s="94"/>
      <c r="ASZ20" s="94"/>
      <c r="ATA20" s="94"/>
      <c r="ATB20" s="94"/>
      <c r="ATC20" s="94"/>
      <c r="ATD20" s="94"/>
      <c r="ATE20" s="94"/>
      <c r="ATF20" s="94"/>
      <c r="ATG20" s="94"/>
      <c r="ATH20" s="94"/>
      <c r="ATI20" s="94"/>
      <c r="ATJ20" s="94"/>
      <c r="ATK20" s="94"/>
      <c r="ATL20" s="94"/>
      <c r="ATM20" s="94"/>
      <c r="ATN20" s="94"/>
      <c r="ATO20" s="94"/>
      <c r="ATP20" s="94"/>
      <c r="ATQ20" s="94"/>
      <c r="ATR20" s="94"/>
      <c r="ATS20" s="94"/>
      <c r="ATT20" s="94"/>
      <c r="ATU20" s="94"/>
      <c r="ATV20" s="94"/>
      <c r="ATW20" s="94"/>
      <c r="ATX20" s="94"/>
      <c r="ATY20" s="94"/>
      <c r="ATZ20" s="94"/>
      <c r="AUA20" s="94"/>
      <c r="AUB20" s="94"/>
      <c r="AUC20" s="94"/>
      <c r="AUD20" s="94"/>
      <c r="AUE20" s="94"/>
      <c r="AUF20" s="94"/>
      <c r="AUG20" s="94"/>
      <c r="AUH20" s="94"/>
      <c r="AUI20" s="94"/>
      <c r="AUJ20" s="94"/>
      <c r="AUK20" s="94"/>
      <c r="AUL20" s="94"/>
      <c r="AUM20" s="94"/>
      <c r="AUN20" s="94"/>
      <c r="AUO20" s="94"/>
      <c r="AUP20" s="94"/>
      <c r="AUQ20" s="94"/>
      <c r="AUR20" s="94"/>
      <c r="AUS20" s="94"/>
      <c r="AUT20" s="94"/>
      <c r="AUU20" s="94"/>
      <c r="AUV20" s="94"/>
      <c r="AUW20" s="94"/>
      <c r="AUX20" s="94"/>
      <c r="AUY20" s="94"/>
      <c r="AUZ20" s="94"/>
      <c r="AVA20" s="94"/>
      <c r="AVB20" s="94"/>
      <c r="AVC20" s="94"/>
      <c r="AVD20" s="94"/>
      <c r="AVE20" s="94"/>
      <c r="AVF20" s="94"/>
      <c r="AVG20" s="94"/>
      <c r="AVH20" s="94"/>
      <c r="AVI20" s="94"/>
      <c r="AVJ20" s="94"/>
      <c r="AVK20" s="94"/>
      <c r="AVL20" s="94"/>
      <c r="AVM20" s="94"/>
      <c r="AVN20" s="94"/>
      <c r="AVO20" s="94"/>
      <c r="AVP20" s="94"/>
      <c r="AVQ20" s="94"/>
      <c r="AVR20" s="94"/>
      <c r="AVS20" s="94"/>
      <c r="AVT20" s="94"/>
      <c r="AVU20" s="94"/>
      <c r="AVV20" s="94"/>
      <c r="AVW20" s="94"/>
      <c r="AVX20" s="94"/>
      <c r="AVY20" s="94"/>
      <c r="AVZ20" s="94"/>
      <c r="AWA20" s="94"/>
      <c r="AWB20" s="94"/>
      <c r="AWC20" s="94"/>
      <c r="AWD20" s="94"/>
      <c r="AWE20" s="94"/>
      <c r="AWF20" s="94"/>
      <c r="AWG20" s="94"/>
      <c r="AWH20" s="94"/>
      <c r="AWI20" s="94"/>
      <c r="AWJ20" s="94"/>
      <c r="AWK20" s="94"/>
      <c r="AWL20" s="94"/>
      <c r="AWM20" s="94"/>
      <c r="AWN20" s="94"/>
      <c r="AWO20" s="94"/>
      <c r="AWP20" s="94"/>
      <c r="AWQ20" s="94"/>
      <c r="AWR20" s="94"/>
      <c r="AWS20" s="94"/>
      <c r="AWT20" s="94"/>
      <c r="AWU20" s="94"/>
      <c r="AWV20" s="94"/>
      <c r="AWW20" s="94"/>
      <c r="AWX20" s="94"/>
      <c r="AWY20" s="94"/>
      <c r="AWZ20" s="94"/>
      <c r="AXA20" s="94"/>
      <c r="AXB20" s="94"/>
      <c r="AXC20" s="94"/>
      <c r="AXD20" s="94"/>
      <c r="AXE20" s="94"/>
      <c r="AXF20" s="94"/>
      <c r="AXG20" s="94"/>
      <c r="AXH20" s="94"/>
      <c r="AXI20" s="94"/>
      <c r="AXJ20" s="94"/>
      <c r="AXK20" s="94"/>
      <c r="AXL20" s="94"/>
      <c r="AXM20" s="94"/>
      <c r="AXN20" s="94"/>
      <c r="AXO20" s="94"/>
      <c r="AXP20" s="94"/>
      <c r="AXQ20" s="94"/>
      <c r="AXR20" s="94"/>
      <c r="AXS20" s="94"/>
      <c r="AXT20" s="94"/>
      <c r="AXU20" s="94"/>
      <c r="AXV20" s="94"/>
      <c r="AXW20" s="94"/>
      <c r="AXX20" s="94"/>
      <c r="AXY20" s="94"/>
      <c r="AXZ20" s="94"/>
      <c r="AYA20" s="94"/>
      <c r="AYB20" s="94"/>
      <c r="AYC20" s="94"/>
      <c r="AYD20" s="94"/>
      <c r="AYE20" s="94"/>
      <c r="AYF20" s="94"/>
      <c r="AYG20" s="94"/>
      <c r="AYH20" s="94"/>
      <c r="AYI20" s="94"/>
      <c r="AYJ20" s="94"/>
      <c r="AYK20" s="94"/>
      <c r="AYL20" s="94"/>
      <c r="AYM20" s="94"/>
      <c r="AYN20" s="94"/>
      <c r="AYO20" s="94"/>
      <c r="AYP20" s="94"/>
      <c r="AYQ20" s="94"/>
      <c r="AYR20" s="94"/>
      <c r="AYS20" s="94"/>
      <c r="AYT20" s="94"/>
      <c r="AYU20" s="94"/>
      <c r="AYV20" s="94"/>
      <c r="AYW20" s="94"/>
      <c r="AYX20" s="94"/>
      <c r="AYY20" s="94"/>
      <c r="AYZ20" s="94"/>
      <c r="AZA20" s="94"/>
      <c r="AZB20" s="94"/>
      <c r="AZC20" s="94"/>
      <c r="AZD20" s="94"/>
      <c r="AZE20" s="94"/>
      <c r="AZF20" s="94"/>
      <c r="AZG20" s="94"/>
      <c r="AZH20" s="94"/>
      <c r="AZI20" s="94"/>
      <c r="AZJ20" s="94"/>
      <c r="AZK20" s="94"/>
      <c r="AZL20" s="94"/>
      <c r="AZM20" s="94"/>
      <c r="AZN20" s="94"/>
      <c r="AZO20" s="94"/>
      <c r="AZP20" s="94"/>
      <c r="AZQ20" s="94"/>
      <c r="AZR20" s="94"/>
      <c r="AZS20" s="94"/>
      <c r="AZT20" s="94"/>
      <c r="AZU20" s="94"/>
      <c r="AZV20" s="94"/>
      <c r="AZW20" s="94"/>
      <c r="AZX20" s="94"/>
      <c r="AZY20" s="94"/>
      <c r="AZZ20" s="94"/>
      <c r="BAA20" s="94"/>
      <c r="BAB20" s="94"/>
      <c r="BAC20" s="94"/>
      <c r="BAD20" s="94"/>
      <c r="BAE20" s="94"/>
      <c r="BAF20" s="94"/>
      <c r="BAG20" s="94"/>
      <c r="BAH20" s="94"/>
      <c r="BAI20" s="94"/>
      <c r="BAJ20" s="94"/>
      <c r="BAK20" s="94"/>
      <c r="BAL20" s="94"/>
      <c r="BAM20" s="94"/>
      <c r="BAN20" s="94"/>
      <c r="BAO20" s="94"/>
      <c r="BAP20" s="94"/>
      <c r="BAQ20" s="94"/>
      <c r="BAR20" s="94"/>
      <c r="BAS20" s="94"/>
      <c r="BAT20" s="94"/>
      <c r="BAU20" s="94"/>
      <c r="BAV20" s="94"/>
      <c r="BAW20" s="94"/>
      <c r="BAX20" s="94"/>
      <c r="BAY20" s="94"/>
      <c r="BAZ20" s="94"/>
      <c r="BBA20" s="94"/>
      <c r="BBB20" s="94"/>
      <c r="BBC20" s="94"/>
      <c r="BBD20" s="94"/>
      <c r="BBE20" s="94"/>
      <c r="BBF20" s="94"/>
      <c r="BBG20" s="94"/>
      <c r="BBH20" s="94"/>
      <c r="BBI20" s="94"/>
      <c r="BBJ20" s="94"/>
      <c r="BBK20" s="94"/>
      <c r="BBL20" s="94"/>
      <c r="BBM20" s="94"/>
      <c r="BBN20" s="94"/>
      <c r="BBO20" s="94"/>
      <c r="BBP20" s="94"/>
      <c r="BBQ20" s="94"/>
      <c r="BBR20" s="94"/>
      <c r="BBS20" s="94"/>
      <c r="BBT20" s="94"/>
      <c r="BBU20" s="94"/>
      <c r="BBV20" s="94"/>
      <c r="BBW20" s="94"/>
      <c r="BBX20" s="94"/>
      <c r="BBY20" s="94"/>
      <c r="BBZ20" s="94"/>
      <c r="BCA20" s="94"/>
      <c r="BCB20" s="94"/>
      <c r="BCC20" s="94"/>
      <c r="BCD20" s="94"/>
      <c r="BCE20" s="94"/>
      <c r="BCF20" s="94"/>
      <c r="BCG20" s="94"/>
      <c r="BCH20" s="94"/>
      <c r="BCI20" s="94"/>
      <c r="BCJ20" s="94"/>
      <c r="BCK20" s="94"/>
      <c r="BCL20" s="94"/>
      <c r="BCM20" s="94"/>
      <c r="BCN20" s="94"/>
      <c r="BCO20" s="94"/>
      <c r="BCP20" s="94"/>
      <c r="BCQ20" s="94"/>
      <c r="BCR20" s="94"/>
      <c r="BCS20" s="94"/>
      <c r="BCT20" s="94"/>
      <c r="BCU20" s="94"/>
      <c r="BCV20" s="94"/>
      <c r="BCW20" s="94"/>
      <c r="BCX20" s="94"/>
      <c r="BCY20" s="94"/>
      <c r="BCZ20" s="94"/>
      <c r="BDA20" s="94"/>
      <c r="BDB20" s="94"/>
      <c r="BDC20" s="94"/>
      <c r="BDD20" s="94"/>
      <c r="BDE20" s="94"/>
      <c r="BDF20" s="94"/>
      <c r="BDG20" s="94"/>
      <c r="BDH20" s="94"/>
      <c r="BDI20" s="94"/>
      <c r="BDJ20" s="94"/>
      <c r="BDK20" s="94"/>
      <c r="BDL20" s="94"/>
      <c r="BDM20" s="94"/>
      <c r="BDN20" s="94"/>
      <c r="BDO20" s="94"/>
      <c r="BDP20" s="94"/>
      <c r="BDQ20" s="94"/>
      <c r="BDR20" s="94"/>
      <c r="BDS20" s="94"/>
      <c r="BDT20" s="94"/>
      <c r="BDU20" s="94"/>
      <c r="BDV20" s="94"/>
      <c r="BDW20" s="94"/>
      <c r="BDX20" s="94"/>
      <c r="BDY20" s="94"/>
      <c r="BDZ20" s="94"/>
      <c r="BEA20" s="94"/>
      <c r="BEB20" s="94"/>
      <c r="BEC20" s="94"/>
      <c r="BED20" s="94"/>
      <c r="BEE20" s="94"/>
      <c r="BEF20" s="94"/>
      <c r="BEG20" s="94"/>
      <c r="BEH20" s="94"/>
      <c r="BEI20" s="94"/>
      <c r="BEJ20" s="94"/>
      <c r="BEK20" s="94"/>
      <c r="BEL20" s="94"/>
      <c r="BEM20" s="94"/>
      <c r="BEN20" s="94"/>
      <c r="BEO20" s="94"/>
      <c r="BEP20" s="94"/>
      <c r="BEQ20" s="94"/>
      <c r="BER20" s="94"/>
      <c r="BES20" s="94"/>
      <c r="BET20" s="94"/>
      <c r="BEU20" s="94"/>
      <c r="BEV20" s="94"/>
      <c r="BEW20" s="94"/>
      <c r="BEX20" s="94"/>
      <c r="BEY20" s="94"/>
      <c r="BEZ20" s="94"/>
      <c r="BFA20" s="94"/>
      <c r="BFB20" s="94"/>
      <c r="BFC20" s="94"/>
      <c r="BFD20" s="94"/>
      <c r="BFE20" s="94"/>
      <c r="BFF20" s="94"/>
      <c r="BFG20" s="94"/>
      <c r="BFH20" s="94"/>
      <c r="BFI20" s="94"/>
      <c r="BFJ20" s="94"/>
      <c r="BFK20" s="94"/>
      <c r="BFL20" s="94"/>
      <c r="BFM20" s="94"/>
      <c r="BFN20" s="94"/>
      <c r="BFO20" s="94"/>
      <c r="BFP20" s="94"/>
      <c r="BFQ20" s="94"/>
      <c r="BFR20" s="94"/>
      <c r="BFS20" s="94"/>
      <c r="BFT20" s="94"/>
      <c r="BFU20" s="94"/>
      <c r="BFV20" s="94"/>
      <c r="BFW20" s="94"/>
      <c r="BFX20" s="94"/>
      <c r="BFY20" s="94"/>
      <c r="BFZ20" s="94"/>
      <c r="BGA20" s="94"/>
      <c r="BGB20" s="94"/>
      <c r="BGC20" s="94"/>
      <c r="BGD20" s="94"/>
      <c r="BGE20" s="94"/>
      <c r="BGF20" s="94"/>
      <c r="BGG20" s="94"/>
      <c r="BGH20" s="94"/>
      <c r="BGI20" s="94"/>
      <c r="BGJ20" s="94"/>
      <c r="BGK20" s="94"/>
      <c r="BGL20" s="94"/>
      <c r="BGM20" s="94"/>
      <c r="BGN20" s="94"/>
      <c r="BGO20" s="94"/>
      <c r="BGP20" s="94"/>
      <c r="BGQ20" s="94"/>
      <c r="BGR20" s="94"/>
      <c r="BGS20" s="94"/>
      <c r="BGT20" s="94"/>
      <c r="BGU20" s="94"/>
      <c r="BGV20" s="94"/>
      <c r="BGW20" s="94"/>
      <c r="BGX20" s="94"/>
      <c r="BGY20" s="94"/>
      <c r="BGZ20" s="94"/>
      <c r="BHA20" s="94"/>
      <c r="BHB20" s="94"/>
      <c r="BHC20" s="94"/>
      <c r="BHD20" s="94"/>
      <c r="BHE20" s="94"/>
      <c r="BHF20" s="94"/>
      <c r="BHG20" s="94"/>
      <c r="BHH20" s="94"/>
      <c r="BHI20" s="94"/>
      <c r="BHJ20" s="94"/>
      <c r="BHK20" s="94"/>
      <c r="BHL20" s="94"/>
      <c r="BHM20" s="94"/>
      <c r="BHN20" s="94"/>
      <c r="BHO20" s="94"/>
      <c r="BHP20" s="94"/>
      <c r="BHQ20" s="94"/>
      <c r="BHR20" s="94"/>
      <c r="BHS20" s="94"/>
      <c r="BHT20" s="94"/>
      <c r="BHU20" s="94"/>
      <c r="BHV20" s="94"/>
      <c r="BHW20" s="94"/>
      <c r="BHX20" s="94"/>
      <c r="BHY20" s="94"/>
      <c r="BHZ20" s="94"/>
      <c r="BIA20" s="94"/>
      <c r="BIB20" s="94"/>
      <c r="BIC20" s="94"/>
      <c r="BID20" s="94"/>
      <c r="BIE20" s="94"/>
      <c r="BIF20" s="94"/>
      <c r="BIG20" s="94"/>
      <c r="BIH20" s="94"/>
      <c r="BII20" s="94"/>
      <c r="BIJ20" s="94"/>
      <c r="BIK20" s="94"/>
      <c r="BIL20" s="94"/>
      <c r="BIM20" s="94"/>
      <c r="BIN20" s="94"/>
      <c r="BIO20" s="94"/>
      <c r="BIP20" s="94"/>
      <c r="BIQ20" s="94"/>
      <c r="BIR20" s="94"/>
      <c r="BIS20" s="94"/>
      <c r="BIT20" s="94"/>
      <c r="BIU20" s="94"/>
      <c r="BIV20" s="94"/>
      <c r="BIW20" s="94"/>
      <c r="BIX20" s="94"/>
      <c r="BIY20" s="94"/>
      <c r="BIZ20" s="94"/>
      <c r="BJA20" s="94"/>
      <c r="BJB20" s="94"/>
      <c r="BJC20" s="94"/>
      <c r="BJD20" s="94"/>
      <c r="BJE20" s="94"/>
      <c r="BJF20" s="94"/>
      <c r="BJG20" s="94"/>
      <c r="BJH20" s="94"/>
      <c r="BJI20" s="94"/>
      <c r="BJJ20" s="94"/>
      <c r="BJK20" s="94"/>
      <c r="BJL20" s="94"/>
      <c r="BJM20" s="94"/>
      <c r="BJN20" s="94"/>
      <c r="BJO20" s="94"/>
      <c r="BJP20" s="94"/>
      <c r="BJQ20" s="94"/>
      <c r="BJR20" s="94"/>
      <c r="BJS20" s="94"/>
      <c r="BJT20" s="94"/>
      <c r="BJU20" s="94"/>
      <c r="BJV20" s="94"/>
      <c r="BJW20" s="94"/>
      <c r="BJX20" s="94"/>
      <c r="BJY20" s="94"/>
      <c r="BJZ20" s="94"/>
      <c r="BKA20" s="94"/>
      <c r="BKB20" s="94"/>
      <c r="BKC20" s="94"/>
      <c r="BKD20" s="94"/>
      <c r="BKE20" s="94"/>
      <c r="BKF20" s="94"/>
      <c r="BKG20" s="94"/>
      <c r="BKH20" s="94"/>
      <c r="BKI20" s="94"/>
      <c r="BKJ20" s="94"/>
      <c r="BKK20" s="94"/>
      <c r="BKL20" s="94"/>
      <c r="BKM20" s="94"/>
      <c r="BKN20" s="94"/>
      <c r="BKO20" s="94"/>
      <c r="BKP20" s="94"/>
      <c r="BKQ20" s="94"/>
      <c r="BKR20" s="94"/>
      <c r="BKS20" s="94"/>
      <c r="BKT20" s="94"/>
      <c r="BKU20" s="94"/>
      <c r="BKV20" s="94"/>
      <c r="BKW20" s="94"/>
      <c r="BKX20" s="94"/>
      <c r="BKY20" s="94"/>
      <c r="BKZ20" s="94"/>
      <c r="BLA20" s="94"/>
      <c r="BLB20" s="94"/>
      <c r="BLC20" s="94"/>
      <c r="BLD20" s="94"/>
      <c r="BLE20" s="94"/>
      <c r="BLF20" s="94"/>
      <c r="BLG20" s="94"/>
      <c r="BLH20" s="94"/>
      <c r="BLI20" s="94"/>
      <c r="BLJ20" s="94"/>
      <c r="BLK20" s="94"/>
      <c r="BLL20" s="94"/>
      <c r="BLM20" s="94"/>
      <c r="BLN20" s="94"/>
      <c r="BLO20" s="94"/>
      <c r="BLP20" s="94"/>
      <c r="BLQ20" s="94"/>
      <c r="BLR20" s="94"/>
      <c r="BLS20" s="94"/>
      <c r="BLT20" s="94"/>
      <c r="BLU20" s="94"/>
      <c r="BLV20" s="94"/>
      <c r="BLW20" s="94"/>
      <c r="BLX20" s="94"/>
      <c r="BLY20" s="94"/>
      <c r="BLZ20" s="94"/>
      <c r="BMA20" s="94"/>
      <c r="BMB20" s="94"/>
      <c r="BMC20" s="94"/>
      <c r="BMD20" s="94"/>
      <c r="BME20" s="94"/>
      <c r="BMF20" s="94"/>
      <c r="BMG20" s="94"/>
      <c r="BMH20" s="94"/>
      <c r="BMI20" s="94"/>
      <c r="BMJ20" s="94"/>
      <c r="BMK20" s="94"/>
      <c r="BML20" s="94"/>
      <c r="BMM20" s="94"/>
      <c r="BMN20" s="94"/>
      <c r="BMO20" s="94"/>
      <c r="BMP20" s="94"/>
      <c r="BMQ20" s="94"/>
      <c r="BMR20" s="94"/>
      <c r="BMS20" s="94"/>
      <c r="BMT20" s="94"/>
      <c r="BMU20" s="94"/>
      <c r="BMV20" s="94"/>
      <c r="BMW20" s="94"/>
      <c r="BMX20" s="94"/>
      <c r="BMY20" s="94"/>
      <c r="BMZ20" s="94"/>
      <c r="BNA20" s="94"/>
      <c r="BNB20" s="94"/>
      <c r="BNC20" s="94"/>
      <c r="BND20" s="94"/>
      <c r="BNE20" s="94"/>
      <c r="BNF20" s="94"/>
      <c r="BNG20" s="94"/>
      <c r="BNH20" s="94"/>
      <c r="BNI20" s="94"/>
      <c r="BNJ20" s="94"/>
      <c r="BNK20" s="94"/>
      <c r="BNL20" s="94"/>
      <c r="BNM20" s="94"/>
      <c r="BNN20" s="94"/>
      <c r="BNO20" s="94"/>
      <c r="BNP20" s="94"/>
      <c r="BNQ20" s="94"/>
      <c r="BNR20" s="94"/>
      <c r="BNS20" s="94"/>
      <c r="BNT20" s="94"/>
      <c r="BNU20" s="94"/>
      <c r="BNV20" s="94"/>
      <c r="BNW20" s="94"/>
      <c r="BNX20" s="94"/>
      <c r="BNY20" s="94"/>
      <c r="BNZ20" s="94"/>
      <c r="BOA20" s="94"/>
      <c r="BOB20" s="94"/>
      <c r="BOC20" s="94"/>
      <c r="BOD20" s="94"/>
      <c r="BOE20" s="94"/>
      <c r="BOF20" s="94"/>
      <c r="BOG20" s="94"/>
      <c r="BOH20" s="94"/>
      <c r="BOI20" s="94"/>
      <c r="BOJ20" s="94"/>
      <c r="BOK20" s="94"/>
      <c r="BOL20" s="94"/>
      <c r="BOM20" s="94"/>
      <c r="BON20" s="94"/>
      <c r="BOO20" s="94"/>
      <c r="BOP20" s="94"/>
      <c r="BOQ20" s="94"/>
      <c r="BOR20" s="94"/>
      <c r="BOS20" s="94"/>
      <c r="BOT20" s="94"/>
      <c r="BOU20" s="94"/>
      <c r="BOV20" s="94"/>
      <c r="BOW20" s="94"/>
      <c r="BOX20" s="94"/>
      <c r="BOY20" s="94"/>
      <c r="BOZ20" s="94"/>
      <c r="BPA20" s="94"/>
      <c r="BPB20" s="94"/>
      <c r="BPC20" s="94"/>
      <c r="BPD20" s="94"/>
      <c r="BPE20" s="94"/>
      <c r="BPF20" s="94"/>
      <c r="BPG20" s="94"/>
      <c r="BPH20" s="94"/>
      <c r="BPI20" s="94"/>
      <c r="BPJ20" s="94"/>
      <c r="BPK20" s="94"/>
      <c r="BPL20" s="94"/>
      <c r="BPM20" s="94"/>
      <c r="BPN20" s="94"/>
      <c r="BPO20" s="94"/>
      <c r="BPP20" s="94"/>
      <c r="BPQ20" s="94"/>
      <c r="BPR20" s="94"/>
      <c r="BPS20" s="94"/>
      <c r="BPT20" s="94"/>
      <c r="BPU20" s="94"/>
      <c r="BPV20" s="94"/>
      <c r="BPW20" s="94"/>
      <c r="BPX20" s="94"/>
      <c r="BPY20" s="94"/>
      <c r="BPZ20" s="94"/>
      <c r="BQA20" s="94"/>
      <c r="BQB20" s="94"/>
      <c r="BQC20" s="94"/>
      <c r="BQD20" s="94"/>
      <c r="BQE20" s="94"/>
      <c r="BQF20" s="94"/>
      <c r="BQG20" s="94"/>
      <c r="BQH20" s="94"/>
      <c r="BQI20" s="94"/>
      <c r="BQJ20" s="94"/>
      <c r="BQK20" s="94"/>
      <c r="BQL20" s="94"/>
      <c r="BQM20" s="94"/>
      <c r="BQN20" s="94"/>
      <c r="BQO20" s="94"/>
      <c r="BQP20" s="94"/>
      <c r="BQQ20" s="94"/>
      <c r="BQR20" s="94"/>
      <c r="BQS20" s="94"/>
      <c r="BQT20" s="94"/>
      <c r="BQU20" s="94"/>
      <c r="BQV20" s="94"/>
      <c r="BQW20" s="94"/>
      <c r="BQX20" s="94"/>
      <c r="BQY20" s="94"/>
      <c r="BQZ20" s="94"/>
      <c r="BRA20" s="94"/>
      <c r="BRB20" s="94"/>
      <c r="BRC20" s="94"/>
      <c r="BRD20" s="94"/>
      <c r="BRE20" s="94"/>
      <c r="BRF20" s="94"/>
      <c r="BRG20" s="94"/>
      <c r="BRH20" s="94"/>
      <c r="BRI20" s="94"/>
      <c r="BRJ20" s="94"/>
      <c r="BRK20" s="94"/>
      <c r="BRL20" s="94"/>
      <c r="BRM20" s="94"/>
      <c r="BRN20" s="94"/>
      <c r="BRO20" s="94"/>
      <c r="BRP20" s="94"/>
      <c r="BRQ20" s="94"/>
      <c r="BRR20" s="94"/>
      <c r="BRS20" s="94"/>
      <c r="BRT20" s="94"/>
      <c r="BRU20" s="94"/>
      <c r="BRV20" s="94"/>
      <c r="BRW20" s="94"/>
      <c r="BRX20" s="94"/>
      <c r="BRY20" s="94"/>
      <c r="BRZ20" s="94"/>
      <c r="BSA20" s="94"/>
      <c r="BSB20" s="94"/>
      <c r="BSC20" s="94"/>
      <c r="BSD20" s="94"/>
      <c r="BSE20" s="94"/>
      <c r="BSF20" s="94"/>
      <c r="BSG20" s="94"/>
      <c r="BSH20" s="94"/>
      <c r="BSI20" s="94"/>
      <c r="BSJ20" s="94"/>
      <c r="BSK20" s="94"/>
      <c r="BSL20" s="94"/>
      <c r="BSM20" s="94"/>
      <c r="BSN20" s="94"/>
      <c r="BSO20" s="94"/>
      <c r="BSP20" s="94"/>
      <c r="BSQ20" s="94"/>
      <c r="BSR20" s="94"/>
      <c r="BSS20" s="94"/>
      <c r="BST20" s="94"/>
      <c r="BSU20" s="94"/>
      <c r="BSV20" s="94"/>
      <c r="BSW20" s="94"/>
      <c r="BSX20" s="94"/>
      <c r="BSY20" s="94"/>
      <c r="BSZ20" s="94"/>
      <c r="BTA20" s="94"/>
      <c r="BTB20" s="94"/>
      <c r="BTC20" s="94"/>
      <c r="BTD20" s="94"/>
      <c r="BTE20" s="94"/>
      <c r="BTF20" s="94"/>
      <c r="BTG20" s="94"/>
      <c r="BTH20" s="94"/>
      <c r="BTI20" s="94"/>
      <c r="BTJ20" s="94"/>
      <c r="BTK20" s="94"/>
      <c r="BTL20" s="94"/>
      <c r="BTM20" s="94"/>
      <c r="BTN20" s="94"/>
      <c r="BTO20" s="94"/>
      <c r="BTP20" s="94"/>
      <c r="BTQ20" s="94"/>
      <c r="BTR20" s="94"/>
      <c r="BTS20" s="94"/>
      <c r="BTT20" s="94"/>
      <c r="BTU20" s="94"/>
      <c r="BTV20" s="94"/>
      <c r="BTW20" s="94"/>
      <c r="BTX20" s="94"/>
      <c r="BTY20" s="94"/>
      <c r="BTZ20" s="94"/>
      <c r="BUA20" s="94"/>
      <c r="BUB20" s="94"/>
      <c r="BUC20" s="94"/>
      <c r="BUD20" s="94"/>
      <c r="BUE20" s="94"/>
      <c r="BUF20" s="94"/>
      <c r="BUG20" s="94"/>
      <c r="BUH20" s="94"/>
      <c r="BUI20" s="94"/>
      <c r="BUJ20" s="94"/>
      <c r="BUK20" s="94"/>
      <c r="BUL20" s="94"/>
      <c r="BUM20" s="94"/>
      <c r="BUN20" s="94"/>
      <c r="BUO20" s="94"/>
      <c r="BUP20" s="94"/>
      <c r="BUQ20" s="94"/>
      <c r="BUR20" s="94"/>
      <c r="BUS20" s="94"/>
      <c r="BUT20" s="94"/>
      <c r="BUU20" s="94"/>
      <c r="BUV20" s="94"/>
      <c r="BUW20" s="94"/>
      <c r="BUX20" s="94"/>
      <c r="BUY20" s="94"/>
      <c r="BUZ20" s="94"/>
      <c r="BVA20" s="94"/>
      <c r="BVB20" s="94"/>
      <c r="BVC20" s="94"/>
      <c r="BVD20" s="94"/>
      <c r="BVE20" s="94"/>
      <c r="BVF20" s="94"/>
      <c r="BVG20" s="94"/>
      <c r="BVH20" s="94"/>
      <c r="BVI20" s="94"/>
      <c r="BVJ20" s="94"/>
      <c r="BVK20" s="94"/>
      <c r="BVL20" s="94"/>
      <c r="BVM20" s="94"/>
      <c r="BVN20" s="94"/>
      <c r="BVO20" s="94"/>
      <c r="BVP20" s="94"/>
      <c r="BVQ20" s="94"/>
      <c r="BVR20" s="94"/>
      <c r="BVS20" s="94"/>
      <c r="BVT20" s="94"/>
      <c r="BVU20" s="94"/>
      <c r="BVV20" s="94"/>
      <c r="BVW20" s="94"/>
      <c r="BVX20" s="94"/>
      <c r="BVY20" s="94"/>
      <c r="BVZ20" s="94"/>
      <c r="BWA20" s="94"/>
      <c r="BWB20" s="94"/>
      <c r="BWC20" s="94"/>
      <c r="BWD20" s="94"/>
      <c r="BWE20" s="94"/>
      <c r="BWF20" s="94"/>
      <c r="BWG20" s="94"/>
      <c r="BWH20" s="94"/>
      <c r="BWI20" s="94"/>
      <c r="BWJ20" s="94"/>
      <c r="BWK20" s="94"/>
      <c r="BWL20" s="94"/>
      <c r="BWM20" s="94"/>
      <c r="BWN20" s="94"/>
      <c r="BWO20" s="94"/>
      <c r="BWP20" s="94"/>
      <c r="BWQ20" s="94"/>
      <c r="BWR20" s="94"/>
      <c r="BWS20" s="94"/>
      <c r="BWT20" s="94"/>
      <c r="BWU20" s="94"/>
      <c r="BWV20" s="94"/>
      <c r="BWW20" s="94"/>
      <c r="BWX20" s="94"/>
      <c r="BWY20" s="94"/>
      <c r="BWZ20" s="94"/>
      <c r="BXA20" s="94"/>
      <c r="BXB20" s="94"/>
      <c r="BXC20" s="94"/>
      <c r="BXD20" s="94"/>
      <c r="BXE20" s="94"/>
      <c r="BXF20" s="94"/>
      <c r="BXG20" s="94"/>
      <c r="BXH20" s="94"/>
      <c r="BXI20" s="94"/>
      <c r="BXJ20" s="94"/>
      <c r="BXK20" s="94"/>
      <c r="BXL20" s="94"/>
      <c r="BXM20" s="94"/>
      <c r="BXN20" s="94"/>
      <c r="BXO20" s="94"/>
      <c r="BXP20" s="94"/>
      <c r="BXQ20" s="94"/>
      <c r="BXR20" s="94"/>
      <c r="BXS20" s="94"/>
      <c r="BXT20" s="94"/>
      <c r="BXU20" s="94"/>
      <c r="BXV20" s="94"/>
      <c r="BXW20" s="94"/>
      <c r="BXX20" s="94"/>
      <c r="BXY20" s="94"/>
      <c r="BXZ20" s="94"/>
      <c r="BYA20" s="94"/>
      <c r="BYB20" s="94"/>
      <c r="BYC20" s="94"/>
      <c r="BYD20" s="94"/>
      <c r="BYE20" s="94"/>
      <c r="BYF20" s="94"/>
      <c r="BYG20" s="94"/>
      <c r="BYH20" s="94"/>
      <c r="BYI20" s="94"/>
      <c r="BYJ20" s="94"/>
      <c r="BYK20" s="94"/>
      <c r="BYL20" s="94"/>
      <c r="BYM20" s="94"/>
      <c r="BYN20" s="94"/>
      <c r="BYO20" s="94"/>
      <c r="BYP20" s="94"/>
      <c r="BYQ20" s="94"/>
      <c r="BYR20" s="94"/>
      <c r="BYS20" s="94"/>
      <c r="BYT20" s="94"/>
      <c r="BYU20" s="94"/>
      <c r="BYV20" s="94"/>
      <c r="BYW20" s="94"/>
      <c r="BYX20" s="94"/>
      <c r="BYY20" s="94"/>
      <c r="BYZ20" s="94"/>
      <c r="BZA20" s="94"/>
      <c r="BZB20" s="94"/>
      <c r="BZC20" s="94"/>
      <c r="BZD20" s="94"/>
      <c r="BZE20" s="94"/>
      <c r="BZF20" s="94"/>
      <c r="BZG20" s="94"/>
      <c r="BZH20" s="94"/>
      <c r="BZI20" s="94"/>
      <c r="BZJ20" s="94"/>
      <c r="BZK20" s="94"/>
      <c r="BZL20" s="94"/>
      <c r="BZM20" s="94"/>
      <c r="BZN20" s="94"/>
      <c r="BZO20" s="94"/>
      <c r="BZP20" s="94"/>
      <c r="BZQ20" s="94"/>
      <c r="BZR20" s="94"/>
      <c r="BZS20" s="94"/>
      <c r="BZT20" s="94"/>
      <c r="BZU20" s="94"/>
      <c r="BZV20" s="94"/>
      <c r="BZW20" s="94"/>
      <c r="BZX20" s="94"/>
      <c r="BZY20" s="94"/>
      <c r="BZZ20" s="94"/>
      <c r="CAA20" s="94"/>
      <c r="CAB20" s="94"/>
      <c r="CAC20" s="94"/>
      <c r="CAD20" s="94"/>
      <c r="CAE20" s="94"/>
      <c r="CAF20" s="94"/>
      <c r="CAG20" s="94"/>
      <c r="CAH20" s="94"/>
      <c r="CAI20" s="94"/>
      <c r="CAJ20" s="94"/>
      <c r="CAK20" s="94"/>
      <c r="CAL20" s="94"/>
      <c r="CAM20" s="94"/>
      <c r="CAN20" s="94"/>
      <c r="CAO20" s="94"/>
      <c r="CAP20" s="94"/>
      <c r="CAQ20" s="94"/>
      <c r="CAR20" s="94"/>
      <c r="CAS20" s="94"/>
      <c r="CAT20" s="94"/>
      <c r="CAU20" s="94"/>
      <c r="CAV20" s="94"/>
      <c r="CAW20" s="94"/>
      <c r="CAX20" s="94"/>
      <c r="CAY20" s="94"/>
      <c r="CAZ20" s="94"/>
      <c r="CBA20" s="94"/>
      <c r="CBB20" s="94"/>
      <c r="CBC20" s="94"/>
      <c r="CBD20" s="94"/>
      <c r="CBE20" s="94"/>
      <c r="CBF20" s="94"/>
      <c r="CBG20" s="94"/>
      <c r="CBH20" s="94"/>
      <c r="CBI20" s="94"/>
      <c r="CBJ20" s="94"/>
      <c r="CBK20" s="94"/>
      <c r="CBL20" s="94"/>
      <c r="CBM20" s="94"/>
      <c r="CBN20" s="94"/>
      <c r="CBO20" s="94"/>
      <c r="CBP20" s="94"/>
      <c r="CBQ20" s="94"/>
      <c r="CBR20" s="94"/>
      <c r="CBS20" s="94"/>
      <c r="CBT20" s="94"/>
      <c r="CBU20" s="94"/>
      <c r="CBV20" s="94"/>
      <c r="CBW20" s="94"/>
      <c r="CBX20" s="94"/>
      <c r="CBY20" s="94"/>
      <c r="CBZ20" s="94"/>
      <c r="CCA20" s="94"/>
      <c r="CCB20" s="94"/>
      <c r="CCC20" s="94"/>
      <c r="CCD20" s="94"/>
      <c r="CCE20" s="94"/>
      <c r="CCF20" s="94"/>
      <c r="CCG20" s="94"/>
      <c r="CCH20" s="94"/>
      <c r="CCI20" s="94"/>
      <c r="CCJ20" s="94"/>
      <c r="CCK20" s="94"/>
      <c r="CCL20" s="94"/>
      <c r="CCM20" s="94"/>
      <c r="CCN20" s="94"/>
      <c r="CCO20" s="94"/>
      <c r="CCP20" s="94"/>
      <c r="CCQ20" s="94"/>
      <c r="CCR20" s="94"/>
      <c r="CCS20" s="94"/>
      <c r="CCT20" s="94"/>
      <c r="CCU20" s="94"/>
      <c r="CCV20" s="94"/>
      <c r="CCW20" s="94"/>
      <c r="CCX20" s="94"/>
      <c r="CCY20" s="94"/>
      <c r="CCZ20" s="94"/>
      <c r="CDA20" s="94"/>
      <c r="CDB20" s="94"/>
      <c r="CDC20" s="94"/>
      <c r="CDD20" s="94"/>
      <c r="CDE20" s="94"/>
      <c r="CDF20" s="94"/>
      <c r="CDG20" s="94"/>
      <c r="CDH20" s="94"/>
      <c r="CDI20" s="94"/>
      <c r="CDJ20" s="94"/>
      <c r="CDK20" s="94"/>
      <c r="CDL20" s="94"/>
      <c r="CDM20" s="94"/>
      <c r="CDN20" s="94"/>
      <c r="CDO20" s="94"/>
      <c r="CDP20" s="94"/>
      <c r="CDQ20" s="94"/>
      <c r="CDR20" s="94"/>
      <c r="CDS20" s="94"/>
      <c r="CDT20" s="94"/>
      <c r="CDU20" s="94"/>
      <c r="CDV20" s="94"/>
      <c r="CDW20" s="94"/>
      <c r="CDX20" s="94"/>
      <c r="CDY20" s="94"/>
      <c r="CDZ20" s="94"/>
      <c r="CEA20" s="94"/>
      <c r="CEB20" s="94"/>
      <c r="CEC20" s="94"/>
      <c r="CED20" s="94"/>
      <c r="CEE20" s="94"/>
      <c r="CEF20" s="94"/>
      <c r="CEG20" s="94"/>
      <c r="CEH20" s="94"/>
      <c r="CEI20" s="94"/>
      <c r="CEJ20" s="94"/>
      <c r="CEK20" s="94"/>
      <c r="CEL20" s="94"/>
      <c r="CEM20" s="94"/>
      <c r="CEN20" s="94"/>
      <c r="CEO20" s="94"/>
      <c r="CEP20" s="94"/>
      <c r="CEQ20" s="94"/>
      <c r="CER20" s="94"/>
      <c r="CES20" s="94"/>
      <c r="CET20" s="94"/>
      <c r="CEU20" s="94"/>
      <c r="CEV20" s="94"/>
      <c r="CEW20" s="94"/>
      <c r="CEX20" s="94"/>
      <c r="CEY20" s="94"/>
      <c r="CEZ20" s="94"/>
      <c r="CFA20" s="94"/>
      <c r="CFB20" s="94"/>
      <c r="CFC20" s="94"/>
      <c r="CFD20" s="94"/>
      <c r="CFE20" s="94"/>
      <c r="CFF20" s="94"/>
      <c r="CFG20" s="94"/>
      <c r="CFH20" s="94"/>
      <c r="CFI20" s="94"/>
      <c r="CFJ20" s="94"/>
      <c r="CFK20" s="94"/>
      <c r="CFL20" s="94"/>
      <c r="CFM20" s="94"/>
      <c r="CFN20" s="94"/>
      <c r="CFO20" s="94"/>
      <c r="CFP20" s="94"/>
      <c r="CFQ20" s="94"/>
      <c r="CFR20" s="94"/>
      <c r="CFS20" s="94"/>
      <c r="CFT20" s="94"/>
      <c r="CFU20" s="94"/>
      <c r="CFV20" s="94"/>
      <c r="CFW20" s="94"/>
      <c r="CFX20" s="94"/>
      <c r="CFY20" s="94"/>
      <c r="CFZ20" s="94"/>
      <c r="CGA20" s="94"/>
      <c r="CGB20" s="94"/>
      <c r="CGC20" s="94"/>
      <c r="CGD20" s="94"/>
      <c r="CGE20" s="94"/>
      <c r="CGF20" s="94"/>
      <c r="CGG20" s="94"/>
      <c r="CGH20" s="94"/>
      <c r="CGI20" s="94"/>
      <c r="CGJ20" s="94"/>
      <c r="CGK20" s="94"/>
      <c r="CGL20" s="94"/>
      <c r="CGM20" s="94"/>
      <c r="CGN20" s="94"/>
      <c r="CGO20" s="94"/>
      <c r="CGP20" s="94"/>
      <c r="CGQ20" s="94"/>
      <c r="CGR20" s="94"/>
      <c r="CGS20" s="94"/>
      <c r="CGT20" s="94"/>
      <c r="CGU20" s="94"/>
      <c r="CGV20" s="94"/>
      <c r="CGW20" s="94"/>
      <c r="CGX20" s="94"/>
      <c r="CGY20" s="94"/>
      <c r="CGZ20" s="94"/>
      <c r="CHA20" s="94"/>
      <c r="CHB20" s="94"/>
      <c r="CHC20" s="94"/>
      <c r="CHD20" s="94"/>
      <c r="CHE20" s="94"/>
      <c r="CHF20" s="94"/>
      <c r="CHG20" s="94"/>
      <c r="CHH20" s="94"/>
      <c r="CHI20" s="94"/>
      <c r="CHJ20" s="94"/>
      <c r="CHK20" s="94"/>
      <c r="CHL20" s="94"/>
      <c r="CHM20" s="94"/>
      <c r="CHN20" s="94"/>
      <c r="CHO20" s="94"/>
      <c r="CHP20" s="94"/>
      <c r="CHQ20" s="94"/>
      <c r="CHR20" s="94"/>
      <c r="CHS20" s="94"/>
      <c r="CHT20" s="94"/>
      <c r="CHU20" s="94"/>
      <c r="CHV20" s="94"/>
      <c r="CHW20" s="94"/>
      <c r="CHX20" s="94"/>
      <c r="CHY20" s="94"/>
      <c r="CHZ20" s="94"/>
      <c r="CIA20" s="94"/>
      <c r="CIB20" s="94"/>
      <c r="CIC20" s="94"/>
      <c r="CID20" s="94"/>
      <c r="CIE20" s="94"/>
      <c r="CIF20" s="94"/>
      <c r="CIG20" s="94"/>
      <c r="CIH20" s="94"/>
      <c r="CII20" s="94"/>
      <c r="CIJ20" s="94"/>
      <c r="CIK20" s="94"/>
      <c r="CIL20" s="94"/>
      <c r="CIM20" s="94"/>
      <c r="CIN20" s="94"/>
      <c r="CIO20" s="94"/>
      <c r="CIP20" s="94"/>
      <c r="CIQ20" s="94"/>
      <c r="CIR20" s="94"/>
      <c r="CIS20" s="94"/>
      <c r="CIT20" s="94"/>
      <c r="CIU20" s="94"/>
      <c r="CIV20" s="94"/>
      <c r="CIW20" s="94"/>
      <c r="CIX20" s="94"/>
      <c r="CIY20" s="94"/>
      <c r="CIZ20" s="94"/>
      <c r="CJA20" s="94"/>
      <c r="CJB20" s="94"/>
      <c r="CJC20" s="94"/>
      <c r="CJD20" s="94"/>
      <c r="CJE20" s="94"/>
      <c r="CJF20" s="94"/>
      <c r="CJG20" s="94"/>
      <c r="CJH20" s="94"/>
      <c r="CJI20" s="94"/>
      <c r="CJJ20" s="94"/>
      <c r="CJK20" s="94"/>
      <c r="CJL20" s="94"/>
      <c r="CJM20" s="94"/>
      <c r="CJN20" s="94"/>
      <c r="CJO20" s="94"/>
      <c r="CJP20" s="94"/>
      <c r="CJQ20" s="94"/>
      <c r="CJR20" s="94"/>
      <c r="CJS20" s="94"/>
      <c r="CJT20" s="94"/>
      <c r="CJU20" s="94"/>
      <c r="CJV20" s="94"/>
      <c r="CJW20" s="94"/>
      <c r="CJX20" s="94"/>
      <c r="CJY20" s="94"/>
      <c r="CJZ20" s="94"/>
      <c r="CKA20" s="94"/>
      <c r="CKB20" s="94"/>
      <c r="CKC20" s="94"/>
      <c r="CKD20" s="94"/>
      <c r="CKE20" s="94"/>
      <c r="CKF20" s="94"/>
      <c r="CKG20" s="94"/>
      <c r="CKH20" s="94"/>
      <c r="CKI20" s="94"/>
      <c r="CKJ20" s="94"/>
      <c r="CKK20" s="94"/>
      <c r="CKL20" s="94"/>
      <c r="CKM20" s="94"/>
      <c r="CKN20" s="94"/>
      <c r="CKO20" s="94"/>
      <c r="CKP20" s="94"/>
      <c r="CKQ20" s="94"/>
      <c r="CKR20" s="94"/>
      <c r="CKS20" s="94"/>
      <c r="CKT20" s="94"/>
      <c r="CKU20" s="94"/>
      <c r="CKV20" s="94"/>
      <c r="CKW20" s="94"/>
      <c r="CKX20" s="94"/>
      <c r="CKY20" s="94"/>
      <c r="CKZ20" s="94"/>
      <c r="CLA20" s="94"/>
      <c r="CLB20" s="94"/>
      <c r="CLC20" s="94"/>
      <c r="CLD20" s="94"/>
      <c r="CLE20" s="94"/>
      <c r="CLF20" s="94"/>
      <c r="CLG20" s="94"/>
      <c r="CLH20" s="94"/>
      <c r="CLI20" s="94"/>
      <c r="CLJ20" s="94"/>
      <c r="CLK20" s="94"/>
      <c r="CLL20" s="94"/>
      <c r="CLM20" s="94"/>
      <c r="CLN20" s="94"/>
      <c r="CLO20" s="94"/>
      <c r="CLP20" s="94"/>
      <c r="CLQ20" s="94"/>
      <c r="CLR20" s="94"/>
      <c r="CLS20" s="94"/>
      <c r="CLT20" s="94"/>
      <c r="CLU20" s="94"/>
      <c r="CLV20" s="94"/>
      <c r="CLW20" s="94"/>
      <c r="CLX20" s="94"/>
      <c r="CLY20" s="94"/>
      <c r="CLZ20" s="94"/>
      <c r="CMA20" s="94"/>
      <c r="CMB20" s="94"/>
      <c r="CMC20" s="94"/>
      <c r="CMD20" s="94"/>
      <c r="CME20" s="94"/>
      <c r="CMF20" s="94"/>
      <c r="CMG20" s="94"/>
      <c r="CMH20" s="94"/>
      <c r="CMI20" s="94"/>
      <c r="CMJ20" s="94"/>
      <c r="CMK20" s="94"/>
      <c r="CML20" s="94"/>
      <c r="CMM20" s="94"/>
      <c r="CMN20" s="94"/>
      <c r="CMO20" s="94"/>
      <c r="CMP20" s="94"/>
      <c r="CMQ20" s="94"/>
      <c r="CMR20" s="94"/>
      <c r="CMS20" s="94"/>
      <c r="CMT20" s="94"/>
      <c r="CMU20" s="94"/>
      <c r="CMV20" s="94"/>
      <c r="CMW20" s="94"/>
      <c r="CMX20" s="94"/>
      <c r="CMY20" s="94"/>
      <c r="CMZ20" s="94"/>
      <c r="CNA20" s="94"/>
      <c r="CNB20" s="94"/>
      <c r="CNC20" s="94"/>
      <c r="CND20" s="94"/>
      <c r="CNE20" s="94"/>
      <c r="CNF20" s="94"/>
      <c r="CNG20" s="94"/>
      <c r="CNH20" s="94"/>
      <c r="CNI20" s="94"/>
      <c r="CNJ20" s="94"/>
      <c r="CNK20" s="94"/>
      <c r="CNL20" s="94"/>
      <c r="CNM20" s="94"/>
      <c r="CNN20" s="94"/>
      <c r="CNO20" s="94"/>
      <c r="CNP20" s="94"/>
      <c r="CNQ20" s="94"/>
      <c r="CNR20" s="94"/>
      <c r="CNS20" s="94"/>
      <c r="CNT20" s="94"/>
      <c r="CNU20" s="94"/>
      <c r="CNV20" s="94"/>
      <c r="CNW20" s="94"/>
      <c r="CNX20" s="94"/>
      <c r="CNY20" s="94"/>
      <c r="CNZ20" s="94"/>
      <c r="COA20" s="94"/>
      <c r="COB20" s="94"/>
      <c r="COC20" s="94"/>
      <c r="COD20" s="94"/>
      <c r="COE20" s="94"/>
      <c r="COF20" s="94"/>
      <c r="COG20" s="94"/>
      <c r="COH20" s="94"/>
      <c r="COI20" s="94"/>
      <c r="COJ20" s="94"/>
      <c r="COK20" s="94"/>
      <c r="COL20" s="94"/>
      <c r="COM20" s="94"/>
      <c r="CON20" s="94"/>
      <c r="COO20" s="94"/>
      <c r="COP20" s="94"/>
      <c r="COQ20" s="94"/>
      <c r="COR20" s="94"/>
      <c r="COS20" s="94"/>
      <c r="COT20" s="94"/>
      <c r="COU20" s="94"/>
      <c r="COV20" s="94"/>
      <c r="COW20" s="94"/>
      <c r="COX20" s="94"/>
      <c r="COY20" s="94"/>
      <c r="COZ20" s="94"/>
      <c r="CPA20" s="94"/>
      <c r="CPB20" s="94"/>
      <c r="CPC20" s="94"/>
      <c r="CPD20" s="94"/>
      <c r="CPE20" s="94"/>
      <c r="CPF20" s="94"/>
      <c r="CPG20" s="94"/>
      <c r="CPH20" s="94"/>
      <c r="CPI20" s="94"/>
      <c r="CPJ20" s="94"/>
      <c r="CPK20" s="94"/>
      <c r="CPL20" s="94"/>
      <c r="CPM20" s="94"/>
      <c r="CPN20" s="94"/>
      <c r="CPO20" s="94"/>
      <c r="CPP20" s="94"/>
      <c r="CPQ20" s="94"/>
      <c r="CPR20" s="94"/>
      <c r="CPS20" s="94"/>
      <c r="CPT20" s="94"/>
      <c r="CPU20" s="94"/>
      <c r="CPV20" s="94"/>
      <c r="CPW20" s="94"/>
      <c r="CPX20" s="94"/>
      <c r="CPY20" s="94"/>
      <c r="CPZ20" s="94"/>
      <c r="CQA20" s="94"/>
      <c r="CQB20" s="94"/>
      <c r="CQC20" s="94"/>
      <c r="CQD20" s="94"/>
      <c r="CQE20" s="94"/>
      <c r="CQF20" s="94"/>
      <c r="CQG20" s="94"/>
      <c r="CQH20" s="94"/>
      <c r="CQI20" s="94"/>
      <c r="CQJ20" s="94"/>
      <c r="CQK20" s="94"/>
      <c r="CQL20" s="94"/>
      <c r="CQM20" s="94"/>
      <c r="CQN20" s="94"/>
      <c r="CQO20" s="94"/>
      <c r="CQP20" s="94"/>
      <c r="CQQ20" s="94"/>
      <c r="CQR20" s="94"/>
      <c r="CQS20" s="94"/>
      <c r="CQT20" s="94"/>
      <c r="CQU20" s="94"/>
      <c r="CQV20" s="94"/>
      <c r="CQW20" s="94"/>
      <c r="CQX20" s="94"/>
      <c r="CQY20" s="94"/>
      <c r="CQZ20" s="94"/>
      <c r="CRA20" s="94"/>
      <c r="CRB20" s="94"/>
      <c r="CRC20" s="94"/>
      <c r="CRD20" s="94"/>
      <c r="CRE20" s="94"/>
      <c r="CRF20" s="94"/>
      <c r="CRG20" s="94"/>
      <c r="CRH20" s="94"/>
      <c r="CRI20" s="94"/>
      <c r="CRJ20" s="94"/>
      <c r="CRK20" s="94"/>
      <c r="CRL20" s="94"/>
      <c r="CRM20" s="94"/>
      <c r="CRN20" s="94"/>
      <c r="CRO20" s="94"/>
      <c r="CRP20" s="94"/>
      <c r="CRQ20" s="94"/>
      <c r="CRR20" s="94"/>
      <c r="CRS20" s="94"/>
      <c r="CRT20" s="94"/>
      <c r="CRU20" s="94"/>
      <c r="CRV20" s="94"/>
      <c r="CRW20" s="94"/>
      <c r="CRX20" s="94"/>
      <c r="CRY20" s="94"/>
      <c r="CRZ20" s="94"/>
      <c r="CSA20" s="94"/>
      <c r="CSB20" s="94"/>
      <c r="CSC20" s="94"/>
      <c r="CSD20" s="94"/>
      <c r="CSE20" s="94"/>
      <c r="CSF20" s="94"/>
      <c r="CSG20" s="94"/>
      <c r="CSH20" s="94"/>
      <c r="CSI20" s="94"/>
      <c r="CSJ20" s="94"/>
      <c r="CSK20" s="94"/>
      <c r="CSL20" s="94"/>
      <c r="CSM20" s="94"/>
      <c r="CSN20" s="94"/>
      <c r="CSO20" s="94"/>
      <c r="CSP20" s="94"/>
      <c r="CSQ20" s="94"/>
      <c r="CSR20" s="94"/>
      <c r="CSS20" s="94"/>
      <c r="CST20" s="94"/>
      <c r="CSU20" s="94"/>
      <c r="CSV20" s="94"/>
      <c r="CSW20" s="94"/>
      <c r="CSX20" s="94"/>
      <c r="CSY20" s="94"/>
      <c r="CSZ20" s="94"/>
      <c r="CTA20" s="94"/>
      <c r="CTB20" s="94"/>
      <c r="CTC20" s="94"/>
      <c r="CTD20" s="94"/>
      <c r="CTE20" s="94"/>
      <c r="CTF20" s="94"/>
      <c r="CTG20" s="94"/>
      <c r="CTH20" s="94"/>
      <c r="CTI20" s="94"/>
      <c r="CTJ20" s="94"/>
      <c r="CTK20" s="94"/>
      <c r="CTL20" s="94"/>
      <c r="CTM20" s="94"/>
      <c r="CTN20" s="94"/>
      <c r="CTO20" s="94"/>
      <c r="CTP20" s="94"/>
      <c r="CTQ20" s="94"/>
      <c r="CTR20" s="94"/>
      <c r="CTS20" s="94"/>
      <c r="CTT20" s="94"/>
      <c r="CTU20" s="94"/>
      <c r="CTV20" s="94"/>
      <c r="CTW20" s="94"/>
      <c r="CTX20" s="94"/>
      <c r="CTY20" s="94"/>
      <c r="CTZ20" s="94"/>
      <c r="CUA20" s="94"/>
      <c r="CUB20" s="94"/>
      <c r="CUC20" s="94"/>
      <c r="CUD20" s="94"/>
      <c r="CUE20" s="94"/>
      <c r="CUF20" s="94"/>
      <c r="CUG20" s="94"/>
      <c r="CUH20" s="94"/>
      <c r="CUI20" s="94"/>
      <c r="CUJ20" s="94"/>
      <c r="CUK20" s="94"/>
      <c r="CUL20" s="94"/>
      <c r="CUM20" s="94"/>
      <c r="CUN20" s="94"/>
      <c r="CUO20" s="94"/>
      <c r="CUP20" s="94"/>
      <c r="CUQ20" s="94"/>
      <c r="CUR20" s="94"/>
      <c r="CUS20" s="94"/>
      <c r="CUT20" s="94"/>
      <c r="CUU20" s="94"/>
      <c r="CUV20" s="94"/>
      <c r="CUW20" s="94"/>
      <c r="CUX20" s="94"/>
      <c r="CUY20" s="94"/>
      <c r="CUZ20" s="94"/>
      <c r="CVA20" s="94"/>
      <c r="CVB20" s="94"/>
      <c r="CVC20" s="94"/>
      <c r="CVD20" s="94"/>
      <c r="CVE20" s="94"/>
      <c r="CVF20" s="94"/>
      <c r="CVG20" s="94"/>
      <c r="CVH20" s="94"/>
      <c r="CVI20" s="94"/>
      <c r="CVJ20" s="94"/>
      <c r="CVK20" s="94"/>
      <c r="CVL20" s="94"/>
      <c r="CVM20" s="94"/>
      <c r="CVN20" s="94"/>
      <c r="CVO20" s="94"/>
      <c r="CVP20" s="94"/>
      <c r="CVQ20" s="94"/>
      <c r="CVR20" s="94"/>
      <c r="CVS20" s="94"/>
      <c r="CVT20" s="94"/>
      <c r="CVU20" s="94"/>
      <c r="CVV20" s="94"/>
      <c r="CVW20" s="94"/>
      <c r="CVX20" s="94"/>
      <c r="CVY20" s="94"/>
      <c r="CVZ20" s="94"/>
      <c r="CWA20" s="94"/>
      <c r="CWB20" s="94"/>
      <c r="CWC20" s="94"/>
      <c r="CWD20" s="94"/>
      <c r="CWE20" s="94"/>
      <c r="CWF20" s="94"/>
      <c r="CWG20" s="94"/>
      <c r="CWH20" s="94"/>
      <c r="CWI20" s="94"/>
      <c r="CWJ20" s="94"/>
      <c r="CWK20" s="94"/>
      <c r="CWL20" s="94"/>
      <c r="CWM20" s="94"/>
      <c r="CWN20" s="94"/>
      <c r="CWO20" s="94"/>
      <c r="CWP20" s="94"/>
      <c r="CWQ20" s="94"/>
      <c r="CWR20" s="94"/>
      <c r="CWS20" s="94"/>
      <c r="CWT20" s="94"/>
      <c r="CWU20" s="94"/>
      <c r="CWV20" s="94"/>
      <c r="CWW20" s="94"/>
      <c r="CWX20" s="94"/>
      <c r="CWY20" s="94"/>
      <c r="CWZ20" s="94"/>
      <c r="CXA20" s="94"/>
      <c r="CXB20" s="94"/>
      <c r="CXC20" s="94"/>
      <c r="CXD20" s="94"/>
      <c r="CXE20" s="94"/>
      <c r="CXF20" s="94"/>
      <c r="CXG20" s="94"/>
      <c r="CXH20" s="94"/>
      <c r="CXI20" s="94"/>
      <c r="CXJ20" s="94"/>
      <c r="CXK20" s="94"/>
      <c r="CXL20" s="94"/>
      <c r="CXM20" s="94"/>
      <c r="CXN20" s="94"/>
      <c r="CXO20" s="94"/>
      <c r="CXP20" s="94"/>
      <c r="CXQ20" s="94"/>
      <c r="CXR20" s="94"/>
      <c r="CXS20" s="94"/>
      <c r="CXT20" s="94"/>
      <c r="CXU20" s="94"/>
      <c r="CXV20" s="94"/>
      <c r="CXW20" s="94"/>
      <c r="CXX20" s="94"/>
      <c r="CXY20" s="94"/>
      <c r="CXZ20" s="94"/>
      <c r="CYA20" s="94"/>
      <c r="CYB20" s="94"/>
      <c r="CYC20" s="94"/>
      <c r="CYD20" s="94"/>
      <c r="CYE20" s="94"/>
      <c r="CYF20" s="94"/>
      <c r="CYG20" s="94"/>
      <c r="CYH20" s="94"/>
      <c r="CYI20" s="94"/>
      <c r="CYJ20" s="94"/>
      <c r="CYK20" s="94"/>
      <c r="CYL20" s="94"/>
      <c r="CYM20" s="94"/>
      <c r="CYN20" s="94"/>
      <c r="CYO20" s="94"/>
      <c r="CYP20" s="94"/>
      <c r="CYQ20" s="94"/>
      <c r="CYR20" s="94"/>
      <c r="CYS20" s="94"/>
      <c r="CYT20" s="94"/>
      <c r="CYU20" s="94"/>
      <c r="CYV20" s="94"/>
      <c r="CYW20" s="94"/>
      <c r="CYX20" s="94"/>
      <c r="CYY20" s="94"/>
      <c r="CYZ20" s="94"/>
      <c r="CZA20" s="94"/>
      <c r="CZB20" s="94"/>
      <c r="CZC20" s="94"/>
      <c r="CZD20" s="94"/>
      <c r="CZE20" s="94"/>
      <c r="CZF20" s="94"/>
      <c r="CZG20" s="94"/>
      <c r="CZH20" s="94"/>
      <c r="CZI20" s="94"/>
      <c r="CZJ20" s="94"/>
      <c r="CZK20" s="94"/>
      <c r="CZL20" s="94"/>
      <c r="CZM20" s="94"/>
      <c r="CZN20" s="94"/>
      <c r="CZO20" s="94"/>
      <c r="CZP20" s="94"/>
      <c r="CZQ20" s="94"/>
      <c r="CZR20" s="94"/>
      <c r="CZS20" s="94"/>
      <c r="CZT20" s="94"/>
      <c r="CZU20" s="94"/>
      <c r="CZV20" s="94"/>
      <c r="CZW20" s="94"/>
      <c r="CZX20" s="94"/>
      <c r="CZY20" s="94"/>
      <c r="CZZ20" s="94"/>
      <c r="DAA20" s="94"/>
      <c r="DAB20" s="94"/>
      <c r="DAC20" s="94"/>
      <c r="DAD20" s="94"/>
      <c r="DAE20" s="94"/>
      <c r="DAF20" s="94"/>
      <c r="DAG20" s="94"/>
      <c r="DAH20" s="94"/>
      <c r="DAI20" s="94"/>
      <c r="DAJ20" s="94"/>
      <c r="DAK20" s="94"/>
      <c r="DAL20" s="94"/>
      <c r="DAM20" s="94"/>
      <c r="DAN20" s="94"/>
      <c r="DAO20" s="94"/>
      <c r="DAP20" s="94"/>
      <c r="DAQ20" s="94"/>
      <c r="DAR20" s="94"/>
      <c r="DAS20" s="94"/>
      <c r="DAT20" s="94"/>
      <c r="DAU20" s="94"/>
      <c r="DAV20" s="94"/>
      <c r="DAW20" s="94"/>
      <c r="DAX20" s="94"/>
      <c r="DAY20" s="94"/>
      <c r="DAZ20" s="94"/>
      <c r="DBA20" s="94"/>
      <c r="DBB20" s="94"/>
      <c r="DBC20" s="94"/>
      <c r="DBD20" s="94"/>
      <c r="DBE20" s="94"/>
      <c r="DBF20" s="94"/>
      <c r="DBG20" s="94"/>
      <c r="DBH20" s="94"/>
      <c r="DBI20" s="94"/>
      <c r="DBJ20" s="94"/>
      <c r="DBK20" s="94"/>
      <c r="DBL20" s="94"/>
      <c r="DBM20" s="94"/>
      <c r="DBN20" s="94"/>
      <c r="DBO20" s="94"/>
      <c r="DBP20" s="94"/>
      <c r="DBQ20" s="94"/>
      <c r="DBR20" s="94"/>
      <c r="DBS20" s="94"/>
      <c r="DBT20" s="94"/>
      <c r="DBU20" s="94"/>
      <c r="DBV20" s="94"/>
      <c r="DBW20" s="94"/>
      <c r="DBX20" s="94"/>
      <c r="DBY20" s="94"/>
      <c r="DBZ20" s="94"/>
      <c r="DCA20" s="94"/>
      <c r="DCB20" s="94"/>
      <c r="DCC20" s="94"/>
      <c r="DCD20" s="94"/>
      <c r="DCE20" s="94"/>
      <c r="DCF20" s="94"/>
      <c r="DCG20" s="94"/>
      <c r="DCH20" s="94"/>
      <c r="DCI20" s="94"/>
      <c r="DCJ20" s="94"/>
      <c r="DCK20" s="94"/>
      <c r="DCL20" s="94"/>
      <c r="DCM20" s="94"/>
      <c r="DCN20" s="94"/>
      <c r="DCO20" s="94"/>
      <c r="DCP20" s="94"/>
      <c r="DCQ20" s="94"/>
      <c r="DCR20" s="94"/>
      <c r="DCS20" s="94"/>
      <c r="DCT20" s="94"/>
      <c r="DCU20" s="94"/>
      <c r="DCV20" s="94"/>
      <c r="DCW20" s="94"/>
      <c r="DCX20" s="94"/>
      <c r="DCY20" s="94"/>
      <c r="DCZ20" s="94"/>
      <c r="DDA20" s="94"/>
      <c r="DDB20" s="94"/>
      <c r="DDC20" s="94"/>
      <c r="DDD20" s="94"/>
      <c r="DDE20" s="94"/>
      <c r="DDF20" s="94"/>
      <c r="DDG20" s="94"/>
      <c r="DDH20" s="94"/>
      <c r="DDI20" s="94"/>
      <c r="DDJ20" s="94"/>
      <c r="DDK20" s="94"/>
      <c r="DDL20" s="94"/>
      <c r="DDM20" s="94"/>
      <c r="DDN20" s="94"/>
      <c r="DDO20" s="94"/>
      <c r="DDP20" s="94"/>
      <c r="DDQ20" s="94"/>
      <c r="DDR20" s="94"/>
      <c r="DDS20" s="94"/>
      <c r="DDT20" s="94"/>
      <c r="DDU20" s="94"/>
      <c r="DDV20" s="94"/>
      <c r="DDW20" s="94"/>
      <c r="DDX20" s="94"/>
      <c r="DDY20" s="94"/>
      <c r="DDZ20" s="94"/>
      <c r="DEA20" s="94"/>
      <c r="DEB20" s="94"/>
      <c r="DEC20" s="94"/>
      <c r="DED20" s="94"/>
      <c r="DEE20" s="94"/>
      <c r="DEF20" s="94"/>
      <c r="DEG20" s="94"/>
      <c r="DEH20" s="94"/>
      <c r="DEI20" s="94"/>
      <c r="DEJ20" s="94"/>
      <c r="DEK20" s="94"/>
      <c r="DEL20" s="94"/>
      <c r="DEM20" s="94"/>
      <c r="DEN20" s="94"/>
      <c r="DEO20" s="94"/>
      <c r="DEP20" s="94"/>
      <c r="DEQ20" s="94"/>
      <c r="DER20" s="94"/>
      <c r="DES20" s="94"/>
      <c r="DET20" s="94"/>
      <c r="DEU20" s="94"/>
      <c r="DEV20" s="94"/>
      <c r="DEW20" s="94"/>
      <c r="DEX20" s="94"/>
      <c r="DEY20" s="94"/>
      <c r="DEZ20" s="94"/>
      <c r="DFA20" s="94"/>
      <c r="DFB20" s="94"/>
      <c r="DFC20" s="94"/>
      <c r="DFD20" s="94"/>
      <c r="DFE20" s="94"/>
      <c r="DFF20" s="94"/>
      <c r="DFG20" s="94"/>
      <c r="DFH20" s="94"/>
      <c r="DFI20" s="94"/>
      <c r="DFJ20" s="94"/>
      <c r="DFK20" s="94"/>
      <c r="DFL20" s="94"/>
      <c r="DFM20" s="94"/>
      <c r="DFN20" s="94"/>
      <c r="DFO20" s="94"/>
      <c r="DFP20" s="94"/>
      <c r="DFQ20" s="94"/>
      <c r="DFR20" s="94"/>
      <c r="DFS20" s="94"/>
      <c r="DFT20" s="94"/>
      <c r="DFU20" s="94"/>
      <c r="DFV20" s="94"/>
      <c r="DFW20" s="94"/>
      <c r="DFX20" s="94"/>
      <c r="DFY20" s="94"/>
      <c r="DFZ20" s="94"/>
      <c r="DGA20" s="94"/>
      <c r="DGB20" s="94"/>
      <c r="DGC20" s="94"/>
      <c r="DGD20" s="94"/>
      <c r="DGE20" s="94"/>
      <c r="DGF20" s="94"/>
      <c r="DGG20" s="94"/>
      <c r="DGH20" s="94"/>
      <c r="DGI20" s="94"/>
      <c r="DGJ20" s="94"/>
      <c r="DGK20" s="94"/>
      <c r="DGL20" s="94"/>
      <c r="DGM20" s="94"/>
      <c r="DGN20" s="94"/>
      <c r="DGO20" s="94"/>
      <c r="DGP20" s="94"/>
      <c r="DGQ20" s="94"/>
      <c r="DGR20" s="94"/>
      <c r="DGS20" s="94"/>
      <c r="DGT20" s="94"/>
      <c r="DGU20" s="94"/>
      <c r="DGV20" s="94"/>
      <c r="DGW20" s="94"/>
      <c r="DGX20" s="94"/>
      <c r="DGY20" s="94"/>
      <c r="DGZ20" s="94"/>
      <c r="DHA20" s="94"/>
      <c r="DHB20" s="94"/>
      <c r="DHC20" s="94"/>
      <c r="DHD20" s="94"/>
      <c r="DHE20" s="94"/>
      <c r="DHF20" s="94"/>
      <c r="DHG20" s="94"/>
      <c r="DHH20" s="94"/>
      <c r="DHI20" s="94"/>
      <c r="DHJ20" s="94"/>
      <c r="DHK20" s="94"/>
      <c r="DHL20" s="94"/>
      <c r="DHM20" s="94"/>
      <c r="DHN20" s="94"/>
      <c r="DHO20" s="94"/>
      <c r="DHP20" s="94"/>
      <c r="DHQ20" s="94"/>
      <c r="DHR20" s="94"/>
      <c r="DHS20" s="94"/>
      <c r="DHT20" s="94"/>
      <c r="DHU20" s="94"/>
      <c r="DHV20" s="94"/>
      <c r="DHW20" s="94"/>
      <c r="DHX20" s="94"/>
      <c r="DHY20" s="94"/>
      <c r="DHZ20" s="94"/>
      <c r="DIA20" s="94"/>
      <c r="DIB20" s="94"/>
      <c r="DIC20" s="94"/>
      <c r="DID20" s="94"/>
      <c r="DIE20" s="94"/>
      <c r="DIF20" s="94"/>
      <c r="DIG20" s="94"/>
      <c r="DIH20" s="94"/>
      <c r="DII20" s="94"/>
      <c r="DIJ20" s="94"/>
      <c r="DIK20" s="94"/>
      <c r="DIL20" s="94"/>
      <c r="DIM20" s="94"/>
      <c r="DIN20" s="94"/>
      <c r="DIO20" s="94"/>
      <c r="DIP20" s="94"/>
      <c r="DIQ20" s="94"/>
      <c r="DIR20" s="94"/>
      <c r="DIS20" s="94"/>
      <c r="DIT20" s="94"/>
      <c r="DIU20" s="94"/>
      <c r="DIV20" s="94"/>
      <c r="DIW20" s="94"/>
      <c r="DIX20" s="94"/>
      <c r="DIY20" s="94"/>
      <c r="DIZ20" s="94"/>
      <c r="DJA20" s="94"/>
      <c r="DJB20" s="94"/>
      <c r="DJC20" s="94"/>
      <c r="DJD20" s="94"/>
      <c r="DJE20" s="94"/>
      <c r="DJF20" s="94"/>
      <c r="DJG20" s="94"/>
      <c r="DJH20" s="94"/>
      <c r="DJI20" s="94"/>
      <c r="DJJ20" s="94"/>
      <c r="DJK20" s="94"/>
      <c r="DJL20" s="94"/>
      <c r="DJM20" s="94"/>
      <c r="DJN20" s="94"/>
      <c r="DJO20" s="94"/>
      <c r="DJP20" s="94"/>
      <c r="DJQ20" s="94"/>
      <c r="DJR20" s="94"/>
      <c r="DJS20" s="94"/>
      <c r="DJT20" s="94"/>
      <c r="DJU20" s="94"/>
      <c r="DJV20" s="94"/>
      <c r="DJW20" s="94"/>
      <c r="DJX20" s="94"/>
      <c r="DJY20" s="94"/>
      <c r="DJZ20" s="94"/>
      <c r="DKA20" s="94"/>
      <c r="DKB20" s="94"/>
      <c r="DKC20" s="94"/>
      <c r="DKD20" s="94"/>
      <c r="DKE20" s="94"/>
      <c r="DKF20" s="94"/>
      <c r="DKG20" s="94"/>
      <c r="DKH20" s="94"/>
      <c r="DKI20" s="94"/>
      <c r="DKJ20" s="94"/>
      <c r="DKK20" s="94"/>
      <c r="DKL20" s="94"/>
      <c r="DKM20" s="94"/>
      <c r="DKN20" s="94"/>
      <c r="DKO20" s="94"/>
      <c r="DKP20" s="94"/>
      <c r="DKQ20" s="94"/>
      <c r="DKR20" s="94"/>
      <c r="DKS20" s="94"/>
      <c r="DKT20" s="94"/>
      <c r="DKU20" s="94"/>
      <c r="DKV20" s="94"/>
      <c r="DKW20" s="94"/>
      <c r="DKX20" s="94"/>
      <c r="DKY20" s="94"/>
      <c r="DKZ20" s="94"/>
      <c r="DLA20" s="94"/>
      <c r="DLB20" s="94"/>
      <c r="DLC20" s="94"/>
      <c r="DLD20" s="94"/>
      <c r="DLE20" s="94"/>
      <c r="DLF20" s="94"/>
      <c r="DLG20" s="94"/>
      <c r="DLH20" s="94"/>
      <c r="DLI20" s="94"/>
      <c r="DLJ20" s="94"/>
      <c r="DLK20" s="94"/>
      <c r="DLL20" s="94"/>
      <c r="DLM20" s="94"/>
      <c r="DLN20" s="94"/>
      <c r="DLO20" s="94"/>
      <c r="DLP20" s="94"/>
      <c r="DLQ20" s="94"/>
      <c r="DLR20" s="94"/>
      <c r="DLS20" s="94"/>
      <c r="DLT20" s="94"/>
      <c r="DLU20" s="94"/>
      <c r="DLV20" s="94"/>
      <c r="DLW20" s="94"/>
      <c r="DLX20" s="94"/>
      <c r="DLY20" s="94"/>
      <c r="DLZ20" s="94"/>
      <c r="DMA20" s="94"/>
      <c r="DMB20" s="94"/>
      <c r="DMC20" s="94"/>
      <c r="DMD20" s="94"/>
      <c r="DME20" s="94"/>
      <c r="DMF20" s="94"/>
      <c r="DMG20" s="94"/>
      <c r="DMH20" s="94"/>
      <c r="DMI20" s="94"/>
      <c r="DMJ20" s="94"/>
      <c r="DMK20" s="94"/>
      <c r="DML20" s="94"/>
      <c r="DMM20" s="94"/>
      <c r="DMN20" s="94"/>
      <c r="DMO20" s="94"/>
      <c r="DMP20" s="94"/>
      <c r="DMQ20" s="94"/>
      <c r="DMR20" s="94"/>
      <c r="DMS20" s="94"/>
      <c r="DMT20" s="94"/>
      <c r="DMU20" s="94"/>
      <c r="DMV20" s="94"/>
      <c r="DMW20" s="94"/>
      <c r="DMX20" s="94"/>
      <c r="DMY20" s="94"/>
      <c r="DMZ20" s="94"/>
      <c r="DNA20" s="94"/>
      <c r="DNB20" s="94"/>
      <c r="DNC20" s="94"/>
      <c r="DND20" s="94"/>
      <c r="DNE20" s="94"/>
      <c r="DNF20" s="94"/>
      <c r="DNG20" s="94"/>
      <c r="DNH20" s="94"/>
      <c r="DNI20" s="94"/>
      <c r="DNJ20" s="94"/>
      <c r="DNK20" s="94"/>
      <c r="DNL20" s="94"/>
      <c r="DNM20" s="94"/>
      <c r="DNN20" s="94"/>
      <c r="DNO20" s="94"/>
      <c r="DNP20" s="94"/>
      <c r="DNQ20" s="94"/>
      <c r="DNR20" s="94"/>
      <c r="DNS20" s="94"/>
      <c r="DNT20" s="94"/>
      <c r="DNU20" s="94"/>
      <c r="DNV20" s="94"/>
      <c r="DNW20" s="94"/>
      <c r="DNX20" s="94"/>
      <c r="DNY20" s="94"/>
      <c r="DNZ20" s="94"/>
      <c r="DOA20" s="94"/>
      <c r="DOB20" s="94"/>
      <c r="DOC20" s="94"/>
      <c r="DOD20" s="94"/>
      <c r="DOE20" s="94"/>
      <c r="DOF20" s="94"/>
      <c r="DOG20" s="94"/>
      <c r="DOH20" s="94"/>
      <c r="DOI20" s="94"/>
      <c r="DOJ20" s="94"/>
      <c r="DOK20" s="94"/>
      <c r="DOL20" s="94"/>
      <c r="DOM20" s="94"/>
      <c r="DON20" s="94"/>
      <c r="DOO20" s="94"/>
      <c r="DOP20" s="94"/>
      <c r="DOQ20" s="94"/>
      <c r="DOR20" s="94"/>
      <c r="DOS20" s="94"/>
      <c r="DOT20" s="94"/>
      <c r="DOU20" s="94"/>
      <c r="DOV20" s="94"/>
      <c r="DOW20" s="94"/>
      <c r="DOX20" s="94"/>
      <c r="DOY20" s="94"/>
      <c r="DOZ20" s="94"/>
      <c r="DPA20" s="94"/>
      <c r="DPB20" s="94"/>
      <c r="DPC20" s="94"/>
      <c r="DPD20" s="94"/>
      <c r="DPE20" s="94"/>
      <c r="DPF20" s="94"/>
      <c r="DPG20" s="94"/>
      <c r="DPH20" s="94"/>
      <c r="DPI20" s="94"/>
      <c r="DPJ20" s="94"/>
      <c r="DPK20" s="94"/>
      <c r="DPL20" s="94"/>
      <c r="DPM20" s="94"/>
      <c r="DPN20" s="94"/>
      <c r="DPO20" s="94"/>
      <c r="DPP20" s="94"/>
      <c r="DPQ20" s="94"/>
      <c r="DPR20" s="94"/>
      <c r="DPS20" s="94"/>
      <c r="DPT20" s="94"/>
      <c r="DPU20" s="94"/>
      <c r="DPV20" s="94"/>
      <c r="DPW20" s="94"/>
      <c r="DPX20" s="94"/>
      <c r="DPY20" s="94"/>
      <c r="DPZ20" s="94"/>
      <c r="DQA20" s="94"/>
      <c r="DQB20" s="94"/>
      <c r="DQC20" s="94"/>
      <c r="DQD20" s="94"/>
      <c r="DQE20" s="94"/>
      <c r="DQF20" s="94"/>
      <c r="DQG20" s="94"/>
      <c r="DQH20" s="94"/>
      <c r="DQI20" s="94"/>
      <c r="DQJ20" s="94"/>
      <c r="DQK20" s="94"/>
      <c r="DQL20" s="94"/>
      <c r="DQM20" s="94"/>
      <c r="DQN20" s="94"/>
      <c r="DQO20" s="94"/>
      <c r="DQP20" s="94"/>
      <c r="DQQ20" s="94"/>
      <c r="DQR20" s="94"/>
      <c r="DQS20" s="94"/>
      <c r="DQT20" s="94"/>
      <c r="DQU20" s="94"/>
      <c r="DQV20" s="94"/>
      <c r="DQW20" s="94"/>
      <c r="DQX20" s="94"/>
      <c r="DQY20" s="94"/>
      <c r="DQZ20" s="94"/>
      <c r="DRA20" s="94"/>
      <c r="DRB20" s="94"/>
      <c r="DRC20" s="94"/>
      <c r="DRD20" s="94"/>
      <c r="DRE20" s="94"/>
      <c r="DRF20" s="94"/>
      <c r="DRG20" s="94"/>
      <c r="DRH20" s="94"/>
      <c r="DRI20" s="94"/>
      <c r="DRJ20" s="94"/>
      <c r="DRK20" s="94"/>
      <c r="DRL20" s="94"/>
      <c r="DRM20" s="94"/>
      <c r="DRN20" s="94"/>
      <c r="DRO20" s="94"/>
      <c r="DRP20" s="94"/>
      <c r="DRQ20" s="94"/>
      <c r="DRR20" s="94"/>
      <c r="DRS20" s="94"/>
      <c r="DRT20" s="94"/>
      <c r="DRU20" s="94"/>
      <c r="DRV20" s="94"/>
      <c r="DRW20" s="94"/>
      <c r="DRX20" s="94"/>
      <c r="DRY20" s="94"/>
      <c r="DRZ20" s="94"/>
      <c r="DSA20" s="94"/>
      <c r="DSB20" s="94"/>
      <c r="DSC20" s="94"/>
      <c r="DSD20" s="94"/>
      <c r="DSE20" s="94"/>
      <c r="DSF20" s="94"/>
      <c r="DSG20" s="94"/>
      <c r="DSH20" s="94"/>
      <c r="DSI20" s="94"/>
      <c r="DSJ20" s="94"/>
      <c r="DSK20" s="94"/>
      <c r="DSL20" s="94"/>
      <c r="DSM20" s="94"/>
      <c r="DSN20" s="94"/>
      <c r="DSO20" s="94"/>
      <c r="DSP20" s="94"/>
      <c r="DSQ20" s="94"/>
      <c r="DSR20" s="94"/>
      <c r="DSS20" s="94"/>
      <c r="DST20" s="94"/>
      <c r="DSU20" s="94"/>
      <c r="DSV20" s="94"/>
      <c r="DSW20" s="94"/>
      <c r="DSX20" s="94"/>
      <c r="DSY20" s="94"/>
      <c r="DSZ20" s="94"/>
      <c r="DTA20" s="94"/>
      <c r="DTB20" s="94"/>
      <c r="DTC20" s="94"/>
      <c r="DTD20" s="94"/>
      <c r="DTE20" s="94"/>
      <c r="DTF20" s="94"/>
      <c r="DTG20" s="94"/>
      <c r="DTH20" s="94"/>
      <c r="DTI20" s="94"/>
      <c r="DTJ20" s="94"/>
      <c r="DTK20" s="94"/>
      <c r="DTL20" s="94"/>
      <c r="DTM20" s="94"/>
      <c r="DTN20" s="94"/>
      <c r="DTO20" s="94"/>
      <c r="DTP20" s="94"/>
      <c r="DTQ20" s="94"/>
      <c r="DTR20" s="94"/>
      <c r="DTS20" s="94"/>
      <c r="DTT20" s="94"/>
      <c r="DTU20" s="94"/>
      <c r="DTV20" s="94"/>
      <c r="DTW20" s="94"/>
      <c r="DTX20" s="94"/>
      <c r="DTY20" s="94"/>
      <c r="DTZ20" s="94"/>
      <c r="DUA20" s="94"/>
      <c r="DUB20" s="94"/>
      <c r="DUC20" s="94"/>
      <c r="DUD20" s="94"/>
      <c r="DUE20" s="94"/>
      <c r="DUF20" s="94"/>
      <c r="DUG20" s="94"/>
      <c r="DUH20" s="94"/>
      <c r="DUI20" s="94"/>
      <c r="DUJ20" s="94"/>
      <c r="DUK20" s="94"/>
      <c r="DUL20" s="94"/>
      <c r="DUM20" s="94"/>
      <c r="DUN20" s="94"/>
      <c r="DUO20" s="94"/>
      <c r="DUP20" s="94"/>
      <c r="DUQ20" s="94"/>
      <c r="DUR20" s="94"/>
      <c r="DUS20" s="94"/>
      <c r="DUT20" s="94"/>
      <c r="DUU20" s="94"/>
      <c r="DUV20" s="94"/>
      <c r="DUW20" s="94"/>
      <c r="DUX20" s="94"/>
      <c r="DUY20" s="94"/>
      <c r="DUZ20" s="94"/>
      <c r="DVA20" s="94"/>
      <c r="DVB20" s="94"/>
      <c r="DVC20" s="94"/>
      <c r="DVD20" s="94"/>
      <c r="DVE20" s="94"/>
      <c r="DVF20" s="94"/>
      <c r="DVG20" s="94"/>
      <c r="DVH20" s="94"/>
      <c r="DVI20" s="94"/>
      <c r="DVJ20" s="94"/>
      <c r="DVK20" s="94"/>
      <c r="DVL20" s="94"/>
      <c r="DVM20" s="94"/>
      <c r="DVN20" s="94"/>
      <c r="DVO20" s="94"/>
      <c r="DVP20" s="94"/>
      <c r="DVQ20" s="94"/>
      <c r="DVR20" s="94"/>
      <c r="DVS20" s="94"/>
      <c r="DVT20" s="94"/>
      <c r="DVU20" s="94"/>
      <c r="DVV20" s="94"/>
      <c r="DVW20" s="94"/>
      <c r="DVX20" s="94"/>
      <c r="DVY20" s="94"/>
      <c r="DVZ20" s="94"/>
      <c r="DWA20" s="94"/>
      <c r="DWB20" s="94"/>
      <c r="DWC20" s="94"/>
      <c r="DWD20" s="94"/>
      <c r="DWE20" s="94"/>
      <c r="DWF20" s="94"/>
      <c r="DWG20" s="94"/>
      <c r="DWH20" s="94"/>
      <c r="DWI20" s="94"/>
      <c r="DWJ20" s="94"/>
      <c r="DWK20" s="94"/>
      <c r="DWL20" s="94"/>
      <c r="DWM20" s="94"/>
      <c r="DWN20" s="94"/>
      <c r="DWO20" s="94"/>
      <c r="DWP20" s="94"/>
      <c r="DWQ20" s="94"/>
      <c r="DWR20" s="94"/>
      <c r="DWS20" s="94"/>
      <c r="DWT20" s="94"/>
      <c r="DWU20" s="94"/>
      <c r="DWV20" s="94"/>
      <c r="DWW20" s="94"/>
      <c r="DWX20" s="94"/>
      <c r="DWY20" s="94"/>
      <c r="DWZ20" s="94"/>
      <c r="DXA20" s="94"/>
      <c r="DXB20" s="94"/>
      <c r="DXC20" s="94"/>
      <c r="DXD20" s="94"/>
      <c r="DXE20" s="94"/>
      <c r="DXF20" s="94"/>
      <c r="DXG20" s="94"/>
      <c r="DXH20" s="94"/>
      <c r="DXI20" s="94"/>
      <c r="DXJ20" s="94"/>
      <c r="DXK20" s="94"/>
      <c r="DXL20" s="94"/>
      <c r="DXM20" s="94"/>
      <c r="DXN20" s="94"/>
      <c r="DXO20" s="94"/>
      <c r="DXP20" s="94"/>
      <c r="DXQ20" s="94"/>
      <c r="DXR20" s="94"/>
      <c r="DXS20" s="94"/>
      <c r="DXT20" s="94"/>
      <c r="DXU20" s="94"/>
      <c r="DXV20" s="94"/>
      <c r="DXW20" s="94"/>
      <c r="DXX20" s="94"/>
      <c r="DXY20" s="94"/>
      <c r="DXZ20" s="94"/>
      <c r="DYA20" s="94"/>
      <c r="DYB20" s="94"/>
      <c r="DYC20" s="94"/>
      <c r="DYD20" s="94"/>
      <c r="DYE20" s="94"/>
      <c r="DYF20" s="94"/>
      <c r="DYG20" s="94"/>
      <c r="DYH20" s="94"/>
      <c r="DYI20" s="94"/>
      <c r="DYJ20" s="94"/>
      <c r="DYK20" s="94"/>
      <c r="DYL20" s="94"/>
      <c r="DYM20" s="94"/>
      <c r="DYN20" s="94"/>
      <c r="DYO20" s="94"/>
      <c r="DYP20" s="94"/>
      <c r="DYQ20" s="94"/>
      <c r="DYR20" s="94"/>
      <c r="DYS20" s="94"/>
      <c r="DYT20" s="94"/>
      <c r="DYU20" s="94"/>
      <c r="DYV20" s="94"/>
      <c r="DYW20" s="94"/>
      <c r="DYX20" s="94"/>
      <c r="DYY20" s="94"/>
      <c r="DYZ20" s="94"/>
      <c r="DZA20" s="94"/>
      <c r="DZB20" s="94"/>
      <c r="DZC20" s="94"/>
      <c r="DZD20" s="94"/>
      <c r="DZE20" s="94"/>
      <c r="DZF20" s="94"/>
      <c r="DZG20" s="94"/>
      <c r="DZH20" s="94"/>
      <c r="DZI20" s="94"/>
      <c r="DZJ20" s="94"/>
      <c r="DZK20" s="94"/>
      <c r="DZL20" s="94"/>
      <c r="DZM20" s="94"/>
      <c r="DZN20" s="94"/>
      <c r="DZO20" s="94"/>
      <c r="DZP20" s="94"/>
      <c r="DZQ20" s="94"/>
      <c r="DZR20" s="94"/>
      <c r="DZS20" s="94"/>
      <c r="DZT20" s="94"/>
      <c r="DZU20" s="94"/>
      <c r="DZV20" s="94"/>
      <c r="DZW20" s="94"/>
      <c r="DZX20" s="94"/>
      <c r="DZY20" s="94"/>
      <c r="DZZ20" s="94"/>
      <c r="EAA20" s="94"/>
      <c r="EAB20" s="94"/>
      <c r="EAC20" s="94"/>
      <c r="EAD20" s="94"/>
      <c r="EAE20" s="94"/>
      <c r="EAF20" s="94"/>
      <c r="EAG20" s="94"/>
      <c r="EAH20" s="94"/>
      <c r="EAI20" s="94"/>
      <c r="EAJ20" s="94"/>
      <c r="EAK20" s="94"/>
      <c r="EAL20" s="94"/>
      <c r="EAM20" s="94"/>
      <c r="EAN20" s="94"/>
      <c r="EAO20" s="94"/>
      <c r="EAP20" s="94"/>
      <c r="EAQ20" s="94"/>
      <c r="EAR20" s="94"/>
      <c r="EAS20" s="94"/>
      <c r="EAT20" s="94"/>
      <c r="EAU20" s="94"/>
      <c r="EAV20" s="94"/>
      <c r="EAW20" s="94"/>
      <c r="EAX20" s="94"/>
      <c r="EAY20" s="94"/>
      <c r="EAZ20" s="94"/>
      <c r="EBA20" s="94"/>
      <c r="EBB20" s="94"/>
      <c r="EBC20" s="94"/>
      <c r="EBD20" s="94"/>
      <c r="EBE20" s="94"/>
      <c r="EBF20" s="94"/>
      <c r="EBG20" s="94"/>
      <c r="EBH20" s="94"/>
      <c r="EBI20" s="94"/>
      <c r="EBJ20" s="94"/>
      <c r="EBK20" s="94"/>
      <c r="EBL20" s="94"/>
      <c r="EBM20" s="94"/>
      <c r="EBN20" s="94"/>
      <c r="EBO20" s="94"/>
      <c r="EBP20" s="94"/>
      <c r="EBQ20" s="94"/>
      <c r="EBR20" s="94"/>
      <c r="EBS20" s="94"/>
      <c r="EBT20" s="94"/>
      <c r="EBU20" s="94"/>
      <c r="EBV20" s="94"/>
      <c r="EBW20" s="94"/>
      <c r="EBX20" s="94"/>
      <c r="EBY20" s="94"/>
      <c r="EBZ20" s="94"/>
      <c r="ECA20" s="94"/>
      <c r="ECB20" s="94"/>
      <c r="ECC20" s="94"/>
      <c r="ECD20" s="94"/>
      <c r="ECE20" s="94"/>
      <c r="ECF20" s="94"/>
      <c r="ECG20" s="94"/>
      <c r="ECH20" s="94"/>
      <c r="ECI20" s="94"/>
      <c r="ECJ20" s="94"/>
      <c r="ECK20" s="94"/>
      <c r="ECL20" s="94"/>
      <c r="ECM20" s="94"/>
      <c r="ECN20" s="94"/>
      <c r="ECO20" s="94"/>
      <c r="ECP20" s="94"/>
      <c r="ECQ20" s="94"/>
      <c r="ECR20" s="94"/>
      <c r="ECS20" s="94"/>
      <c r="ECT20" s="94"/>
      <c r="ECU20" s="94"/>
      <c r="ECV20" s="94"/>
      <c r="ECW20" s="94"/>
      <c r="ECX20" s="94"/>
      <c r="ECY20" s="94"/>
      <c r="ECZ20" s="94"/>
      <c r="EDA20" s="94"/>
      <c r="EDB20" s="94"/>
      <c r="EDC20" s="94"/>
      <c r="EDD20" s="94"/>
      <c r="EDE20" s="94"/>
      <c r="EDF20" s="94"/>
      <c r="EDG20" s="94"/>
      <c r="EDH20" s="94"/>
      <c r="EDI20" s="94"/>
      <c r="EDJ20" s="94"/>
      <c r="EDK20" s="94"/>
      <c r="EDL20" s="94"/>
      <c r="EDM20" s="94"/>
      <c r="EDN20" s="94"/>
      <c r="EDO20" s="94"/>
      <c r="EDP20" s="94"/>
      <c r="EDQ20" s="94"/>
      <c r="EDR20" s="94"/>
      <c r="EDS20" s="94"/>
      <c r="EDT20" s="94"/>
      <c r="EDU20" s="94"/>
      <c r="EDV20" s="94"/>
      <c r="EDW20" s="94"/>
      <c r="EDX20" s="94"/>
      <c r="EDY20" s="94"/>
      <c r="EDZ20" s="94"/>
      <c r="EEA20" s="94"/>
      <c r="EEB20" s="94"/>
      <c r="EEC20" s="94"/>
      <c r="EED20" s="94"/>
      <c r="EEE20" s="94"/>
      <c r="EEF20" s="94"/>
      <c r="EEG20" s="94"/>
      <c r="EEH20" s="94"/>
      <c r="EEI20" s="94"/>
      <c r="EEJ20" s="94"/>
      <c r="EEK20" s="94"/>
      <c r="EEL20" s="94"/>
      <c r="EEM20" s="94"/>
      <c r="EEN20" s="94"/>
      <c r="EEO20" s="94"/>
      <c r="EEP20" s="94"/>
      <c r="EEQ20" s="94"/>
      <c r="EER20" s="94"/>
      <c r="EES20" s="94"/>
      <c r="EET20" s="94"/>
      <c r="EEU20" s="94"/>
      <c r="EEV20" s="94"/>
      <c r="EEW20" s="94"/>
      <c r="EEX20" s="94"/>
      <c r="EEY20" s="94"/>
      <c r="EEZ20" s="94"/>
      <c r="EFA20" s="94"/>
      <c r="EFB20" s="94"/>
      <c r="EFC20" s="94"/>
      <c r="EFD20" s="94"/>
      <c r="EFE20" s="94"/>
      <c r="EFF20" s="94"/>
      <c r="EFG20" s="94"/>
      <c r="EFH20" s="94"/>
      <c r="EFI20" s="94"/>
      <c r="EFJ20" s="94"/>
      <c r="EFK20" s="94"/>
      <c r="EFL20" s="94"/>
      <c r="EFM20" s="94"/>
      <c r="EFN20" s="94"/>
      <c r="EFO20" s="94"/>
      <c r="EFP20" s="94"/>
      <c r="EFQ20" s="94"/>
      <c r="EFR20" s="94"/>
      <c r="EFS20" s="94"/>
      <c r="EFT20" s="94"/>
      <c r="EFU20" s="94"/>
      <c r="EFV20" s="94"/>
      <c r="EFW20" s="94"/>
      <c r="EFX20" s="94"/>
      <c r="EFY20" s="94"/>
      <c r="EFZ20" s="94"/>
      <c r="EGA20" s="94"/>
      <c r="EGB20" s="94"/>
      <c r="EGC20" s="94"/>
      <c r="EGD20" s="94"/>
      <c r="EGE20" s="94"/>
      <c r="EGF20" s="94"/>
      <c r="EGG20" s="94"/>
      <c r="EGH20" s="94"/>
      <c r="EGI20" s="94"/>
      <c r="EGJ20" s="94"/>
      <c r="EGK20" s="94"/>
      <c r="EGL20" s="94"/>
      <c r="EGM20" s="94"/>
      <c r="EGN20" s="94"/>
      <c r="EGO20" s="94"/>
      <c r="EGP20" s="94"/>
      <c r="EGQ20" s="94"/>
      <c r="EGR20" s="94"/>
      <c r="EGS20" s="94"/>
      <c r="EGT20" s="94"/>
      <c r="EGU20" s="94"/>
      <c r="EGV20" s="94"/>
      <c r="EGW20" s="94"/>
      <c r="EGX20" s="94"/>
      <c r="EGY20" s="94"/>
      <c r="EGZ20" s="94"/>
      <c r="EHA20" s="94"/>
      <c r="EHB20" s="94"/>
      <c r="EHC20" s="94"/>
      <c r="EHD20" s="94"/>
      <c r="EHE20" s="94"/>
      <c r="EHF20" s="94"/>
      <c r="EHG20" s="94"/>
      <c r="EHH20" s="94"/>
      <c r="EHI20" s="94"/>
      <c r="EHJ20" s="94"/>
      <c r="EHK20" s="94"/>
      <c r="EHL20" s="94"/>
      <c r="EHM20" s="94"/>
      <c r="EHN20" s="94"/>
      <c r="EHO20" s="94"/>
      <c r="EHP20" s="94"/>
      <c r="EHQ20" s="94"/>
      <c r="EHR20" s="94"/>
      <c r="EHS20" s="94"/>
      <c r="EHT20" s="94"/>
      <c r="EHU20" s="94"/>
      <c r="EHV20" s="94"/>
      <c r="EHW20" s="94"/>
      <c r="EHX20" s="94"/>
      <c r="EHY20" s="94"/>
      <c r="EHZ20" s="94"/>
      <c r="EIA20" s="94"/>
      <c r="EIB20" s="94"/>
      <c r="EIC20" s="94"/>
      <c r="EID20" s="94"/>
      <c r="EIE20" s="94"/>
      <c r="EIF20" s="94"/>
      <c r="EIG20" s="94"/>
      <c r="EIH20" s="94"/>
      <c r="EII20" s="94"/>
      <c r="EIJ20" s="94"/>
      <c r="EIK20" s="94"/>
      <c r="EIL20" s="94"/>
      <c r="EIM20" s="94"/>
      <c r="EIN20" s="94"/>
      <c r="EIO20" s="94"/>
      <c r="EIP20" s="94"/>
      <c r="EIQ20" s="94"/>
      <c r="EIR20" s="94"/>
      <c r="EIS20" s="94"/>
      <c r="EIT20" s="94"/>
      <c r="EIU20" s="94"/>
      <c r="EIV20" s="94"/>
      <c r="EIW20" s="94"/>
      <c r="EIX20" s="94"/>
      <c r="EIY20" s="94"/>
      <c r="EIZ20" s="94"/>
      <c r="EJA20" s="94"/>
      <c r="EJB20" s="94"/>
      <c r="EJC20" s="94"/>
      <c r="EJD20" s="94"/>
      <c r="EJE20" s="94"/>
      <c r="EJF20" s="94"/>
      <c r="EJG20" s="94"/>
      <c r="EJH20" s="94"/>
      <c r="EJI20" s="94"/>
      <c r="EJJ20" s="94"/>
      <c r="EJK20" s="94"/>
      <c r="EJL20" s="94"/>
      <c r="EJM20" s="94"/>
      <c r="EJN20" s="94"/>
      <c r="EJO20" s="94"/>
      <c r="EJP20" s="94"/>
      <c r="EJQ20" s="94"/>
      <c r="EJR20" s="94"/>
      <c r="EJS20" s="94"/>
      <c r="EJT20" s="94"/>
      <c r="EJU20" s="94"/>
      <c r="EJV20" s="94"/>
      <c r="EJW20" s="94"/>
      <c r="EJX20" s="94"/>
      <c r="EJY20" s="94"/>
      <c r="EJZ20" s="94"/>
      <c r="EKA20" s="94"/>
      <c r="EKB20" s="94"/>
      <c r="EKC20" s="94"/>
      <c r="EKD20" s="94"/>
      <c r="EKE20" s="94"/>
      <c r="EKF20" s="94"/>
      <c r="EKG20" s="94"/>
      <c r="EKH20" s="94"/>
      <c r="EKI20" s="94"/>
      <c r="EKJ20" s="94"/>
      <c r="EKK20" s="94"/>
      <c r="EKL20" s="94"/>
      <c r="EKM20" s="94"/>
      <c r="EKN20" s="94"/>
      <c r="EKO20" s="94"/>
      <c r="EKP20" s="94"/>
      <c r="EKQ20" s="94"/>
      <c r="EKR20" s="94"/>
      <c r="EKS20" s="94"/>
      <c r="EKT20" s="94"/>
      <c r="EKU20" s="94"/>
      <c r="EKV20" s="94"/>
      <c r="EKW20" s="94"/>
      <c r="EKX20" s="94"/>
      <c r="EKY20" s="94"/>
      <c r="EKZ20" s="94"/>
      <c r="ELA20" s="94"/>
      <c r="ELB20" s="94"/>
      <c r="ELC20" s="94"/>
      <c r="ELD20" s="94"/>
      <c r="ELE20" s="94"/>
      <c r="ELF20" s="94"/>
      <c r="ELG20" s="94"/>
      <c r="ELH20" s="94"/>
      <c r="ELI20" s="94"/>
      <c r="ELJ20" s="94"/>
      <c r="ELK20" s="94"/>
      <c r="ELL20" s="94"/>
      <c r="ELM20" s="94"/>
      <c r="ELN20" s="94"/>
      <c r="ELO20" s="94"/>
      <c r="ELP20" s="94"/>
      <c r="ELQ20" s="94"/>
      <c r="ELR20" s="94"/>
      <c r="ELS20" s="94"/>
      <c r="ELT20" s="94"/>
      <c r="ELU20" s="94"/>
      <c r="ELV20" s="94"/>
      <c r="ELW20" s="94"/>
      <c r="ELX20" s="94"/>
      <c r="ELY20" s="94"/>
      <c r="ELZ20" s="94"/>
      <c r="EMA20" s="94"/>
      <c r="EMB20" s="94"/>
      <c r="EMC20" s="94"/>
      <c r="EMD20" s="94"/>
      <c r="EME20" s="94"/>
      <c r="EMF20" s="94"/>
      <c r="EMG20" s="94"/>
      <c r="EMH20" s="94"/>
      <c r="EMI20" s="94"/>
      <c r="EMJ20" s="94"/>
      <c r="EMK20" s="94"/>
      <c r="EML20" s="94"/>
      <c r="EMM20" s="94"/>
      <c r="EMN20" s="94"/>
      <c r="EMO20" s="94"/>
      <c r="EMP20" s="94"/>
      <c r="EMQ20" s="94"/>
      <c r="EMR20" s="94"/>
      <c r="EMS20" s="94"/>
      <c r="EMT20" s="94"/>
      <c r="EMU20" s="94"/>
      <c r="EMV20" s="94"/>
      <c r="EMW20" s="94"/>
      <c r="EMX20" s="94"/>
      <c r="EMY20" s="94"/>
      <c r="EMZ20" s="94"/>
      <c r="ENA20" s="94"/>
      <c r="ENB20" s="94"/>
      <c r="ENC20" s="94"/>
      <c r="END20" s="94"/>
      <c r="ENE20" s="94"/>
      <c r="ENF20" s="94"/>
      <c r="ENG20" s="94"/>
      <c r="ENH20" s="94"/>
      <c r="ENI20" s="94"/>
      <c r="ENJ20" s="94"/>
      <c r="ENK20" s="94"/>
      <c r="ENL20" s="94"/>
      <c r="ENM20" s="94"/>
      <c r="ENN20" s="94"/>
      <c r="ENO20" s="94"/>
      <c r="ENP20" s="94"/>
      <c r="ENQ20" s="94"/>
      <c r="ENR20" s="94"/>
      <c r="ENS20" s="94"/>
      <c r="ENT20" s="94"/>
      <c r="ENU20" s="94"/>
      <c r="ENV20" s="94"/>
      <c r="ENW20" s="94"/>
      <c r="ENX20" s="94"/>
      <c r="ENY20" s="94"/>
      <c r="ENZ20" s="94"/>
      <c r="EOA20" s="94"/>
      <c r="EOB20" s="94"/>
      <c r="EOC20" s="94"/>
      <c r="EOD20" s="94"/>
      <c r="EOE20" s="94"/>
      <c r="EOF20" s="94"/>
      <c r="EOG20" s="94"/>
      <c r="EOH20" s="94"/>
      <c r="EOI20" s="94"/>
      <c r="EOJ20" s="94"/>
      <c r="EOK20" s="94"/>
      <c r="EOL20" s="94"/>
      <c r="EOM20" s="94"/>
      <c r="EON20" s="94"/>
      <c r="EOO20" s="94"/>
      <c r="EOP20" s="94"/>
      <c r="EOQ20" s="94"/>
      <c r="EOR20" s="94"/>
      <c r="EOS20" s="94"/>
      <c r="EOT20" s="94"/>
      <c r="EOU20" s="94"/>
      <c r="EOV20" s="94"/>
      <c r="EOW20" s="94"/>
      <c r="EOX20" s="94"/>
      <c r="EOY20" s="94"/>
      <c r="EOZ20" s="94"/>
      <c r="EPA20" s="94"/>
      <c r="EPB20" s="94"/>
      <c r="EPC20" s="94"/>
      <c r="EPD20" s="94"/>
      <c r="EPE20" s="94"/>
      <c r="EPF20" s="94"/>
      <c r="EPG20" s="94"/>
      <c r="EPH20" s="94"/>
      <c r="EPI20" s="94"/>
      <c r="EPJ20" s="94"/>
      <c r="EPK20" s="94"/>
      <c r="EPL20" s="94"/>
      <c r="EPM20" s="94"/>
      <c r="EPN20" s="94"/>
      <c r="EPO20" s="94"/>
      <c r="EPP20" s="94"/>
      <c r="EPQ20" s="94"/>
      <c r="EPR20" s="94"/>
      <c r="EPS20" s="94"/>
      <c r="EPT20" s="94"/>
      <c r="EPU20" s="94"/>
      <c r="EPV20" s="94"/>
      <c r="EPW20" s="94"/>
      <c r="EPX20" s="94"/>
      <c r="EPY20" s="94"/>
      <c r="EPZ20" s="94"/>
      <c r="EQA20" s="94"/>
      <c r="EQB20" s="94"/>
      <c r="EQC20" s="94"/>
      <c r="EQD20" s="94"/>
      <c r="EQE20" s="94"/>
      <c r="EQF20" s="94"/>
      <c r="EQG20" s="94"/>
      <c r="EQH20" s="94"/>
      <c r="EQI20" s="94"/>
      <c r="EQJ20" s="94"/>
      <c r="EQK20" s="94"/>
      <c r="EQL20" s="94"/>
      <c r="EQM20" s="94"/>
      <c r="EQN20" s="94"/>
      <c r="EQO20" s="94"/>
      <c r="EQP20" s="94"/>
      <c r="EQQ20" s="94"/>
      <c r="EQR20" s="94"/>
      <c r="EQS20" s="94"/>
      <c r="EQT20" s="94"/>
      <c r="EQU20" s="94"/>
      <c r="EQV20" s="94"/>
      <c r="EQW20" s="94"/>
      <c r="EQX20" s="94"/>
      <c r="EQY20" s="94"/>
      <c r="EQZ20" s="94"/>
      <c r="ERA20" s="94"/>
      <c r="ERB20" s="94"/>
      <c r="ERC20" s="94"/>
      <c r="ERD20" s="94"/>
      <c r="ERE20" s="94"/>
      <c r="ERF20" s="94"/>
      <c r="ERG20" s="94"/>
      <c r="ERH20" s="94"/>
      <c r="ERI20" s="94"/>
      <c r="ERJ20" s="94"/>
      <c r="ERK20" s="94"/>
      <c r="ERL20" s="94"/>
      <c r="ERM20" s="94"/>
      <c r="ERN20" s="94"/>
      <c r="ERO20" s="94"/>
      <c r="ERP20" s="94"/>
      <c r="ERQ20" s="94"/>
      <c r="ERR20" s="94"/>
      <c r="ERS20" s="94"/>
      <c r="ERT20" s="94"/>
      <c r="ERU20" s="94"/>
      <c r="ERV20" s="94"/>
      <c r="ERW20" s="94"/>
      <c r="ERX20" s="94"/>
      <c r="ERY20" s="94"/>
      <c r="ERZ20" s="94"/>
      <c r="ESA20" s="94"/>
      <c r="ESB20" s="94"/>
      <c r="ESC20" s="94"/>
      <c r="ESD20" s="94"/>
      <c r="ESE20" s="94"/>
      <c r="ESF20" s="94"/>
      <c r="ESG20" s="94"/>
      <c r="ESH20" s="94"/>
      <c r="ESI20" s="94"/>
      <c r="ESJ20" s="94"/>
      <c r="ESK20" s="94"/>
      <c r="ESL20" s="94"/>
      <c r="ESM20" s="94"/>
      <c r="ESN20" s="94"/>
      <c r="ESO20" s="94"/>
      <c r="ESP20" s="94"/>
      <c r="ESQ20" s="94"/>
      <c r="ESR20" s="94"/>
      <c r="ESS20" s="94"/>
      <c r="EST20" s="94"/>
      <c r="ESU20" s="94"/>
      <c r="ESV20" s="94"/>
      <c r="ESW20" s="94"/>
      <c r="ESX20" s="94"/>
      <c r="ESY20" s="94"/>
      <c r="ESZ20" s="94"/>
      <c r="ETA20" s="94"/>
      <c r="ETB20" s="94"/>
      <c r="ETC20" s="94"/>
      <c r="ETD20" s="94"/>
      <c r="ETE20" s="94"/>
      <c r="ETF20" s="94"/>
      <c r="ETG20" s="94"/>
      <c r="ETH20" s="94"/>
      <c r="ETI20" s="94"/>
      <c r="ETJ20" s="94"/>
      <c r="ETK20" s="94"/>
      <c r="ETL20" s="94"/>
      <c r="ETM20" s="94"/>
      <c r="ETN20" s="94"/>
      <c r="ETO20" s="94"/>
      <c r="ETP20" s="94"/>
      <c r="ETQ20" s="94"/>
      <c r="ETR20" s="94"/>
      <c r="ETS20" s="94"/>
      <c r="ETT20" s="94"/>
      <c r="ETU20" s="94"/>
      <c r="ETV20" s="94"/>
      <c r="ETW20" s="94"/>
      <c r="ETX20" s="94"/>
      <c r="ETY20" s="94"/>
      <c r="ETZ20" s="94"/>
      <c r="EUA20" s="94"/>
      <c r="EUB20" s="94"/>
      <c r="EUC20" s="94"/>
      <c r="EUD20" s="94"/>
      <c r="EUE20" s="94"/>
      <c r="EUF20" s="94"/>
      <c r="EUG20" s="94"/>
      <c r="EUH20" s="94"/>
      <c r="EUI20" s="94"/>
      <c r="EUJ20" s="94"/>
      <c r="EUK20" s="94"/>
      <c r="EUL20" s="94"/>
      <c r="EUM20" s="94"/>
      <c r="EUN20" s="94"/>
      <c r="EUO20" s="94"/>
      <c r="EUP20" s="94"/>
      <c r="EUQ20" s="94"/>
      <c r="EUR20" s="94"/>
      <c r="EUS20" s="94"/>
      <c r="EUT20" s="94"/>
      <c r="EUU20" s="94"/>
      <c r="EUV20" s="94"/>
      <c r="EUW20" s="94"/>
      <c r="EUX20" s="94"/>
      <c r="EUY20" s="94"/>
      <c r="EUZ20" s="94"/>
      <c r="EVA20" s="94"/>
      <c r="EVB20" s="94"/>
      <c r="EVC20" s="94"/>
      <c r="EVD20" s="94"/>
      <c r="EVE20" s="94"/>
      <c r="EVF20" s="94"/>
      <c r="EVG20" s="94"/>
      <c r="EVH20" s="94"/>
      <c r="EVI20" s="94"/>
      <c r="EVJ20" s="94"/>
      <c r="EVK20" s="94"/>
      <c r="EVL20" s="94"/>
      <c r="EVM20" s="94"/>
      <c r="EVN20" s="94"/>
      <c r="EVO20" s="94"/>
      <c r="EVP20" s="94"/>
      <c r="EVQ20" s="94"/>
      <c r="EVR20" s="94"/>
      <c r="EVS20" s="94"/>
      <c r="EVT20" s="94"/>
      <c r="EVU20" s="94"/>
      <c r="EVV20" s="94"/>
      <c r="EVW20" s="94"/>
      <c r="EVX20" s="94"/>
      <c r="EVY20" s="94"/>
      <c r="EVZ20" s="94"/>
      <c r="EWA20" s="94"/>
      <c r="EWB20" s="94"/>
      <c r="EWC20" s="94"/>
      <c r="EWD20" s="94"/>
      <c r="EWE20" s="94"/>
      <c r="EWF20" s="94"/>
      <c r="EWG20" s="94"/>
      <c r="EWH20" s="94"/>
      <c r="EWI20" s="94"/>
      <c r="EWJ20" s="94"/>
      <c r="EWK20" s="94"/>
      <c r="EWL20" s="94"/>
      <c r="EWM20" s="94"/>
      <c r="EWN20" s="94"/>
      <c r="EWO20" s="94"/>
      <c r="EWP20" s="94"/>
      <c r="EWQ20" s="94"/>
      <c r="EWR20" s="94"/>
      <c r="EWS20" s="94"/>
      <c r="EWT20" s="94"/>
      <c r="EWU20" s="94"/>
      <c r="EWV20" s="94"/>
      <c r="EWW20" s="94"/>
      <c r="EWX20" s="94"/>
      <c r="EWY20" s="94"/>
      <c r="EWZ20" s="94"/>
      <c r="EXA20" s="94"/>
      <c r="EXB20" s="94"/>
      <c r="EXC20" s="94"/>
      <c r="EXD20" s="94"/>
      <c r="EXE20" s="94"/>
      <c r="EXF20" s="94"/>
      <c r="EXG20" s="94"/>
      <c r="EXH20" s="94"/>
      <c r="EXI20" s="94"/>
      <c r="EXJ20" s="94"/>
      <c r="EXK20" s="94"/>
      <c r="EXL20" s="94"/>
      <c r="EXM20" s="94"/>
      <c r="EXN20" s="94"/>
      <c r="EXO20" s="94"/>
      <c r="EXP20" s="94"/>
      <c r="EXQ20" s="94"/>
      <c r="EXR20" s="94"/>
      <c r="EXS20" s="94"/>
      <c r="EXT20" s="94"/>
      <c r="EXU20" s="94"/>
      <c r="EXV20" s="94"/>
      <c r="EXW20" s="94"/>
      <c r="EXX20" s="94"/>
      <c r="EXY20" s="94"/>
      <c r="EXZ20" s="94"/>
      <c r="EYA20" s="94"/>
      <c r="EYB20" s="94"/>
      <c r="EYC20" s="94"/>
      <c r="EYD20" s="94"/>
      <c r="EYE20" s="94"/>
      <c r="EYF20" s="94"/>
      <c r="EYG20" s="94"/>
      <c r="EYH20" s="94"/>
      <c r="EYI20" s="94"/>
      <c r="EYJ20" s="94"/>
      <c r="EYK20" s="94"/>
      <c r="EYL20" s="94"/>
      <c r="EYM20" s="94"/>
      <c r="EYN20" s="94"/>
      <c r="EYO20" s="94"/>
      <c r="EYP20" s="94"/>
      <c r="EYQ20" s="94"/>
      <c r="EYR20" s="94"/>
      <c r="EYS20" s="94"/>
      <c r="EYT20" s="94"/>
      <c r="EYU20" s="94"/>
      <c r="EYV20" s="94"/>
      <c r="EYW20" s="94"/>
      <c r="EYX20" s="94"/>
      <c r="EYY20" s="94"/>
      <c r="EYZ20" s="94"/>
      <c r="EZA20" s="94"/>
      <c r="EZB20" s="94"/>
      <c r="EZC20" s="94"/>
      <c r="EZD20" s="94"/>
      <c r="EZE20" s="94"/>
      <c r="EZF20" s="94"/>
      <c r="EZG20" s="94"/>
      <c r="EZH20" s="94"/>
      <c r="EZI20" s="94"/>
      <c r="EZJ20" s="94"/>
      <c r="EZK20" s="94"/>
      <c r="EZL20" s="94"/>
      <c r="EZM20" s="94"/>
      <c r="EZN20" s="94"/>
      <c r="EZO20" s="94"/>
      <c r="EZP20" s="94"/>
      <c r="EZQ20" s="94"/>
      <c r="EZR20" s="94"/>
      <c r="EZS20" s="94"/>
      <c r="EZT20" s="94"/>
      <c r="EZU20" s="94"/>
      <c r="EZV20" s="94"/>
      <c r="EZW20" s="94"/>
      <c r="EZX20" s="94"/>
      <c r="EZY20" s="94"/>
      <c r="EZZ20" s="94"/>
      <c r="FAA20" s="94"/>
      <c r="FAB20" s="94"/>
      <c r="FAC20" s="94"/>
      <c r="FAD20" s="94"/>
      <c r="FAE20" s="94"/>
      <c r="FAF20" s="94"/>
      <c r="FAG20" s="94"/>
      <c r="FAH20" s="94"/>
      <c r="FAI20" s="94"/>
      <c r="FAJ20" s="94"/>
      <c r="FAK20" s="94"/>
      <c r="FAL20" s="94"/>
      <c r="FAM20" s="94"/>
      <c r="FAN20" s="94"/>
      <c r="FAO20" s="94"/>
      <c r="FAP20" s="94"/>
      <c r="FAQ20" s="94"/>
      <c r="FAR20" s="94"/>
      <c r="FAS20" s="94"/>
      <c r="FAT20" s="94"/>
      <c r="FAU20" s="94"/>
      <c r="FAV20" s="94"/>
      <c r="FAW20" s="94"/>
      <c r="FAX20" s="94"/>
      <c r="FAY20" s="94"/>
      <c r="FAZ20" s="94"/>
      <c r="FBA20" s="94"/>
      <c r="FBB20" s="94"/>
      <c r="FBC20" s="94"/>
      <c r="FBD20" s="94"/>
      <c r="FBE20" s="94"/>
      <c r="FBF20" s="94"/>
      <c r="FBG20" s="94"/>
      <c r="FBH20" s="94"/>
      <c r="FBI20" s="94"/>
      <c r="FBJ20" s="94"/>
      <c r="FBK20" s="94"/>
      <c r="FBL20" s="94"/>
      <c r="FBM20" s="94"/>
      <c r="FBN20" s="94"/>
      <c r="FBO20" s="94"/>
      <c r="FBP20" s="94"/>
      <c r="FBQ20" s="94"/>
      <c r="FBR20" s="94"/>
      <c r="FBS20" s="94"/>
      <c r="FBT20" s="94"/>
      <c r="FBU20" s="94"/>
      <c r="FBV20" s="94"/>
      <c r="FBW20" s="94"/>
      <c r="FBX20" s="94"/>
      <c r="FBY20" s="94"/>
      <c r="FBZ20" s="94"/>
      <c r="FCA20" s="94"/>
      <c r="FCB20" s="94"/>
      <c r="FCC20" s="94"/>
      <c r="FCD20" s="94"/>
      <c r="FCE20" s="94"/>
      <c r="FCF20" s="94"/>
      <c r="FCG20" s="94"/>
      <c r="FCH20" s="94"/>
      <c r="FCI20" s="94"/>
      <c r="FCJ20" s="94"/>
      <c r="FCK20" s="94"/>
      <c r="FCL20" s="94"/>
      <c r="FCM20" s="94"/>
      <c r="FCN20" s="94"/>
      <c r="FCO20" s="94"/>
      <c r="FCP20" s="94"/>
      <c r="FCQ20" s="94"/>
      <c r="FCR20" s="94"/>
      <c r="FCS20" s="94"/>
      <c r="FCT20" s="94"/>
      <c r="FCU20" s="94"/>
      <c r="FCV20" s="94"/>
      <c r="FCW20" s="94"/>
      <c r="FCX20" s="94"/>
      <c r="FCY20" s="94"/>
      <c r="FCZ20" s="94"/>
      <c r="FDA20" s="94"/>
      <c r="FDB20" s="94"/>
      <c r="FDC20" s="94"/>
      <c r="FDD20" s="94"/>
      <c r="FDE20" s="94"/>
      <c r="FDF20" s="94"/>
      <c r="FDG20" s="94"/>
      <c r="FDH20" s="94"/>
      <c r="FDI20" s="94"/>
      <c r="FDJ20" s="94"/>
      <c r="FDK20" s="94"/>
      <c r="FDL20" s="94"/>
      <c r="FDM20" s="94"/>
      <c r="FDN20" s="94"/>
      <c r="FDO20" s="94"/>
      <c r="FDP20" s="94"/>
      <c r="FDQ20" s="94"/>
      <c r="FDR20" s="94"/>
      <c r="FDS20" s="94"/>
      <c r="FDT20" s="94"/>
      <c r="FDU20" s="94"/>
      <c r="FDV20" s="94"/>
      <c r="FDW20" s="94"/>
      <c r="FDX20" s="94"/>
      <c r="FDY20" s="94"/>
      <c r="FDZ20" s="94"/>
      <c r="FEA20" s="94"/>
      <c r="FEB20" s="94"/>
      <c r="FEC20" s="94"/>
      <c r="FED20" s="94"/>
      <c r="FEE20" s="94"/>
      <c r="FEF20" s="94"/>
      <c r="FEG20" s="94"/>
      <c r="FEH20" s="94"/>
      <c r="FEI20" s="94"/>
      <c r="FEJ20" s="94"/>
      <c r="FEK20" s="94"/>
      <c r="FEL20" s="94"/>
      <c r="FEM20" s="94"/>
      <c r="FEN20" s="94"/>
      <c r="FEO20" s="94"/>
      <c r="FEP20" s="94"/>
      <c r="FEQ20" s="94"/>
      <c r="FER20" s="94"/>
      <c r="FES20" s="94"/>
      <c r="FET20" s="94"/>
      <c r="FEU20" s="94"/>
      <c r="FEV20" s="94"/>
      <c r="FEW20" s="94"/>
      <c r="FEX20" s="94"/>
      <c r="FEY20" s="94"/>
      <c r="FEZ20" s="94"/>
      <c r="FFA20" s="94"/>
      <c r="FFB20" s="94"/>
      <c r="FFC20" s="94"/>
      <c r="FFD20" s="94"/>
      <c r="FFE20" s="94"/>
      <c r="FFF20" s="94"/>
      <c r="FFG20" s="94"/>
      <c r="FFH20" s="94"/>
      <c r="FFI20" s="94"/>
      <c r="FFJ20" s="94"/>
      <c r="FFK20" s="94"/>
      <c r="FFL20" s="94"/>
      <c r="FFM20" s="94"/>
      <c r="FFN20" s="94"/>
      <c r="FFO20" s="94"/>
      <c r="FFP20" s="94"/>
      <c r="FFQ20" s="94"/>
      <c r="FFR20" s="94"/>
      <c r="FFS20" s="94"/>
      <c r="FFT20" s="94"/>
      <c r="FFU20" s="94"/>
      <c r="FFV20" s="94"/>
      <c r="FFW20" s="94"/>
      <c r="FFX20" s="94"/>
      <c r="FFY20" s="94"/>
      <c r="FFZ20" s="94"/>
      <c r="FGA20" s="94"/>
      <c r="FGB20" s="94"/>
      <c r="FGC20" s="94"/>
      <c r="FGD20" s="94"/>
      <c r="FGE20" s="94"/>
      <c r="FGF20" s="94"/>
      <c r="FGG20" s="94"/>
      <c r="FGH20" s="94"/>
      <c r="FGI20" s="94"/>
      <c r="FGJ20" s="94"/>
      <c r="FGK20" s="94"/>
      <c r="FGL20" s="94"/>
      <c r="FGM20" s="94"/>
      <c r="FGN20" s="94"/>
      <c r="FGO20" s="94"/>
      <c r="FGP20" s="94"/>
      <c r="FGQ20" s="94"/>
      <c r="FGR20" s="94"/>
      <c r="FGS20" s="94"/>
      <c r="FGT20" s="94"/>
      <c r="FGU20" s="94"/>
      <c r="FGV20" s="94"/>
      <c r="FGW20" s="94"/>
      <c r="FGX20" s="94"/>
      <c r="FGY20" s="94"/>
      <c r="FGZ20" s="94"/>
      <c r="FHA20" s="94"/>
      <c r="FHB20" s="94"/>
      <c r="FHC20" s="94"/>
      <c r="FHD20" s="94"/>
      <c r="FHE20" s="94"/>
      <c r="FHF20" s="94"/>
      <c r="FHG20" s="94"/>
      <c r="FHH20" s="94"/>
      <c r="FHI20" s="94"/>
      <c r="FHJ20" s="94"/>
      <c r="FHK20" s="94"/>
      <c r="FHL20" s="94"/>
      <c r="FHM20" s="94"/>
      <c r="FHN20" s="94"/>
      <c r="FHO20" s="94"/>
      <c r="FHP20" s="94"/>
      <c r="FHQ20" s="94"/>
      <c r="FHR20" s="94"/>
      <c r="FHS20" s="94"/>
      <c r="FHT20" s="94"/>
      <c r="FHU20" s="94"/>
      <c r="FHV20" s="94"/>
      <c r="FHW20" s="94"/>
      <c r="FHX20" s="94"/>
      <c r="FHY20" s="94"/>
      <c r="FHZ20" s="94"/>
      <c r="FIA20" s="94"/>
      <c r="FIB20" s="94"/>
      <c r="FIC20" s="94"/>
      <c r="FID20" s="94"/>
      <c r="FIE20" s="94"/>
      <c r="FIF20" s="94"/>
      <c r="FIG20" s="94"/>
      <c r="FIH20" s="94"/>
      <c r="FII20" s="94"/>
      <c r="FIJ20" s="94"/>
      <c r="FIK20" s="94"/>
      <c r="FIL20" s="94"/>
      <c r="FIM20" s="94"/>
      <c r="FIN20" s="94"/>
      <c r="FIO20" s="94"/>
      <c r="FIP20" s="94"/>
      <c r="FIQ20" s="94"/>
      <c r="FIR20" s="94"/>
      <c r="FIS20" s="94"/>
      <c r="FIT20" s="94"/>
      <c r="FIU20" s="94"/>
      <c r="FIV20" s="94"/>
      <c r="FIW20" s="94"/>
      <c r="FIX20" s="94"/>
      <c r="FIY20" s="94"/>
      <c r="FIZ20" s="94"/>
      <c r="FJA20" s="94"/>
      <c r="FJB20" s="94"/>
      <c r="FJC20" s="94"/>
      <c r="FJD20" s="94"/>
      <c r="FJE20" s="94"/>
      <c r="FJF20" s="94"/>
      <c r="FJG20" s="94"/>
      <c r="FJH20" s="94"/>
      <c r="FJI20" s="94"/>
      <c r="FJJ20" s="94"/>
      <c r="FJK20" s="94"/>
      <c r="FJL20" s="94"/>
      <c r="FJM20" s="94"/>
      <c r="FJN20" s="94"/>
      <c r="FJO20" s="94"/>
      <c r="FJP20" s="94"/>
      <c r="FJQ20" s="94"/>
      <c r="FJR20" s="94"/>
      <c r="FJS20" s="94"/>
      <c r="FJT20" s="94"/>
      <c r="FJU20" s="94"/>
      <c r="FJV20" s="94"/>
      <c r="FJW20" s="94"/>
      <c r="FJX20" s="94"/>
      <c r="FJY20" s="94"/>
      <c r="FJZ20" s="94"/>
      <c r="FKA20" s="94"/>
      <c r="FKB20" s="94"/>
      <c r="FKC20" s="94"/>
      <c r="FKD20" s="94"/>
      <c r="FKE20" s="94"/>
      <c r="FKF20" s="94"/>
      <c r="FKG20" s="94"/>
      <c r="FKH20" s="94"/>
      <c r="FKI20" s="94"/>
      <c r="FKJ20" s="94"/>
      <c r="FKK20" s="94"/>
      <c r="FKL20" s="94"/>
      <c r="FKM20" s="94"/>
      <c r="FKN20" s="94"/>
      <c r="FKO20" s="94"/>
      <c r="FKP20" s="94"/>
      <c r="FKQ20" s="94"/>
      <c r="FKR20" s="94"/>
      <c r="FKS20" s="94"/>
      <c r="FKT20" s="94"/>
      <c r="FKU20" s="94"/>
      <c r="FKV20" s="94"/>
      <c r="FKW20" s="94"/>
      <c r="FKX20" s="94"/>
      <c r="FKY20" s="94"/>
      <c r="FKZ20" s="94"/>
      <c r="FLA20" s="94"/>
      <c r="FLB20" s="94"/>
      <c r="FLC20" s="94"/>
      <c r="FLD20" s="94"/>
      <c r="FLE20" s="94"/>
      <c r="FLF20" s="94"/>
      <c r="FLG20" s="94"/>
      <c r="FLH20" s="94"/>
      <c r="FLI20" s="94"/>
      <c r="FLJ20" s="94"/>
      <c r="FLK20" s="94"/>
      <c r="FLL20" s="94"/>
      <c r="FLM20" s="94"/>
      <c r="FLN20" s="94"/>
      <c r="FLO20" s="94"/>
      <c r="FLP20" s="94"/>
      <c r="FLQ20" s="94"/>
      <c r="FLR20" s="94"/>
      <c r="FLS20" s="94"/>
      <c r="FLT20" s="94"/>
      <c r="FLU20" s="94"/>
      <c r="FLV20" s="94"/>
      <c r="FLW20" s="94"/>
      <c r="FLX20" s="94"/>
      <c r="FLY20" s="94"/>
      <c r="FLZ20" s="94"/>
      <c r="FMA20" s="94"/>
      <c r="FMB20" s="94"/>
      <c r="FMC20" s="94"/>
      <c r="FMD20" s="94"/>
      <c r="FME20" s="94"/>
      <c r="FMF20" s="94"/>
      <c r="FMG20" s="94"/>
      <c r="FMH20" s="94"/>
      <c r="FMI20" s="94"/>
      <c r="FMJ20" s="94"/>
      <c r="FMK20" s="94"/>
      <c r="FML20" s="94"/>
      <c r="FMM20" s="94"/>
      <c r="FMN20" s="94"/>
      <c r="FMO20" s="94"/>
      <c r="FMP20" s="94"/>
      <c r="FMQ20" s="94"/>
      <c r="FMR20" s="94"/>
      <c r="FMS20" s="94"/>
      <c r="FMT20" s="94"/>
      <c r="FMU20" s="94"/>
      <c r="FMV20" s="94"/>
      <c r="FMW20" s="94"/>
      <c r="FMX20" s="94"/>
      <c r="FMY20" s="94"/>
      <c r="FMZ20" s="94"/>
      <c r="FNA20" s="94"/>
      <c r="FNB20" s="94"/>
      <c r="FNC20" s="94"/>
      <c r="FND20" s="94"/>
      <c r="FNE20" s="94"/>
      <c r="FNF20" s="94"/>
      <c r="FNG20" s="94"/>
      <c r="FNH20" s="94"/>
      <c r="FNI20" s="94"/>
      <c r="FNJ20" s="94"/>
      <c r="FNK20" s="94"/>
      <c r="FNL20" s="94"/>
      <c r="FNM20" s="94"/>
      <c r="FNN20" s="94"/>
      <c r="FNO20" s="94"/>
      <c r="FNP20" s="94"/>
      <c r="FNQ20" s="94"/>
      <c r="FNR20" s="94"/>
      <c r="FNS20" s="94"/>
      <c r="FNT20" s="94"/>
      <c r="FNU20" s="94"/>
      <c r="FNV20" s="94"/>
      <c r="FNW20" s="94"/>
      <c r="FNX20" s="94"/>
      <c r="FNY20" s="94"/>
      <c r="FNZ20" s="94"/>
      <c r="FOA20" s="94"/>
      <c r="FOB20" s="94"/>
      <c r="FOC20" s="94"/>
      <c r="FOD20" s="94"/>
      <c r="FOE20" s="94"/>
      <c r="FOF20" s="94"/>
      <c r="FOG20" s="94"/>
      <c r="FOH20" s="94"/>
      <c r="FOI20" s="94"/>
      <c r="FOJ20" s="94"/>
      <c r="FOK20" s="94"/>
      <c r="FOL20" s="94"/>
      <c r="FOM20" s="94"/>
      <c r="FON20" s="94"/>
      <c r="FOO20" s="94"/>
      <c r="FOP20" s="94"/>
      <c r="FOQ20" s="94"/>
      <c r="FOR20" s="94"/>
      <c r="FOS20" s="94"/>
      <c r="FOT20" s="94"/>
      <c r="FOU20" s="94"/>
      <c r="FOV20" s="94"/>
      <c r="FOW20" s="94"/>
      <c r="FOX20" s="94"/>
      <c r="FOY20" s="94"/>
      <c r="FOZ20" s="94"/>
      <c r="FPA20" s="94"/>
      <c r="FPB20" s="94"/>
      <c r="FPC20" s="94"/>
      <c r="FPD20" s="94"/>
      <c r="FPE20" s="94"/>
      <c r="FPF20" s="94"/>
      <c r="FPG20" s="94"/>
      <c r="FPH20" s="94"/>
      <c r="FPI20" s="94"/>
      <c r="FPJ20" s="94"/>
      <c r="FPK20" s="94"/>
      <c r="FPL20" s="94"/>
      <c r="FPM20" s="94"/>
      <c r="FPN20" s="94"/>
      <c r="FPO20" s="94"/>
      <c r="FPP20" s="94"/>
      <c r="FPQ20" s="94"/>
      <c r="FPR20" s="94"/>
      <c r="FPS20" s="94"/>
      <c r="FPT20" s="94"/>
      <c r="FPU20" s="94"/>
      <c r="FPV20" s="94"/>
      <c r="FPW20" s="94"/>
      <c r="FPX20" s="94"/>
      <c r="FPY20" s="94"/>
      <c r="FPZ20" s="94"/>
      <c r="FQA20" s="94"/>
      <c r="FQB20" s="94"/>
      <c r="FQC20" s="94"/>
      <c r="FQD20" s="94"/>
      <c r="FQE20" s="94"/>
      <c r="FQF20" s="94"/>
      <c r="FQG20" s="94"/>
      <c r="FQH20" s="94"/>
      <c r="FQI20" s="94"/>
      <c r="FQJ20" s="94"/>
      <c r="FQK20" s="94"/>
      <c r="FQL20" s="94"/>
      <c r="FQM20" s="94"/>
      <c r="FQN20" s="94"/>
      <c r="FQO20" s="94"/>
      <c r="FQP20" s="94"/>
      <c r="FQQ20" s="94"/>
      <c r="FQR20" s="94"/>
      <c r="FQS20" s="94"/>
      <c r="FQT20" s="94"/>
      <c r="FQU20" s="94"/>
      <c r="FQV20" s="94"/>
      <c r="FQW20" s="94"/>
      <c r="FQX20" s="94"/>
      <c r="FQY20" s="94"/>
      <c r="FQZ20" s="94"/>
      <c r="FRA20" s="94"/>
      <c r="FRB20" s="94"/>
      <c r="FRC20" s="94"/>
      <c r="FRD20" s="94"/>
      <c r="FRE20" s="94"/>
      <c r="FRF20" s="94"/>
      <c r="FRG20" s="94"/>
      <c r="FRH20" s="94"/>
      <c r="FRI20" s="94"/>
      <c r="FRJ20" s="94"/>
      <c r="FRK20" s="94"/>
      <c r="FRL20" s="94"/>
      <c r="FRM20" s="94"/>
      <c r="FRN20" s="94"/>
      <c r="FRO20" s="94"/>
      <c r="FRP20" s="94"/>
      <c r="FRQ20" s="94"/>
      <c r="FRR20" s="94"/>
      <c r="FRS20" s="94"/>
      <c r="FRT20" s="94"/>
      <c r="FRU20" s="94"/>
      <c r="FRV20" s="94"/>
      <c r="FRW20" s="94"/>
      <c r="FRX20" s="94"/>
      <c r="FRY20" s="94"/>
      <c r="FRZ20" s="94"/>
      <c r="FSA20" s="94"/>
      <c r="FSB20" s="94"/>
      <c r="FSC20" s="94"/>
      <c r="FSD20" s="94"/>
      <c r="FSE20" s="94"/>
      <c r="FSF20" s="94"/>
      <c r="FSG20" s="94"/>
      <c r="FSH20" s="94"/>
      <c r="FSI20" s="94"/>
      <c r="FSJ20" s="94"/>
      <c r="FSK20" s="94"/>
      <c r="FSL20" s="94"/>
      <c r="FSM20" s="94"/>
      <c r="FSN20" s="94"/>
      <c r="FSO20" s="94"/>
      <c r="FSP20" s="94"/>
      <c r="FSQ20" s="94"/>
      <c r="FSR20" s="94"/>
      <c r="FSS20" s="94"/>
      <c r="FST20" s="94"/>
      <c r="FSU20" s="94"/>
      <c r="FSV20" s="94"/>
      <c r="FSW20" s="94"/>
      <c r="FSX20" s="94"/>
      <c r="FSY20" s="94"/>
      <c r="FSZ20" s="94"/>
      <c r="FTA20" s="94"/>
      <c r="FTB20" s="94"/>
      <c r="FTC20" s="94"/>
      <c r="FTD20" s="94"/>
      <c r="FTE20" s="94"/>
      <c r="FTF20" s="94"/>
      <c r="FTG20" s="94"/>
      <c r="FTH20" s="94"/>
      <c r="FTI20" s="94"/>
      <c r="FTJ20" s="94"/>
      <c r="FTK20" s="94"/>
      <c r="FTL20" s="94"/>
      <c r="FTM20" s="94"/>
      <c r="FTN20" s="94"/>
      <c r="FTO20" s="94"/>
      <c r="FTP20" s="94"/>
      <c r="FTQ20" s="94"/>
      <c r="FTR20" s="94"/>
      <c r="FTS20" s="94"/>
      <c r="FTT20" s="94"/>
      <c r="FTU20" s="94"/>
      <c r="FTV20" s="94"/>
      <c r="FTW20" s="94"/>
      <c r="FTX20" s="94"/>
      <c r="FTY20" s="94"/>
      <c r="FTZ20" s="94"/>
      <c r="FUA20" s="94"/>
      <c r="FUB20" s="94"/>
      <c r="FUC20" s="94"/>
      <c r="FUD20" s="94"/>
      <c r="FUE20" s="94"/>
      <c r="FUF20" s="94"/>
      <c r="FUG20" s="94"/>
      <c r="FUH20" s="94"/>
      <c r="FUI20" s="94"/>
      <c r="FUJ20" s="94"/>
      <c r="FUK20" s="94"/>
      <c r="FUL20" s="94"/>
      <c r="FUM20" s="94"/>
      <c r="FUN20" s="94"/>
      <c r="FUO20" s="94"/>
      <c r="FUP20" s="94"/>
      <c r="FUQ20" s="94"/>
      <c r="FUR20" s="94"/>
      <c r="FUS20" s="94"/>
      <c r="FUT20" s="94"/>
      <c r="FUU20" s="94"/>
      <c r="FUV20" s="94"/>
      <c r="FUW20" s="94"/>
      <c r="FUX20" s="94"/>
      <c r="FUY20" s="94"/>
      <c r="FUZ20" s="94"/>
      <c r="FVA20" s="94"/>
      <c r="FVB20" s="94"/>
      <c r="FVC20" s="94"/>
      <c r="FVD20" s="94"/>
      <c r="FVE20" s="94"/>
      <c r="FVF20" s="94"/>
      <c r="FVG20" s="94"/>
      <c r="FVH20" s="94"/>
      <c r="FVI20" s="94"/>
      <c r="FVJ20" s="94"/>
      <c r="FVK20" s="94"/>
      <c r="FVL20" s="94"/>
      <c r="FVM20" s="94"/>
      <c r="FVN20" s="94"/>
      <c r="FVO20" s="94"/>
      <c r="FVP20" s="94"/>
      <c r="FVQ20" s="94"/>
      <c r="FVR20" s="94"/>
      <c r="FVS20" s="94"/>
      <c r="FVT20" s="94"/>
      <c r="FVU20" s="94"/>
      <c r="FVV20" s="94"/>
      <c r="FVW20" s="94"/>
      <c r="FVX20" s="94"/>
      <c r="FVY20" s="94"/>
      <c r="FVZ20" s="94"/>
      <c r="FWA20" s="94"/>
      <c r="FWB20" s="94"/>
      <c r="FWC20" s="94"/>
      <c r="FWD20" s="94"/>
      <c r="FWE20" s="94"/>
      <c r="FWF20" s="94"/>
      <c r="FWG20" s="94"/>
      <c r="FWH20" s="94"/>
      <c r="FWI20" s="94"/>
      <c r="FWJ20" s="94"/>
      <c r="FWK20" s="94"/>
      <c r="FWL20" s="94"/>
      <c r="FWM20" s="94"/>
      <c r="FWN20" s="94"/>
      <c r="FWO20" s="94"/>
      <c r="FWP20" s="94"/>
      <c r="FWQ20" s="94"/>
      <c r="FWR20" s="94"/>
      <c r="FWS20" s="94"/>
      <c r="FWT20" s="94"/>
      <c r="FWU20" s="94"/>
      <c r="FWV20" s="94"/>
      <c r="FWW20" s="94"/>
      <c r="FWX20" s="94"/>
      <c r="FWY20" s="94"/>
      <c r="FWZ20" s="94"/>
      <c r="FXA20" s="94"/>
      <c r="FXB20" s="94"/>
      <c r="FXC20" s="94"/>
      <c r="FXD20" s="94"/>
      <c r="FXE20" s="94"/>
      <c r="FXF20" s="94"/>
      <c r="FXG20" s="94"/>
      <c r="FXH20" s="94"/>
      <c r="FXI20" s="94"/>
      <c r="FXJ20" s="94"/>
      <c r="FXK20" s="94"/>
      <c r="FXL20" s="94"/>
      <c r="FXM20" s="94"/>
      <c r="FXN20" s="94"/>
      <c r="FXO20" s="94"/>
      <c r="FXP20" s="94"/>
      <c r="FXQ20" s="94"/>
      <c r="FXR20" s="94"/>
      <c r="FXS20" s="94"/>
      <c r="FXT20" s="94"/>
      <c r="FXU20" s="94"/>
      <c r="FXV20" s="94"/>
      <c r="FXW20" s="94"/>
      <c r="FXX20" s="94"/>
      <c r="FXY20" s="94"/>
      <c r="FXZ20" s="94"/>
      <c r="FYA20" s="94"/>
      <c r="FYB20" s="94"/>
      <c r="FYC20" s="94"/>
      <c r="FYD20" s="94"/>
      <c r="FYE20" s="94"/>
      <c r="FYF20" s="94"/>
      <c r="FYG20" s="94"/>
      <c r="FYH20" s="94"/>
      <c r="FYI20" s="94"/>
      <c r="FYJ20" s="94"/>
      <c r="FYK20" s="94"/>
      <c r="FYL20" s="94"/>
      <c r="FYM20" s="94"/>
      <c r="FYN20" s="94"/>
      <c r="FYO20" s="94"/>
      <c r="FYP20" s="94"/>
      <c r="FYQ20" s="94"/>
      <c r="FYR20" s="94"/>
      <c r="FYS20" s="94"/>
      <c r="FYT20" s="94"/>
      <c r="FYU20" s="94"/>
      <c r="FYV20" s="94"/>
      <c r="FYW20" s="94"/>
      <c r="FYX20" s="94"/>
      <c r="FYY20" s="94"/>
      <c r="FYZ20" s="94"/>
      <c r="FZA20" s="94"/>
      <c r="FZB20" s="94"/>
      <c r="FZC20" s="94"/>
      <c r="FZD20" s="94"/>
      <c r="FZE20" s="94"/>
      <c r="FZF20" s="94"/>
      <c r="FZG20" s="94"/>
      <c r="FZH20" s="94"/>
      <c r="FZI20" s="94"/>
      <c r="FZJ20" s="94"/>
      <c r="FZK20" s="94"/>
      <c r="FZL20" s="94"/>
      <c r="FZM20" s="94"/>
      <c r="FZN20" s="94"/>
      <c r="FZO20" s="94"/>
      <c r="FZP20" s="94"/>
      <c r="FZQ20" s="94"/>
      <c r="FZR20" s="94"/>
      <c r="FZS20" s="94"/>
      <c r="FZT20" s="94"/>
      <c r="FZU20" s="94"/>
      <c r="FZV20" s="94"/>
      <c r="FZW20" s="94"/>
      <c r="FZX20" s="94"/>
      <c r="FZY20" s="94"/>
      <c r="FZZ20" s="94"/>
      <c r="GAA20" s="94"/>
      <c r="GAB20" s="94"/>
      <c r="GAC20" s="94"/>
      <c r="GAD20" s="94"/>
      <c r="GAE20" s="94"/>
      <c r="GAF20" s="94"/>
      <c r="GAG20" s="94"/>
      <c r="GAH20" s="94"/>
      <c r="GAI20" s="94"/>
      <c r="GAJ20" s="94"/>
      <c r="GAK20" s="94"/>
      <c r="GAL20" s="94"/>
      <c r="GAM20" s="94"/>
      <c r="GAN20" s="94"/>
      <c r="GAO20" s="94"/>
      <c r="GAP20" s="94"/>
      <c r="GAQ20" s="94"/>
      <c r="GAR20" s="94"/>
      <c r="GAS20" s="94"/>
      <c r="GAT20" s="94"/>
      <c r="GAU20" s="94"/>
      <c r="GAV20" s="94"/>
      <c r="GAW20" s="94"/>
      <c r="GAX20" s="94"/>
      <c r="GAY20" s="94"/>
      <c r="GAZ20" s="94"/>
      <c r="GBA20" s="94"/>
      <c r="GBB20" s="94"/>
      <c r="GBC20" s="94"/>
      <c r="GBD20" s="94"/>
      <c r="GBE20" s="94"/>
      <c r="GBF20" s="94"/>
      <c r="GBG20" s="94"/>
      <c r="GBH20" s="94"/>
      <c r="GBI20" s="94"/>
      <c r="GBJ20" s="94"/>
      <c r="GBK20" s="94"/>
      <c r="GBL20" s="94"/>
      <c r="GBM20" s="94"/>
      <c r="GBN20" s="94"/>
      <c r="GBO20" s="94"/>
      <c r="GBP20" s="94"/>
      <c r="GBQ20" s="94"/>
      <c r="GBR20" s="94"/>
      <c r="GBS20" s="94"/>
      <c r="GBT20" s="94"/>
      <c r="GBU20" s="94"/>
      <c r="GBV20" s="94"/>
      <c r="GBW20" s="94"/>
      <c r="GBX20" s="94"/>
      <c r="GBY20" s="94"/>
      <c r="GBZ20" s="94"/>
      <c r="GCA20" s="94"/>
      <c r="GCB20" s="94"/>
      <c r="GCC20" s="94"/>
      <c r="GCD20" s="94"/>
      <c r="GCE20" s="94"/>
      <c r="GCF20" s="94"/>
      <c r="GCG20" s="94"/>
      <c r="GCH20" s="94"/>
      <c r="GCI20" s="94"/>
      <c r="GCJ20" s="94"/>
      <c r="GCK20" s="94"/>
      <c r="GCL20" s="94"/>
      <c r="GCM20" s="94"/>
      <c r="GCN20" s="94"/>
      <c r="GCO20" s="94"/>
      <c r="GCP20" s="94"/>
      <c r="GCQ20" s="94"/>
      <c r="GCR20" s="94"/>
      <c r="GCS20" s="94"/>
      <c r="GCT20" s="94"/>
      <c r="GCU20" s="94"/>
      <c r="GCV20" s="94"/>
      <c r="GCW20" s="94"/>
      <c r="GCX20" s="94"/>
      <c r="GCY20" s="94"/>
      <c r="GCZ20" s="94"/>
      <c r="GDA20" s="94"/>
      <c r="GDB20" s="94"/>
      <c r="GDC20" s="94"/>
      <c r="GDD20" s="94"/>
      <c r="GDE20" s="94"/>
      <c r="GDF20" s="94"/>
      <c r="GDG20" s="94"/>
      <c r="GDH20" s="94"/>
      <c r="GDI20" s="94"/>
      <c r="GDJ20" s="94"/>
      <c r="GDK20" s="94"/>
      <c r="GDL20" s="94"/>
      <c r="GDM20" s="94"/>
      <c r="GDN20" s="94"/>
      <c r="GDO20" s="94"/>
      <c r="GDP20" s="94"/>
      <c r="GDQ20" s="94"/>
      <c r="GDR20" s="94"/>
      <c r="GDS20" s="94"/>
      <c r="GDT20" s="94"/>
      <c r="GDU20" s="94"/>
      <c r="GDV20" s="94"/>
      <c r="GDW20" s="94"/>
      <c r="GDX20" s="94"/>
      <c r="GDY20" s="94"/>
      <c r="GDZ20" s="94"/>
      <c r="GEA20" s="94"/>
      <c r="GEB20" s="94"/>
      <c r="GEC20" s="94"/>
      <c r="GED20" s="94"/>
      <c r="GEE20" s="94"/>
      <c r="GEF20" s="94"/>
      <c r="GEG20" s="94"/>
      <c r="GEH20" s="94"/>
      <c r="GEI20" s="94"/>
      <c r="GEJ20" s="94"/>
      <c r="GEK20" s="94"/>
      <c r="GEL20" s="94"/>
      <c r="GEM20" s="94"/>
      <c r="GEN20" s="94"/>
      <c r="GEO20" s="94"/>
      <c r="GEP20" s="94"/>
      <c r="GEQ20" s="94"/>
      <c r="GER20" s="94"/>
      <c r="GES20" s="94"/>
      <c r="GET20" s="94"/>
      <c r="GEU20" s="94"/>
      <c r="GEV20" s="94"/>
      <c r="GEW20" s="94"/>
      <c r="GEX20" s="94"/>
      <c r="GEY20" s="94"/>
      <c r="GEZ20" s="94"/>
      <c r="GFA20" s="94"/>
      <c r="GFB20" s="94"/>
      <c r="GFC20" s="94"/>
      <c r="GFD20" s="94"/>
      <c r="GFE20" s="94"/>
      <c r="GFF20" s="94"/>
      <c r="GFG20" s="94"/>
      <c r="GFH20" s="94"/>
      <c r="GFI20" s="94"/>
      <c r="GFJ20" s="94"/>
      <c r="GFK20" s="94"/>
      <c r="GFL20" s="94"/>
      <c r="GFM20" s="94"/>
      <c r="GFN20" s="94"/>
      <c r="GFO20" s="94"/>
      <c r="GFP20" s="94"/>
      <c r="GFQ20" s="94"/>
      <c r="GFR20" s="94"/>
      <c r="GFS20" s="94"/>
      <c r="GFT20" s="94"/>
      <c r="GFU20" s="94"/>
      <c r="GFV20" s="94"/>
      <c r="GFW20" s="94"/>
      <c r="GFX20" s="94"/>
      <c r="GFY20" s="94"/>
      <c r="GFZ20" s="94"/>
      <c r="GGA20" s="94"/>
      <c r="GGB20" s="94"/>
      <c r="GGC20" s="94"/>
      <c r="GGD20" s="94"/>
      <c r="GGE20" s="94"/>
      <c r="GGF20" s="94"/>
      <c r="GGG20" s="94"/>
      <c r="GGH20" s="94"/>
      <c r="GGI20" s="94"/>
      <c r="GGJ20" s="94"/>
      <c r="GGK20" s="94"/>
      <c r="GGL20" s="94"/>
      <c r="GGM20" s="94"/>
      <c r="GGN20" s="94"/>
      <c r="GGO20" s="94"/>
      <c r="GGP20" s="94"/>
      <c r="GGQ20" s="94"/>
      <c r="GGR20" s="94"/>
      <c r="GGS20" s="94"/>
      <c r="GGT20" s="94"/>
      <c r="GGU20" s="94"/>
      <c r="GGV20" s="94"/>
      <c r="GGW20" s="94"/>
      <c r="GGX20" s="94"/>
      <c r="GGY20" s="94"/>
      <c r="GGZ20" s="94"/>
      <c r="GHA20" s="94"/>
      <c r="GHB20" s="94"/>
      <c r="GHC20" s="94"/>
      <c r="GHD20" s="94"/>
      <c r="GHE20" s="94"/>
      <c r="GHF20" s="94"/>
      <c r="GHG20" s="94"/>
      <c r="GHH20" s="94"/>
      <c r="GHI20" s="94"/>
      <c r="GHJ20" s="94"/>
      <c r="GHK20" s="94"/>
      <c r="GHL20" s="94"/>
      <c r="GHM20" s="94"/>
      <c r="GHN20" s="94"/>
      <c r="GHO20" s="94"/>
      <c r="GHP20" s="94"/>
      <c r="GHQ20" s="94"/>
      <c r="GHR20" s="94"/>
      <c r="GHS20" s="94"/>
      <c r="GHT20" s="94"/>
      <c r="GHU20" s="94"/>
      <c r="GHV20" s="94"/>
      <c r="GHW20" s="94"/>
      <c r="GHX20" s="94"/>
      <c r="GHY20" s="94"/>
      <c r="GHZ20" s="94"/>
      <c r="GIA20" s="94"/>
      <c r="GIB20" s="94"/>
      <c r="GIC20" s="94"/>
      <c r="GID20" s="94"/>
      <c r="GIE20" s="94"/>
      <c r="GIF20" s="94"/>
      <c r="GIG20" s="94"/>
      <c r="GIH20" s="94"/>
      <c r="GII20" s="94"/>
      <c r="GIJ20" s="94"/>
      <c r="GIK20" s="94"/>
      <c r="GIL20" s="94"/>
      <c r="GIM20" s="94"/>
      <c r="GIN20" s="94"/>
      <c r="GIO20" s="94"/>
      <c r="GIP20" s="94"/>
      <c r="GIQ20" s="94"/>
      <c r="GIR20" s="94"/>
      <c r="GIS20" s="94"/>
      <c r="GIT20" s="94"/>
      <c r="GIU20" s="94"/>
      <c r="GIV20" s="94"/>
      <c r="GIW20" s="94"/>
      <c r="GIX20" s="94"/>
      <c r="GIY20" s="94"/>
      <c r="GIZ20" s="94"/>
      <c r="GJA20" s="94"/>
      <c r="GJB20" s="94"/>
      <c r="GJC20" s="94"/>
      <c r="GJD20" s="94"/>
      <c r="GJE20" s="94"/>
      <c r="GJF20" s="94"/>
      <c r="GJG20" s="94"/>
      <c r="GJH20" s="94"/>
      <c r="GJI20" s="94"/>
      <c r="GJJ20" s="94"/>
      <c r="GJK20" s="94"/>
      <c r="GJL20" s="94"/>
      <c r="GJM20" s="94"/>
      <c r="GJN20" s="94"/>
      <c r="GJO20" s="94"/>
      <c r="GJP20" s="94"/>
      <c r="GJQ20" s="94"/>
      <c r="GJR20" s="94"/>
      <c r="GJS20" s="94"/>
      <c r="GJT20" s="94"/>
      <c r="GJU20" s="94"/>
      <c r="GJV20" s="94"/>
      <c r="GJW20" s="94"/>
      <c r="GJX20" s="94"/>
      <c r="GJY20" s="94"/>
      <c r="GJZ20" s="94"/>
      <c r="GKA20" s="94"/>
      <c r="GKB20" s="94"/>
      <c r="GKC20" s="94"/>
      <c r="GKD20" s="94"/>
      <c r="GKE20" s="94"/>
      <c r="GKF20" s="94"/>
      <c r="GKG20" s="94"/>
      <c r="GKH20" s="94"/>
      <c r="GKI20" s="94"/>
      <c r="GKJ20" s="94"/>
      <c r="GKK20" s="94"/>
      <c r="GKL20" s="94"/>
      <c r="GKM20" s="94"/>
      <c r="GKN20" s="94"/>
      <c r="GKO20" s="94"/>
      <c r="GKP20" s="94"/>
      <c r="GKQ20" s="94"/>
      <c r="GKR20" s="94"/>
      <c r="GKS20" s="94"/>
      <c r="GKT20" s="94"/>
      <c r="GKU20" s="94"/>
      <c r="GKV20" s="94"/>
      <c r="GKW20" s="94"/>
      <c r="GKX20" s="94"/>
      <c r="GKY20" s="94"/>
      <c r="GKZ20" s="94"/>
      <c r="GLA20" s="94"/>
      <c r="GLB20" s="94"/>
      <c r="GLC20" s="94"/>
      <c r="GLD20" s="94"/>
      <c r="GLE20" s="94"/>
      <c r="GLF20" s="94"/>
      <c r="GLG20" s="94"/>
      <c r="GLH20" s="94"/>
      <c r="GLI20" s="94"/>
      <c r="GLJ20" s="94"/>
      <c r="GLK20" s="94"/>
      <c r="GLL20" s="94"/>
      <c r="GLM20" s="94"/>
      <c r="GLN20" s="94"/>
      <c r="GLO20" s="94"/>
      <c r="GLP20" s="94"/>
      <c r="GLQ20" s="94"/>
      <c r="GLR20" s="94"/>
      <c r="GLS20" s="94"/>
      <c r="GLT20" s="94"/>
      <c r="GLU20" s="94"/>
      <c r="GLV20" s="94"/>
      <c r="GLW20" s="94"/>
      <c r="GLX20" s="94"/>
      <c r="GLY20" s="94"/>
      <c r="GLZ20" s="94"/>
      <c r="GMA20" s="94"/>
      <c r="GMB20" s="94"/>
      <c r="GMC20" s="94"/>
      <c r="GMD20" s="94"/>
      <c r="GME20" s="94"/>
      <c r="GMF20" s="94"/>
      <c r="GMG20" s="94"/>
      <c r="GMH20" s="94"/>
      <c r="GMI20" s="94"/>
      <c r="GMJ20" s="94"/>
      <c r="GMK20" s="94"/>
      <c r="GML20" s="94"/>
      <c r="GMM20" s="94"/>
      <c r="GMN20" s="94"/>
      <c r="GMO20" s="94"/>
      <c r="GMP20" s="94"/>
      <c r="GMQ20" s="94"/>
      <c r="GMR20" s="94"/>
      <c r="GMS20" s="94"/>
      <c r="GMT20" s="94"/>
      <c r="GMU20" s="94"/>
      <c r="GMV20" s="94"/>
      <c r="GMW20" s="94"/>
      <c r="GMX20" s="94"/>
      <c r="GMY20" s="94"/>
      <c r="GMZ20" s="94"/>
      <c r="GNA20" s="94"/>
      <c r="GNB20" s="94"/>
      <c r="GNC20" s="94"/>
      <c r="GND20" s="94"/>
      <c r="GNE20" s="94"/>
      <c r="GNF20" s="94"/>
      <c r="GNG20" s="94"/>
      <c r="GNH20" s="94"/>
      <c r="GNI20" s="94"/>
      <c r="GNJ20" s="94"/>
      <c r="GNK20" s="94"/>
      <c r="GNL20" s="94"/>
      <c r="GNM20" s="94"/>
      <c r="GNN20" s="94"/>
      <c r="GNO20" s="94"/>
      <c r="GNP20" s="94"/>
      <c r="GNQ20" s="94"/>
      <c r="GNR20" s="94"/>
      <c r="GNS20" s="94"/>
      <c r="GNT20" s="94"/>
      <c r="GNU20" s="94"/>
      <c r="GNV20" s="94"/>
      <c r="GNW20" s="94"/>
      <c r="GNX20" s="94"/>
      <c r="GNY20" s="94"/>
      <c r="GNZ20" s="94"/>
      <c r="GOA20" s="94"/>
      <c r="GOB20" s="94"/>
      <c r="GOC20" s="94"/>
      <c r="GOD20" s="94"/>
      <c r="GOE20" s="94"/>
      <c r="GOF20" s="94"/>
      <c r="GOG20" s="94"/>
      <c r="GOH20" s="94"/>
      <c r="GOI20" s="94"/>
      <c r="GOJ20" s="94"/>
      <c r="GOK20" s="94"/>
      <c r="GOL20" s="94"/>
      <c r="GOM20" s="94"/>
      <c r="GON20" s="94"/>
      <c r="GOO20" s="94"/>
      <c r="GOP20" s="94"/>
      <c r="GOQ20" s="94"/>
      <c r="GOR20" s="94"/>
      <c r="GOS20" s="94"/>
      <c r="GOT20" s="94"/>
      <c r="GOU20" s="94"/>
      <c r="GOV20" s="94"/>
      <c r="GOW20" s="94"/>
      <c r="GOX20" s="94"/>
      <c r="GOY20" s="94"/>
      <c r="GOZ20" s="94"/>
      <c r="GPA20" s="94"/>
      <c r="GPB20" s="94"/>
      <c r="GPC20" s="94"/>
      <c r="GPD20" s="94"/>
      <c r="GPE20" s="94"/>
      <c r="GPF20" s="94"/>
      <c r="GPG20" s="94"/>
      <c r="GPH20" s="94"/>
      <c r="GPI20" s="94"/>
      <c r="GPJ20" s="94"/>
      <c r="GPK20" s="94"/>
      <c r="GPL20" s="94"/>
      <c r="GPM20" s="94"/>
      <c r="GPN20" s="94"/>
      <c r="GPO20" s="94"/>
      <c r="GPP20" s="94"/>
      <c r="GPQ20" s="94"/>
      <c r="GPR20" s="94"/>
      <c r="GPS20" s="94"/>
      <c r="GPT20" s="94"/>
      <c r="GPU20" s="94"/>
      <c r="GPV20" s="94"/>
      <c r="GPW20" s="94"/>
      <c r="GPX20" s="94"/>
      <c r="GPY20" s="94"/>
      <c r="GPZ20" s="94"/>
      <c r="GQA20" s="94"/>
      <c r="GQB20" s="94"/>
      <c r="GQC20" s="94"/>
      <c r="GQD20" s="94"/>
      <c r="GQE20" s="94"/>
      <c r="GQF20" s="94"/>
      <c r="GQG20" s="94"/>
      <c r="GQH20" s="94"/>
      <c r="GQI20" s="94"/>
      <c r="GQJ20" s="94"/>
      <c r="GQK20" s="94"/>
      <c r="GQL20" s="94"/>
      <c r="GQM20" s="94"/>
      <c r="GQN20" s="94"/>
      <c r="GQO20" s="94"/>
      <c r="GQP20" s="94"/>
      <c r="GQQ20" s="94"/>
      <c r="GQR20" s="94"/>
      <c r="GQS20" s="94"/>
      <c r="GQT20" s="94"/>
      <c r="GQU20" s="94"/>
      <c r="GQV20" s="94"/>
      <c r="GQW20" s="94"/>
      <c r="GQX20" s="94"/>
      <c r="GQY20" s="94"/>
      <c r="GQZ20" s="94"/>
      <c r="GRA20" s="94"/>
      <c r="GRB20" s="94"/>
      <c r="GRC20" s="94"/>
      <c r="GRD20" s="94"/>
      <c r="GRE20" s="94"/>
      <c r="GRF20" s="94"/>
      <c r="GRG20" s="94"/>
      <c r="GRH20" s="94"/>
      <c r="GRI20" s="94"/>
      <c r="GRJ20" s="94"/>
      <c r="GRK20" s="94"/>
      <c r="GRL20" s="94"/>
      <c r="GRM20" s="94"/>
      <c r="GRN20" s="94"/>
      <c r="GRO20" s="94"/>
      <c r="GRP20" s="94"/>
      <c r="GRQ20" s="94"/>
      <c r="GRR20" s="94"/>
      <c r="GRS20" s="94"/>
      <c r="GRT20" s="94"/>
      <c r="GRU20" s="94"/>
      <c r="GRV20" s="94"/>
      <c r="GRW20" s="94"/>
      <c r="GRX20" s="94"/>
      <c r="GRY20" s="94"/>
      <c r="GRZ20" s="94"/>
      <c r="GSA20" s="94"/>
      <c r="GSB20" s="94"/>
      <c r="GSC20" s="94"/>
      <c r="GSD20" s="94"/>
      <c r="GSE20" s="94"/>
      <c r="GSF20" s="94"/>
      <c r="GSG20" s="94"/>
      <c r="GSH20" s="94"/>
      <c r="GSI20" s="94"/>
      <c r="GSJ20" s="94"/>
      <c r="GSK20" s="94"/>
      <c r="GSL20" s="94"/>
      <c r="GSM20" s="94"/>
      <c r="GSN20" s="94"/>
      <c r="GSO20" s="94"/>
      <c r="GSP20" s="94"/>
      <c r="GSQ20" s="94"/>
      <c r="GSR20" s="94"/>
      <c r="GSS20" s="94"/>
      <c r="GST20" s="94"/>
      <c r="GSU20" s="94"/>
      <c r="GSV20" s="94"/>
      <c r="GSW20" s="94"/>
      <c r="GSX20" s="94"/>
      <c r="GSY20" s="94"/>
      <c r="GSZ20" s="94"/>
      <c r="GTA20" s="94"/>
      <c r="GTB20" s="94"/>
      <c r="GTC20" s="94"/>
      <c r="GTD20" s="94"/>
      <c r="GTE20" s="94"/>
      <c r="GTF20" s="94"/>
      <c r="GTG20" s="94"/>
      <c r="GTH20" s="94"/>
      <c r="GTI20" s="94"/>
      <c r="GTJ20" s="94"/>
      <c r="GTK20" s="94"/>
      <c r="GTL20" s="94"/>
      <c r="GTM20" s="94"/>
      <c r="GTN20" s="94"/>
      <c r="GTO20" s="94"/>
      <c r="GTP20" s="94"/>
      <c r="GTQ20" s="94"/>
      <c r="GTR20" s="94"/>
      <c r="GTS20" s="94"/>
      <c r="GTT20" s="94"/>
      <c r="GTU20" s="94"/>
      <c r="GTV20" s="94"/>
      <c r="GTW20" s="94"/>
      <c r="GTX20" s="94"/>
      <c r="GTY20" s="94"/>
      <c r="GTZ20" s="94"/>
      <c r="GUA20" s="94"/>
      <c r="GUB20" s="94"/>
      <c r="GUC20" s="94"/>
      <c r="GUD20" s="94"/>
      <c r="GUE20" s="94"/>
      <c r="GUF20" s="94"/>
      <c r="GUG20" s="94"/>
      <c r="GUH20" s="94"/>
      <c r="GUI20" s="94"/>
      <c r="GUJ20" s="94"/>
      <c r="GUK20" s="94"/>
      <c r="GUL20" s="94"/>
      <c r="GUM20" s="94"/>
      <c r="GUN20" s="94"/>
      <c r="GUO20" s="94"/>
      <c r="GUP20" s="94"/>
      <c r="GUQ20" s="94"/>
      <c r="GUR20" s="94"/>
      <c r="GUS20" s="94"/>
      <c r="GUT20" s="94"/>
      <c r="GUU20" s="94"/>
      <c r="GUV20" s="94"/>
      <c r="GUW20" s="94"/>
      <c r="GUX20" s="94"/>
      <c r="GUY20" s="94"/>
      <c r="GUZ20" s="94"/>
      <c r="GVA20" s="94"/>
      <c r="GVB20" s="94"/>
      <c r="GVC20" s="94"/>
      <c r="GVD20" s="94"/>
      <c r="GVE20" s="94"/>
      <c r="GVF20" s="94"/>
      <c r="GVG20" s="94"/>
      <c r="GVH20" s="94"/>
      <c r="GVI20" s="94"/>
      <c r="GVJ20" s="94"/>
      <c r="GVK20" s="94"/>
      <c r="GVL20" s="94"/>
      <c r="GVM20" s="94"/>
      <c r="GVN20" s="94"/>
      <c r="GVO20" s="94"/>
      <c r="GVP20" s="94"/>
      <c r="GVQ20" s="94"/>
      <c r="GVR20" s="94"/>
      <c r="GVS20" s="94"/>
      <c r="GVT20" s="94"/>
      <c r="GVU20" s="94"/>
      <c r="GVV20" s="94"/>
      <c r="GVW20" s="94"/>
      <c r="GVX20" s="94"/>
      <c r="GVY20" s="94"/>
      <c r="GVZ20" s="94"/>
      <c r="GWA20" s="94"/>
      <c r="GWB20" s="94"/>
      <c r="GWC20" s="94"/>
      <c r="GWD20" s="94"/>
      <c r="GWE20" s="94"/>
      <c r="GWF20" s="94"/>
      <c r="GWG20" s="94"/>
      <c r="GWH20" s="94"/>
      <c r="GWI20" s="94"/>
      <c r="GWJ20" s="94"/>
      <c r="GWK20" s="94"/>
      <c r="GWL20" s="94"/>
      <c r="GWM20" s="94"/>
      <c r="GWN20" s="94"/>
      <c r="GWO20" s="94"/>
      <c r="GWP20" s="94"/>
      <c r="GWQ20" s="94"/>
      <c r="GWR20" s="94"/>
      <c r="GWS20" s="94"/>
      <c r="GWT20" s="94"/>
      <c r="GWU20" s="94"/>
      <c r="GWV20" s="94"/>
      <c r="GWW20" s="94"/>
      <c r="GWX20" s="94"/>
      <c r="GWY20" s="94"/>
      <c r="GWZ20" s="94"/>
      <c r="GXA20" s="94"/>
      <c r="GXB20" s="94"/>
      <c r="GXC20" s="94"/>
      <c r="GXD20" s="94"/>
      <c r="GXE20" s="94"/>
      <c r="GXF20" s="94"/>
      <c r="GXG20" s="94"/>
      <c r="GXH20" s="94"/>
      <c r="GXI20" s="94"/>
      <c r="GXJ20" s="94"/>
      <c r="GXK20" s="94"/>
      <c r="GXL20" s="94"/>
      <c r="GXM20" s="94"/>
      <c r="GXN20" s="94"/>
      <c r="GXO20" s="94"/>
      <c r="GXP20" s="94"/>
      <c r="GXQ20" s="94"/>
      <c r="GXR20" s="94"/>
      <c r="GXS20" s="94"/>
      <c r="GXT20" s="94"/>
      <c r="GXU20" s="94"/>
      <c r="GXV20" s="94"/>
      <c r="GXW20" s="94"/>
      <c r="GXX20" s="94"/>
      <c r="GXY20" s="94"/>
      <c r="GXZ20" s="94"/>
      <c r="GYA20" s="94"/>
      <c r="GYB20" s="94"/>
      <c r="GYC20" s="94"/>
      <c r="GYD20" s="94"/>
      <c r="GYE20" s="94"/>
      <c r="GYF20" s="94"/>
      <c r="GYG20" s="94"/>
      <c r="GYH20" s="94"/>
      <c r="GYI20" s="94"/>
      <c r="GYJ20" s="94"/>
      <c r="GYK20" s="94"/>
      <c r="GYL20" s="94"/>
      <c r="GYM20" s="94"/>
      <c r="GYN20" s="94"/>
      <c r="GYO20" s="94"/>
      <c r="GYP20" s="94"/>
      <c r="GYQ20" s="94"/>
      <c r="GYR20" s="94"/>
      <c r="GYS20" s="94"/>
      <c r="GYT20" s="94"/>
      <c r="GYU20" s="94"/>
      <c r="GYV20" s="94"/>
      <c r="GYW20" s="94"/>
      <c r="GYX20" s="94"/>
      <c r="GYY20" s="94"/>
      <c r="GYZ20" s="94"/>
      <c r="GZA20" s="94"/>
      <c r="GZB20" s="94"/>
      <c r="GZC20" s="94"/>
      <c r="GZD20" s="94"/>
      <c r="GZE20" s="94"/>
      <c r="GZF20" s="94"/>
      <c r="GZG20" s="94"/>
      <c r="GZH20" s="94"/>
      <c r="GZI20" s="94"/>
      <c r="GZJ20" s="94"/>
      <c r="GZK20" s="94"/>
      <c r="GZL20" s="94"/>
      <c r="GZM20" s="94"/>
      <c r="GZN20" s="94"/>
      <c r="GZO20" s="94"/>
      <c r="GZP20" s="94"/>
      <c r="GZQ20" s="94"/>
      <c r="GZR20" s="94"/>
      <c r="GZS20" s="94"/>
      <c r="GZT20" s="94"/>
      <c r="GZU20" s="94"/>
      <c r="GZV20" s="94"/>
      <c r="GZW20" s="94"/>
      <c r="GZX20" s="94"/>
      <c r="GZY20" s="94"/>
      <c r="GZZ20" s="94"/>
      <c r="HAA20" s="94"/>
      <c r="HAB20" s="94"/>
      <c r="HAC20" s="94"/>
      <c r="HAD20" s="94"/>
      <c r="HAE20" s="94"/>
      <c r="HAF20" s="94"/>
      <c r="HAG20" s="94"/>
      <c r="HAH20" s="94"/>
      <c r="HAI20" s="94"/>
      <c r="HAJ20" s="94"/>
      <c r="HAK20" s="94"/>
      <c r="HAL20" s="94"/>
      <c r="HAM20" s="94"/>
      <c r="HAN20" s="94"/>
      <c r="HAO20" s="94"/>
      <c r="HAP20" s="94"/>
      <c r="HAQ20" s="94"/>
      <c r="HAR20" s="94"/>
      <c r="HAS20" s="94"/>
      <c r="HAT20" s="94"/>
      <c r="HAU20" s="94"/>
      <c r="HAV20" s="94"/>
      <c r="HAW20" s="94"/>
      <c r="HAX20" s="94"/>
      <c r="HAY20" s="94"/>
      <c r="HAZ20" s="94"/>
      <c r="HBA20" s="94"/>
      <c r="HBB20" s="94"/>
      <c r="HBC20" s="94"/>
      <c r="HBD20" s="94"/>
      <c r="HBE20" s="94"/>
      <c r="HBF20" s="94"/>
      <c r="HBG20" s="94"/>
      <c r="HBH20" s="94"/>
      <c r="HBI20" s="94"/>
      <c r="HBJ20" s="94"/>
      <c r="HBK20" s="94"/>
      <c r="HBL20" s="94"/>
      <c r="HBM20" s="94"/>
      <c r="HBN20" s="94"/>
      <c r="HBO20" s="94"/>
      <c r="HBP20" s="94"/>
      <c r="HBQ20" s="94"/>
      <c r="HBR20" s="94"/>
      <c r="HBS20" s="94"/>
      <c r="HBT20" s="94"/>
      <c r="HBU20" s="94"/>
      <c r="HBV20" s="94"/>
      <c r="HBW20" s="94"/>
      <c r="HBX20" s="94"/>
      <c r="HBY20" s="94"/>
      <c r="HBZ20" s="94"/>
      <c r="HCA20" s="94"/>
      <c r="HCB20" s="94"/>
      <c r="HCC20" s="94"/>
      <c r="HCD20" s="94"/>
      <c r="HCE20" s="94"/>
      <c r="HCF20" s="94"/>
      <c r="HCG20" s="94"/>
      <c r="HCH20" s="94"/>
      <c r="HCI20" s="94"/>
      <c r="HCJ20" s="94"/>
      <c r="HCK20" s="94"/>
      <c r="HCL20" s="94"/>
      <c r="HCM20" s="94"/>
      <c r="HCN20" s="94"/>
      <c r="HCO20" s="94"/>
      <c r="HCP20" s="94"/>
      <c r="HCQ20" s="94"/>
      <c r="HCR20" s="94"/>
      <c r="HCS20" s="94"/>
      <c r="HCT20" s="94"/>
      <c r="HCU20" s="94"/>
      <c r="HCV20" s="94"/>
      <c r="HCW20" s="94"/>
      <c r="HCX20" s="94"/>
      <c r="HCY20" s="94"/>
      <c r="HCZ20" s="94"/>
      <c r="HDA20" s="94"/>
      <c r="HDB20" s="94"/>
      <c r="HDC20" s="94"/>
      <c r="HDD20" s="94"/>
      <c r="HDE20" s="94"/>
      <c r="HDF20" s="94"/>
      <c r="HDG20" s="94"/>
      <c r="HDH20" s="94"/>
      <c r="HDI20" s="94"/>
      <c r="HDJ20" s="94"/>
      <c r="HDK20" s="94"/>
      <c r="HDL20" s="94"/>
      <c r="HDM20" s="94"/>
      <c r="HDN20" s="94"/>
      <c r="HDO20" s="94"/>
      <c r="HDP20" s="94"/>
      <c r="HDQ20" s="94"/>
      <c r="HDR20" s="94"/>
      <c r="HDS20" s="94"/>
      <c r="HDT20" s="94"/>
      <c r="HDU20" s="94"/>
      <c r="HDV20" s="94"/>
      <c r="HDW20" s="94"/>
      <c r="HDX20" s="94"/>
      <c r="HDY20" s="94"/>
      <c r="HDZ20" s="94"/>
      <c r="HEA20" s="94"/>
      <c r="HEB20" s="94"/>
      <c r="HEC20" s="94"/>
      <c r="HED20" s="94"/>
      <c r="HEE20" s="94"/>
      <c r="HEF20" s="94"/>
      <c r="HEG20" s="94"/>
      <c r="HEH20" s="94"/>
      <c r="HEI20" s="94"/>
      <c r="HEJ20" s="94"/>
      <c r="HEK20" s="94"/>
      <c r="HEL20" s="94"/>
      <c r="HEM20" s="94"/>
      <c r="HEN20" s="94"/>
      <c r="HEO20" s="94"/>
      <c r="HEP20" s="94"/>
      <c r="HEQ20" s="94"/>
      <c r="HER20" s="94"/>
      <c r="HES20" s="94"/>
      <c r="HET20" s="94"/>
      <c r="HEU20" s="94"/>
      <c r="HEV20" s="94"/>
      <c r="HEW20" s="94"/>
      <c r="HEX20" s="94"/>
      <c r="HEY20" s="94"/>
      <c r="HEZ20" s="94"/>
      <c r="HFA20" s="94"/>
      <c r="HFB20" s="94"/>
      <c r="HFC20" s="94"/>
      <c r="HFD20" s="94"/>
      <c r="HFE20" s="94"/>
      <c r="HFF20" s="94"/>
      <c r="HFG20" s="94"/>
      <c r="HFH20" s="94"/>
      <c r="HFI20" s="94"/>
      <c r="HFJ20" s="94"/>
      <c r="HFK20" s="94"/>
      <c r="HFL20" s="94"/>
      <c r="HFM20" s="94"/>
      <c r="HFN20" s="94"/>
      <c r="HFO20" s="94"/>
      <c r="HFP20" s="94"/>
      <c r="HFQ20" s="94"/>
      <c r="HFR20" s="94"/>
      <c r="HFS20" s="94"/>
      <c r="HFT20" s="94"/>
      <c r="HFU20" s="94"/>
      <c r="HFV20" s="94"/>
      <c r="HFW20" s="94"/>
      <c r="HFX20" s="94"/>
      <c r="HFY20" s="94"/>
      <c r="HFZ20" s="94"/>
      <c r="HGA20" s="94"/>
      <c r="HGB20" s="94"/>
      <c r="HGC20" s="94"/>
      <c r="HGD20" s="94"/>
      <c r="HGE20" s="94"/>
      <c r="HGF20" s="94"/>
      <c r="HGG20" s="94"/>
      <c r="HGH20" s="94"/>
      <c r="HGI20" s="94"/>
      <c r="HGJ20" s="94"/>
      <c r="HGK20" s="94"/>
      <c r="HGL20" s="94"/>
      <c r="HGM20" s="94"/>
      <c r="HGN20" s="94"/>
      <c r="HGO20" s="94"/>
      <c r="HGP20" s="94"/>
      <c r="HGQ20" s="94"/>
      <c r="HGR20" s="94"/>
      <c r="HGS20" s="94"/>
      <c r="HGT20" s="94"/>
      <c r="HGU20" s="94"/>
      <c r="HGV20" s="94"/>
      <c r="HGW20" s="94"/>
      <c r="HGX20" s="94"/>
      <c r="HGY20" s="94"/>
      <c r="HGZ20" s="94"/>
      <c r="HHA20" s="94"/>
      <c r="HHB20" s="94"/>
      <c r="HHC20" s="94"/>
      <c r="HHD20" s="94"/>
      <c r="HHE20" s="94"/>
      <c r="HHF20" s="94"/>
      <c r="HHG20" s="94"/>
      <c r="HHH20" s="94"/>
      <c r="HHI20" s="94"/>
      <c r="HHJ20" s="94"/>
      <c r="HHK20" s="94"/>
      <c r="HHL20" s="94"/>
      <c r="HHM20" s="94"/>
      <c r="HHN20" s="94"/>
      <c r="HHO20" s="94"/>
      <c r="HHP20" s="94"/>
      <c r="HHQ20" s="94"/>
      <c r="HHR20" s="94"/>
      <c r="HHS20" s="94"/>
      <c r="HHT20" s="94"/>
      <c r="HHU20" s="94"/>
      <c r="HHV20" s="94"/>
      <c r="HHW20" s="94"/>
      <c r="HHX20" s="94"/>
      <c r="HHY20" s="94"/>
      <c r="HHZ20" s="94"/>
      <c r="HIA20" s="94"/>
      <c r="HIB20" s="94"/>
      <c r="HIC20" s="94"/>
      <c r="HID20" s="94"/>
      <c r="HIE20" s="94"/>
      <c r="HIF20" s="94"/>
      <c r="HIG20" s="94"/>
      <c r="HIH20" s="94"/>
      <c r="HII20" s="94"/>
      <c r="HIJ20" s="94"/>
      <c r="HIK20" s="94"/>
      <c r="HIL20" s="94"/>
      <c r="HIM20" s="94"/>
      <c r="HIN20" s="94"/>
      <c r="HIO20" s="94"/>
      <c r="HIP20" s="94"/>
      <c r="HIQ20" s="94"/>
      <c r="HIR20" s="94"/>
      <c r="HIS20" s="94"/>
      <c r="HIT20" s="94"/>
      <c r="HIU20" s="94"/>
      <c r="HIV20" s="94"/>
      <c r="HIW20" s="94"/>
      <c r="HIX20" s="94"/>
      <c r="HIY20" s="94"/>
      <c r="HIZ20" s="94"/>
      <c r="HJA20" s="94"/>
      <c r="HJB20" s="94"/>
      <c r="HJC20" s="94"/>
      <c r="HJD20" s="94"/>
      <c r="HJE20" s="94"/>
      <c r="HJF20" s="94"/>
      <c r="HJG20" s="94"/>
      <c r="HJH20" s="94"/>
      <c r="HJI20" s="94"/>
      <c r="HJJ20" s="94"/>
      <c r="HJK20" s="94"/>
      <c r="HJL20" s="94"/>
      <c r="HJM20" s="94"/>
      <c r="HJN20" s="94"/>
      <c r="HJO20" s="94"/>
      <c r="HJP20" s="94"/>
      <c r="HJQ20" s="94"/>
      <c r="HJR20" s="94"/>
      <c r="HJS20" s="94"/>
      <c r="HJT20" s="94"/>
      <c r="HJU20" s="94"/>
      <c r="HJV20" s="94"/>
      <c r="HJW20" s="94"/>
      <c r="HJX20" s="94"/>
      <c r="HJY20" s="94"/>
      <c r="HJZ20" s="94"/>
      <c r="HKA20" s="94"/>
      <c r="HKB20" s="94"/>
      <c r="HKC20" s="94"/>
      <c r="HKD20" s="94"/>
      <c r="HKE20" s="94"/>
      <c r="HKF20" s="94"/>
      <c r="HKG20" s="94"/>
      <c r="HKH20" s="94"/>
      <c r="HKI20" s="94"/>
      <c r="HKJ20" s="94"/>
      <c r="HKK20" s="94"/>
      <c r="HKL20" s="94"/>
      <c r="HKM20" s="94"/>
      <c r="HKN20" s="94"/>
      <c r="HKO20" s="94"/>
      <c r="HKP20" s="94"/>
      <c r="HKQ20" s="94"/>
      <c r="HKR20" s="94"/>
      <c r="HKS20" s="94"/>
      <c r="HKT20" s="94"/>
      <c r="HKU20" s="94"/>
      <c r="HKV20" s="94"/>
      <c r="HKW20" s="94"/>
      <c r="HKX20" s="94"/>
      <c r="HKY20" s="94"/>
      <c r="HKZ20" s="94"/>
      <c r="HLA20" s="94"/>
      <c r="HLB20" s="94"/>
      <c r="HLC20" s="94"/>
      <c r="HLD20" s="94"/>
      <c r="HLE20" s="94"/>
      <c r="HLF20" s="94"/>
      <c r="HLG20" s="94"/>
      <c r="HLH20" s="94"/>
      <c r="HLI20" s="94"/>
      <c r="HLJ20" s="94"/>
      <c r="HLK20" s="94"/>
      <c r="HLL20" s="94"/>
      <c r="HLM20" s="94"/>
      <c r="HLN20" s="94"/>
      <c r="HLO20" s="94"/>
      <c r="HLP20" s="94"/>
      <c r="HLQ20" s="94"/>
      <c r="HLR20" s="94"/>
      <c r="HLS20" s="94"/>
      <c r="HLT20" s="94"/>
      <c r="HLU20" s="94"/>
      <c r="HLV20" s="94"/>
      <c r="HLW20" s="94"/>
      <c r="HLX20" s="94"/>
      <c r="HLY20" s="94"/>
      <c r="HLZ20" s="94"/>
      <c r="HMA20" s="94"/>
      <c r="HMB20" s="94"/>
      <c r="HMC20" s="94"/>
      <c r="HMD20" s="94"/>
      <c r="HME20" s="94"/>
      <c r="HMF20" s="94"/>
      <c r="HMG20" s="94"/>
      <c r="HMH20" s="94"/>
      <c r="HMI20" s="94"/>
      <c r="HMJ20" s="94"/>
      <c r="HMK20" s="94"/>
      <c r="HML20" s="94"/>
      <c r="HMM20" s="94"/>
      <c r="HMN20" s="94"/>
      <c r="HMO20" s="94"/>
      <c r="HMP20" s="94"/>
      <c r="HMQ20" s="94"/>
      <c r="HMR20" s="94"/>
      <c r="HMS20" s="94"/>
      <c r="HMT20" s="94"/>
      <c r="HMU20" s="94"/>
      <c r="HMV20" s="94"/>
      <c r="HMW20" s="94"/>
      <c r="HMX20" s="94"/>
      <c r="HMY20" s="94"/>
      <c r="HMZ20" s="94"/>
      <c r="HNA20" s="94"/>
      <c r="HNB20" s="94"/>
      <c r="HNC20" s="94"/>
      <c r="HND20" s="94"/>
      <c r="HNE20" s="94"/>
      <c r="HNF20" s="94"/>
      <c r="HNG20" s="94"/>
      <c r="HNH20" s="94"/>
      <c r="HNI20" s="94"/>
      <c r="HNJ20" s="94"/>
      <c r="HNK20" s="94"/>
      <c r="HNL20" s="94"/>
      <c r="HNM20" s="94"/>
      <c r="HNN20" s="94"/>
      <c r="HNO20" s="94"/>
      <c r="HNP20" s="94"/>
      <c r="HNQ20" s="94"/>
      <c r="HNR20" s="94"/>
      <c r="HNS20" s="94"/>
      <c r="HNT20" s="94"/>
      <c r="HNU20" s="94"/>
      <c r="HNV20" s="94"/>
      <c r="HNW20" s="94"/>
      <c r="HNX20" s="94"/>
      <c r="HNY20" s="94"/>
      <c r="HNZ20" s="94"/>
      <c r="HOA20" s="94"/>
      <c r="HOB20" s="94"/>
      <c r="HOC20" s="94"/>
      <c r="HOD20" s="94"/>
      <c r="HOE20" s="94"/>
      <c r="HOF20" s="94"/>
      <c r="HOG20" s="94"/>
      <c r="HOH20" s="94"/>
      <c r="HOI20" s="94"/>
      <c r="HOJ20" s="94"/>
      <c r="HOK20" s="94"/>
      <c r="HOL20" s="94"/>
      <c r="HOM20" s="94"/>
      <c r="HON20" s="94"/>
      <c r="HOO20" s="94"/>
      <c r="HOP20" s="94"/>
      <c r="HOQ20" s="94"/>
      <c r="HOR20" s="94"/>
      <c r="HOS20" s="94"/>
      <c r="HOT20" s="94"/>
      <c r="HOU20" s="94"/>
      <c r="HOV20" s="94"/>
      <c r="HOW20" s="94"/>
      <c r="HOX20" s="94"/>
      <c r="HOY20" s="94"/>
      <c r="HOZ20" s="94"/>
      <c r="HPA20" s="94"/>
      <c r="HPB20" s="94"/>
      <c r="HPC20" s="94"/>
      <c r="HPD20" s="94"/>
      <c r="HPE20" s="94"/>
      <c r="HPF20" s="94"/>
      <c r="HPG20" s="94"/>
      <c r="HPH20" s="94"/>
      <c r="HPI20" s="94"/>
      <c r="HPJ20" s="94"/>
      <c r="HPK20" s="94"/>
      <c r="HPL20" s="94"/>
      <c r="HPM20" s="94"/>
      <c r="HPN20" s="94"/>
      <c r="HPO20" s="94"/>
      <c r="HPP20" s="94"/>
      <c r="HPQ20" s="94"/>
      <c r="HPR20" s="94"/>
      <c r="HPS20" s="94"/>
      <c r="HPT20" s="94"/>
      <c r="HPU20" s="94"/>
      <c r="HPV20" s="94"/>
      <c r="HPW20" s="94"/>
      <c r="HPX20" s="94"/>
      <c r="HPY20" s="94"/>
      <c r="HPZ20" s="94"/>
      <c r="HQA20" s="94"/>
      <c r="HQB20" s="94"/>
      <c r="HQC20" s="94"/>
      <c r="HQD20" s="94"/>
      <c r="HQE20" s="94"/>
      <c r="HQF20" s="94"/>
      <c r="HQG20" s="94"/>
      <c r="HQH20" s="94"/>
      <c r="HQI20" s="94"/>
      <c r="HQJ20" s="94"/>
      <c r="HQK20" s="94"/>
      <c r="HQL20" s="94"/>
      <c r="HQM20" s="94"/>
      <c r="HQN20" s="94"/>
      <c r="HQO20" s="94"/>
      <c r="HQP20" s="94"/>
      <c r="HQQ20" s="94"/>
      <c r="HQR20" s="94"/>
      <c r="HQS20" s="94"/>
      <c r="HQT20" s="94"/>
      <c r="HQU20" s="94"/>
      <c r="HQV20" s="94"/>
      <c r="HQW20" s="94"/>
      <c r="HQX20" s="94"/>
      <c r="HQY20" s="94"/>
      <c r="HQZ20" s="94"/>
      <c r="HRA20" s="94"/>
      <c r="HRB20" s="94"/>
      <c r="HRC20" s="94"/>
      <c r="HRD20" s="94"/>
      <c r="HRE20" s="94"/>
      <c r="HRF20" s="94"/>
      <c r="HRG20" s="94"/>
      <c r="HRH20" s="94"/>
      <c r="HRI20" s="94"/>
      <c r="HRJ20" s="94"/>
      <c r="HRK20" s="94"/>
      <c r="HRL20" s="94"/>
      <c r="HRM20" s="94"/>
      <c r="HRN20" s="94"/>
      <c r="HRO20" s="94"/>
      <c r="HRP20" s="94"/>
      <c r="HRQ20" s="94"/>
      <c r="HRR20" s="94"/>
      <c r="HRS20" s="94"/>
      <c r="HRT20" s="94"/>
      <c r="HRU20" s="94"/>
      <c r="HRV20" s="94"/>
      <c r="HRW20" s="94"/>
      <c r="HRX20" s="94"/>
      <c r="HRY20" s="94"/>
      <c r="HRZ20" s="94"/>
      <c r="HSA20" s="94"/>
      <c r="HSB20" s="94"/>
      <c r="HSC20" s="94"/>
      <c r="HSD20" s="94"/>
      <c r="HSE20" s="94"/>
      <c r="HSF20" s="94"/>
      <c r="HSG20" s="94"/>
      <c r="HSH20" s="94"/>
      <c r="HSI20" s="94"/>
      <c r="HSJ20" s="94"/>
      <c r="HSK20" s="94"/>
      <c r="HSL20" s="94"/>
      <c r="HSM20" s="94"/>
      <c r="HSN20" s="94"/>
      <c r="HSO20" s="94"/>
      <c r="HSP20" s="94"/>
      <c r="HSQ20" s="94"/>
      <c r="HSR20" s="94"/>
      <c r="HSS20" s="94"/>
      <c r="HST20" s="94"/>
      <c r="HSU20" s="94"/>
      <c r="HSV20" s="94"/>
      <c r="HSW20" s="94"/>
      <c r="HSX20" s="94"/>
      <c r="HSY20" s="94"/>
      <c r="HSZ20" s="94"/>
      <c r="HTA20" s="94"/>
      <c r="HTB20" s="94"/>
      <c r="HTC20" s="94"/>
      <c r="HTD20" s="94"/>
      <c r="HTE20" s="94"/>
      <c r="HTF20" s="94"/>
      <c r="HTG20" s="94"/>
      <c r="HTH20" s="94"/>
      <c r="HTI20" s="94"/>
      <c r="HTJ20" s="94"/>
      <c r="HTK20" s="94"/>
      <c r="HTL20" s="94"/>
      <c r="HTM20" s="94"/>
      <c r="HTN20" s="94"/>
      <c r="HTO20" s="94"/>
      <c r="HTP20" s="94"/>
      <c r="HTQ20" s="94"/>
      <c r="HTR20" s="94"/>
      <c r="HTS20" s="94"/>
      <c r="HTT20" s="94"/>
      <c r="HTU20" s="94"/>
      <c r="HTV20" s="94"/>
      <c r="HTW20" s="94"/>
      <c r="HTX20" s="94"/>
      <c r="HTY20" s="94"/>
      <c r="HTZ20" s="94"/>
      <c r="HUA20" s="94"/>
      <c r="HUB20" s="94"/>
      <c r="HUC20" s="94"/>
      <c r="HUD20" s="94"/>
      <c r="HUE20" s="94"/>
      <c r="HUF20" s="94"/>
      <c r="HUG20" s="94"/>
      <c r="HUH20" s="94"/>
      <c r="HUI20" s="94"/>
      <c r="HUJ20" s="94"/>
      <c r="HUK20" s="94"/>
      <c r="HUL20" s="94"/>
      <c r="HUM20" s="94"/>
      <c r="HUN20" s="94"/>
      <c r="HUO20" s="94"/>
      <c r="HUP20" s="94"/>
      <c r="HUQ20" s="94"/>
      <c r="HUR20" s="94"/>
      <c r="HUS20" s="94"/>
      <c r="HUT20" s="94"/>
      <c r="HUU20" s="94"/>
      <c r="HUV20" s="94"/>
      <c r="HUW20" s="94"/>
      <c r="HUX20" s="94"/>
      <c r="HUY20" s="94"/>
      <c r="HUZ20" s="94"/>
      <c r="HVA20" s="94"/>
      <c r="HVB20" s="94"/>
      <c r="HVC20" s="94"/>
      <c r="HVD20" s="94"/>
      <c r="HVE20" s="94"/>
      <c r="HVF20" s="94"/>
      <c r="HVG20" s="94"/>
      <c r="HVH20" s="94"/>
      <c r="HVI20" s="94"/>
      <c r="HVJ20" s="94"/>
      <c r="HVK20" s="94"/>
      <c r="HVL20" s="94"/>
      <c r="HVM20" s="94"/>
      <c r="HVN20" s="94"/>
      <c r="HVO20" s="94"/>
      <c r="HVP20" s="94"/>
      <c r="HVQ20" s="94"/>
      <c r="HVR20" s="94"/>
      <c r="HVS20" s="94"/>
      <c r="HVT20" s="94"/>
      <c r="HVU20" s="94"/>
      <c r="HVV20" s="94"/>
      <c r="HVW20" s="94"/>
      <c r="HVX20" s="94"/>
      <c r="HVY20" s="94"/>
      <c r="HVZ20" s="94"/>
      <c r="HWA20" s="94"/>
      <c r="HWB20" s="94"/>
      <c r="HWC20" s="94"/>
      <c r="HWD20" s="94"/>
      <c r="HWE20" s="94"/>
      <c r="HWF20" s="94"/>
      <c r="HWG20" s="94"/>
      <c r="HWH20" s="94"/>
      <c r="HWI20" s="94"/>
      <c r="HWJ20" s="94"/>
      <c r="HWK20" s="94"/>
      <c r="HWL20" s="94"/>
      <c r="HWM20" s="94"/>
      <c r="HWN20" s="94"/>
      <c r="HWO20" s="94"/>
      <c r="HWP20" s="94"/>
      <c r="HWQ20" s="94"/>
      <c r="HWR20" s="94"/>
      <c r="HWS20" s="94"/>
      <c r="HWT20" s="94"/>
      <c r="HWU20" s="94"/>
      <c r="HWV20" s="94"/>
      <c r="HWW20" s="94"/>
      <c r="HWX20" s="94"/>
      <c r="HWY20" s="94"/>
      <c r="HWZ20" s="94"/>
      <c r="HXA20" s="94"/>
      <c r="HXB20" s="94"/>
      <c r="HXC20" s="94"/>
      <c r="HXD20" s="94"/>
      <c r="HXE20" s="94"/>
      <c r="HXF20" s="94"/>
      <c r="HXG20" s="94"/>
      <c r="HXH20" s="94"/>
      <c r="HXI20" s="94"/>
      <c r="HXJ20" s="94"/>
      <c r="HXK20" s="94"/>
      <c r="HXL20" s="94"/>
      <c r="HXM20" s="94"/>
      <c r="HXN20" s="94"/>
      <c r="HXO20" s="94"/>
      <c r="HXP20" s="94"/>
      <c r="HXQ20" s="94"/>
      <c r="HXR20" s="94"/>
      <c r="HXS20" s="94"/>
      <c r="HXT20" s="94"/>
      <c r="HXU20" s="94"/>
      <c r="HXV20" s="94"/>
      <c r="HXW20" s="94"/>
      <c r="HXX20" s="94"/>
      <c r="HXY20" s="94"/>
      <c r="HXZ20" s="94"/>
      <c r="HYA20" s="94"/>
      <c r="HYB20" s="94"/>
      <c r="HYC20" s="94"/>
      <c r="HYD20" s="94"/>
      <c r="HYE20" s="94"/>
      <c r="HYF20" s="94"/>
      <c r="HYG20" s="94"/>
      <c r="HYH20" s="94"/>
      <c r="HYI20" s="94"/>
      <c r="HYJ20" s="94"/>
      <c r="HYK20" s="94"/>
      <c r="HYL20" s="94"/>
      <c r="HYM20" s="94"/>
      <c r="HYN20" s="94"/>
      <c r="HYO20" s="94"/>
      <c r="HYP20" s="94"/>
      <c r="HYQ20" s="94"/>
      <c r="HYR20" s="94"/>
      <c r="HYS20" s="94"/>
      <c r="HYT20" s="94"/>
      <c r="HYU20" s="94"/>
      <c r="HYV20" s="94"/>
      <c r="HYW20" s="94"/>
      <c r="HYX20" s="94"/>
      <c r="HYY20" s="94"/>
      <c r="HYZ20" s="94"/>
      <c r="HZA20" s="94"/>
      <c r="HZB20" s="94"/>
      <c r="HZC20" s="94"/>
      <c r="HZD20" s="94"/>
      <c r="HZE20" s="94"/>
      <c r="HZF20" s="94"/>
      <c r="HZG20" s="94"/>
      <c r="HZH20" s="94"/>
      <c r="HZI20" s="94"/>
      <c r="HZJ20" s="94"/>
      <c r="HZK20" s="94"/>
      <c r="HZL20" s="94"/>
      <c r="HZM20" s="94"/>
      <c r="HZN20" s="94"/>
      <c r="HZO20" s="94"/>
      <c r="HZP20" s="94"/>
      <c r="HZQ20" s="94"/>
      <c r="HZR20" s="94"/>
      <c r="HZS20" s="94"/>
      <c r="HZT20" s="94"/>
      <c r="HZU20" s="94"/>
      <c r="HZV20" s="94"/>
      <c r="HZW20" s="94"/>
      <c r="HZX20" s="94"/>
      <c r="HZY20" s="94"/>
      <c r="HZZ20" s="94"/>
      <c r="IAA20" s="94"/>
      <c r="IAB20" s="94"/>
      <c r="IAC20" s="94"/>
      <c r="IAD20" s="94"/>
      <c r="IAE20" s="94"/>
      <c r="IAF20" s="94"/>
      <c r="IAG20" s="94"/>
      <c r="IAH20" s="94"/>
      <c r="IAI20" s="94"/>
      <c r="IAJ20" s="94"/>
      <c r="IAK20" s="94"/>
      <c r="IAL20" s="94"/>
      <c r="IAM20" s="94"/>
      <c r="IAN20" s="94"/>
      <c r="IAO20" s="94"/>
      <c r="IAP20" s="94"/>
      <c r="IAQ20" s="94"/>
      <c r="IAR20" s="94"/>
      <c r="IAS20" s="94"/>
      <c r="IAT20" s="94"/>
      <c r="IAU20" s="94"/>
      <c r="IAV20" s="94"/>
      <c r="IAW20" s="94"/>
      <c r="IAX20" s="94"/>
      <c r="IAY20" s="94"/>
      <c r="IAZ20" s="94"/>
      <c r="IBA20" s="94"/>
      <c r="IBB20" s="94"/>
      <c r="IBC20" s="94"/>
      <c r="IBD20" s="94"/>
      <c r="IBE20" s="94"/>
      <c r="IBF20" s="94"/>
      <c r="IBG20" s="94"/>
      <c r="IBH20" s="94"/>
      <c r="IBI20" s="94"/>
      <c r="IBJ20" s="94"/>
      <c r="IBK20" s="94"/>
      <c r="IBL20" s="94"/>
      <c r="IBM20" s="94"/>
      <c r="IBN20" s="94"/>
      <c r="IBO20" s="94"/>
      <c r="IBP20" s="94"/>
      <c r="IBQ20" s="94"/>
      <c r="IBR20" s="94"/>
      <c r="IBS20" s="94"/>
      <c r="IBT20" s="94"/>
      <c r="IBU20" s="94"/>
      <c r="IBV20" s="94"/>
      <c r="IBW20" s="94"/>
      <c r="IBX20" s="94"/>
      <c r="IBY20" s="94"/>
      <c r="IBZ20" s="94"/>
      <c r="ICA20" s="94"/>
      <c r="ICB20" s="94"/>
      <c r="ICC20" s="94"/>
      <c r="ICD20" s="94"/>
      <c r="ICE20" s="94"/>
      <c r="ICF20" s="94"/>
      <c r="ICG20" s="94"/>
      <c r="ICH20" s="94"/>
      <c r="ICI20" s="94"/>
      <c r="ICJ20" s="94"/>
      <c r="ICK20" s="94"/>
      <c r="ICL20" s="94"/>
      <c r="ICM20" s="94"/>
      <c r="ICN20" s="94"/>
      <c r="ICO20" s="94"/>
      <c r="ICP20" s="94"/>
      <c r="ICQ20" s="94"/>
      <c r="ICR20" s="94"/>
      <c r="ICS20" s="94"/>
      <c r="ICT20" s="94"/>
      <c r="ICU20" s="94"/>
      <c r="ICV20" s="94"/>
      <c r="ICW20" s="94"/>
      <c r="ICX20" s="94"/>
      <c r="ICY20" s="94"/>
      <c r="ICZ20" s="94"/>
      <c r="IDA20" s="94"/>
      <c r="IDB20" s="94"/>
      <c r="IDC20" s="94"/>
      <c r="IDD20" s="94"/>
      <c r="IDE20" s="94"/>
      <c r="IDF20" s="94"/>
      <c r="IDG20" s="94"/>
      <c r="IDH20" s="94"/>
      <c r="IDI20" s="94"/>
      <c r="IDJ20" s="94"/>
      <c r="IDK20" s="94"/>
      <c r="IDL20" s="94"/>
      <c r="IDM20" s="94"/>
      <c r="IDN20" s="94"/>
      <c r="IDO20" s="94"/>
      <c r="IDP20" s="94"/>
      <c r="IDQ20" s="94"/>
      <c r="IDR20" s="94"/>
      <c r="IDS20" s="94"/>
      <c r="IDT20" s="94"/>
      <c r="IDU20" s="94"/>
      <c r="IDV20" s="94"/>
      <c r="IDW20" s="94"/>
      <c r="IDX20" s="94"/>
      <c r="IDY20" s="94"/>
      <c r="IDZ20" s="94"/>
      <c r="IEA20" s="94"/>
      <c r="IEB20" s="94"/>
      <c r="IEC20" s="94"/>
      <c r="IED20" s="94"/>
      <c r="IEE20" s="94"/>
      <c r="IEF20" s="94"/>
      <c r="IEG20" s="94"/>
      <c r="IEH20" s="94"/>
      <c r="IEI20" s="94"/>
      <c r="IEJ20" s="94"/>
      <c r="IEK20" s="94"/>
      <c r="IEL20" s="94"/>
      <c r="IEM20" s="94"/>
      <c r="IEN20" s="94"/>
      <c r="IEO20" s="94"/>
      <c r="IEP20" s="94"/>
      <c r="IEQ20" s="94"/>
      <c r="IER20" s="94"/>
      <c r="IES20" s="94"/>
      <c r="IET20" s="94"/>
      <c r="IEU20" s="94"/>
      <c r="IEV20" s="94"/>
      <c r="IEW20" s="94"/>
      <c r="IEX20" s="94"/>
      <c r="IEY20" s="94"/>
      <c r="IEZ20" s="94"/>
      <c r="IFA20" s="94"/>
      <c r="IFB20" s="94"/>
      <c r="IFC20" s="94"/>
      <c r="IFD20" s="94"/>
      <c r="IFE20" s="94"/>
      <c r="IFF20" s="94"/>
      <c r="IFG20" s="94"/>
      <c r="IFH20" s="94"/>
      <c r="IFI20" s="94"/>
      <c r="IFJ20" s="94"/>
      <c r="IFK20" s="94"/>
      <c r="IFL20" s="94"/>
      <c r="IFM20" s="94"/>
      <c r="IFN20" s="94"/>
      <c r="IFO20" s="94"/>
      <c r="IFP20" s="94"/>
      <c r="IFQ20" s="94"/>
      <c r="IFR20" s="94"/>
      <c r="IFS20" s="94"/>
      <c r="IFT20" s="94"/>
      <c r="IFU20" s="94"/>
      <c r="IFV20" s="94"/>
      <c r="IFW20" s="94"/>
      <c r="IFX20" s="94"/>
      <c r="IFY20" s="94"/>
      <c r="IFZ20" s="94"/>
      <c r="IGA20" s="94"/>
      <c r="IGB20" s="94"/>
      <c r="IGC20" s="94"/>
      <c r="IGD20" s="94"/>
      <c r="IGE20" s="94"/>
      <c r="IGF20" s="94"/>
      <c r="IGG20" s="94"/>
      <c r="IGH20" s="94"/>
      <c r="IGI20" s="94"/>
      <c r="IGJ20" s="94"/>
      <c r="IGK20" s="94"/>
      <c r="IGL20" s="94"/>
      <c r="IGM20" s="94"/>
      <c r="IGN20" s="94"/>
      <c r="IGO20" s="94"/>
      <c r="IGP20" s="94"/>
      <c r="IGQ20" s="94"/>
      <c r="IGR20" s="94"/>
      <c r="IGS20" s="94"/>
      <c r="IGT20" s="94"/>
      <c r="IGU20" s="94"/>
      <c r="IGV20" s="94"/>
      <c r="IGW20" s="94"/>
      <c r="IGX20" s="94"/>
      <c r="IGY20" s="94"/>
      <c r="IGZ20" s="94"/>
      <c r="IHA20" s="94"/>
      <c r="IHB20" s="94"/>
      <c r="IHC20" s="94"/>
      <c r="IHD20" s="94"/>
      <c r="IHE20" s="94"/>
      <c r="IHF20" s="94"/>
      <c r="IHG20" s="94"/>
      <c r="IHH20" s="94"/>
      <c r="IHI20" s="94"/>
      <c r="IHJ20" s="94"/>
      <c r="IHK20" s="94"/>
      <c r="IHL20" s="94"/>
      <c r="IHM20" s="94"/>
      <c r="IHN20" s="94"/>
      <c r="IHO20" s="94"/>
      <c r="IHP20" s="94"/>
      <c r="IHQ20" s="94"/>
      <c r="IHR20" s="94"/>
      <c r="IHS20" s="94"/>
      <c r="IHT20" s="94"/>
      <c r="IHU20" s="94"/>
      <c r="IHV20" s="94"/>
      <c r="IHW20" s="94"/>
      <c r="IHX20" s="94"/>
      <c r="IHY20" s="94"/>
      <c r="IHZ20" s="94"/>
      <c r="IIA20" s="94"/>
      <c r="IIB20" s="94"/>
      <c r="IIC20" s="94"/>
      <c r="IID20" s="94"/>
      <c r="IIE20" s="94"/>
      <c r="IIF20" s="94"/>
      <c r="IIG20" s="94"/>
      <c r="IIH20" s="94"/>
      <c r="III20" s="94"/>
      <c r="IIJ20" s="94"/>
      <c r="IIK20" s="94"/>
      <c r="IIL20" s="94"/>
      <c r="IIM20" s="94"/>
      <c r="IIN20" s="94"/>
      <c r="IIO20" s="94"/>
      <c r="IIP20" s="94"/>
      <c r="IIQ20" s="94"/>
      <c r="IIR20" s="94"/>
      <c r="IIS20" s="94"/>
      <c r="IIT20" s="94"/>
      <c r="IIU20" s="94"/>
      <c r="IIV20" s="94"/>
      <c r="IIW20" s="94"/>
      <c r="IIX20" s="94"/>
      <c r="IIY20" s="94"/>
      <c r="IIZ20" s="94"/>
      <c r="IJA20" s="94"/>
      <c r="IJB20" s="94"/>
      <c r="IJC20" s="94"/>
      <c r="IJD20" s="94"/>
      <c r="IJE20" s="94"/>
      <c r="IJF20" s="94"/>
      <c r="IJG20" s="94"/>
      <c r="IJH20" s="94"/>
      <c r="IJI20" s="94"/>
      <c r="IJJ20" s="94"/>
      <c r="IJK20" s="94"/>
      <c r="IJL20" s="94"/>
      <c r="IJM20" s="94"/>
      <c r="IJN20" s="94"/>
      <c r="IJO20" s="94"/>
      <c r="IJP20" s="94"/>
      <c r="IJQ20" s="94"/>
      <c r="IJR20" s="94"/>
      <c r="IJS20" s="94"/>
      <c r="IJT20" s="94"/>
      <c r="IJU20" s="94"/>
      <c r="IJV20" s="94"/>
      <c r="IJW20" s="94"/>
      <c r="IJX20" s="94"/>
      <c r="IJY20" s="94"/>
      <c r="IJZ20" s="94"/>
      <c r="IKA20" s="94"/>
      <c r="IKB20" s="94"/>
      <c r="IKC20" s="94"/>
      <c r="IKD20" s="94"/>
      <c r="IKE20" s="94"/>
      <c r="IKF20" s="94"/>
      <c r="IKG20" s="94"/>
      <c r="IKH20" s="94"/>
      <c r="IKI20" s="94"/>
      <c r="IKJ20" s="94"/>
      <c r="IKK20" s="94"/>
      <c r="IKL20" s="94"/>
      <c r="IKM20" s="94"/>
      <c r="IKN20" s="94"/>
      <c r="IKO20" s="94"/>
      <c r="IKP20" s="94"/>
      <c r="IKQ20" s="94"/>
      <c r="IKR20" s="94"/>
      <c r="IKS20" s="94"/>
      <c r="IKT20" s="94"/>
      <c r="IKU20" s="94"/>
      <c r="IKV20" s="94"/>
      <c r="IKW20" s="94"/>
      <c r="IKX20" s="94"/>
      <c r="IKY20" s="94"/>
      <c r="IKZ20" s="94"/>
      <c r="ILA20" s="94"/>
      <c r="ILB20" s="94"/>
      <c r="ILC20" s="94"/>
      <c r="ILD20" s="94"/>
      <c r="ILE20" s="94"/>
      <c r="ILF20" s="94"/>
      <c r="ILG20" s="94"/>
      <c r="ILH20" s="94"/>
      <c r="ILI20" s="94"/>
      <c r="ILJ20" s="94"/>
      <c r="ILK20" s="94"/>
      <c r="ILL20" s="94"/>
      <c r="ILM20" s="94"/>
      <c r="ILN20" s="94"/>
      <c r="ILO20" s="94"/>
      <c r="ILP20" s="94"/>
      <c r="ILQ20" s="94"/>
      <c r="ILR20" s="94"/>
      <c r="ILS20" s="94"/>
      <c r="ILT20" s="94"/>
      <c r="ILU20" s="94"/>
      <c r="ILV20" s="94"/>
      <c r="ILW20" s="94"/>
      <c r="ILX20" s="94"/>
      <c r="ILY20" s="94"/>
      <c r="ILZ20" s="94"/>
      <c r="IMA20" s="94"/>
      <c r="IMB20" s="94"/>
      <c r="IMC20" s="94"/>
      <c r="IMD20" s="94"/>
      <c r="IME20" s="94"/>
      <c r="IMF20" s="94"/>
      <c r="IMG20" s="94"/>
      <c r="IMH20" s="94"/>
      <c r="IMI20" s="94"/>
      <c r="IMJ20" s="94"/>
      <c r="IMK20" s="94"/>
      <c r="IML20" s="94"/>
      <c r="IMM20" s="94"/>
      <c r="IMN20" s="94"/>
      <c r="IMO20" s="94"/>
      <c r="IMP20" s="94"/>
      <c r="IMQ20" s="94"/>
      <c r="IMR20" s="94"/>
      <c r="IMS20" s="94"/>
      <c r="IMT20" s="94"/>
      <c r="IMU20" s="94"/>
      <c r="IMV20" s="94"/>
      <c r="IMW20" s="94"/>
      <c r="IMX20" s="94"/>
      <c r="IMY20" s="94"/>
      <c r="IMZ20" s="94"/>
      <c r="INA20" s="94"/>
      <c r="INB20" s="94"/>
      <c r="INC20" s="94"/>
      <c r="IND20" s="94"/>
      <c r="INE20" s="94"/>
      <c r="INF20" s="94"/>
      <c r="ING20" s="94"/>
      <c r="INH20" s="94"/>
      <c r="INI20" s="94"/>
      <c r="INJ20" s="94"/>
      <c r="INK20" s="94"/>
      <c r="INL20" s="94"/>
      <c r="INM20" s="94"/>
      <c r="INN20" s="94"/>
      <c r="INO20" s="94"/>
      <c r="INP20" s="94"/>
      <c r="INQ20" s="94"/>
      <c r="INR20" s="94"/>
      <c r="INS20" s="94"/>
      <c r="INT20" s="94"/>
      <c r="INU20" s="94"/>
      <c r="INV20" s="94"/>
      <c r="INW20" s="94"/>
      <c r="INX20" s="94"/>
      <c r="INY20" s="94"/>
      <c r="INZ20" s="94"/>
      <c r="IOA20" s="94"/>
      <c r="IOB20" s="94"/>
      <c r="IOC20" s="94"/>
      <c r="IOD20" s="94"/>
      <c r="IOE20" s="94"/>
      <c r="IOF20" s="94"/>
      <c r="IOG20" s="94"/>
      <c r="IOH20" s="94"/>
      <c r="IOI20" s="94"/>
      <c r="IOJ20" s="94"/>
      <c r="IOK20" s="94"/>
      <c r="IOL20" s="94"/>
      <c r="IOM20" s="94"/>
      <c r="ION20" s="94"/>
      <c r="IOO20" s="94"/>
      <c r="IOP20" s="94"/>
      <c r="IOQ20" s="94"/>
      <c r="IOR20" s="94"/>
      <c r="IOS20" s="94"/>
      <c r="IOT20" s="94"/>
      <c r="IOU20" s="94"/>
      <c r="IOV20" s="94"/>
      <c r="IOW20" s="94"/>
      <c r="IOX20" s="94"/>
      <c r="IOY20" s="94"/>
      <c r="IOZ20" s="94"/>
      <c r="IPA20" s="94"/>
      <c r="IPB20" s="94"/>
      <c r="IPC20" s="94"/>
      <c r="IPD20" s="94"/>
      <c r="IPE20" s="94"/>
      <c r="IPF20" s="94"/>
      <c r="IPG20" s="94"/>
      <c r="IPH20" s="94"/>
      <c r="IPI20" s="94"/>
      <c r="IPJ20" s="94"/>
      <c r="IPK20" s="94"/>
      <c r="IPL20" s="94"/>
      <c r="IPM20" s="94"/>
      <c r="IPN20" s="94"/>
      <c r="IPO20" s="94"/>
      <c r="IPP20" s="94"/>
      <c r="IPQ20" s="94"/>
      <c r="IPR20" s="94"/>
      <c r="IPS20" s="94"/>
      <c r="IPT20" s="94"/>
      <c r="IPU20" s="94"/>
      <c r="IPV20" s="94"/>
      <c r="IPW20" s="94"/>
      <c r="IPX20" s="94"/>
      <c r="IPY20" s="94"/>
      <c r="IPZ20" s="94"/>
      <c r="IQA20" s="94"/>
      <c r="IQB20" s="94"/>
      <c r="IQC20" s="94"/>
      <c r="IQD20" s="94"/>
      <c r="IQE20" s="94"/>
      <c r="IQF20" s="94"/>
      <c r="IQG20" s="94"/>
      <c r="IQH20" s="94"/>
      <c r="IQI20" s="94"/>
      <c r="IQJ20" s="94"/>
      <c r="IQK20" s="94"/>
      <c r="IQL20" s="94"/>
      <c r="IQM20" s="94"/>
      <c r="IQN20" s="94"/>
      <c r="IQO20" s="94"/>
      <c r="IQP20" s="94"/>
      <c r="IQQ20" s="94"/>
      <c r="IQR20" s="94"/>
      <c r="IQS20" s="94"/>
      <c r="IQT20" s="94"/>
      <c r="IQU20" s="94"/>
      <c r="IQV20" s="94"/>
      <c r="IQW20" s="94"/>
      <c r="IQX20" s="94"/>
      <c r="IQY20" s="94"/>
      <c r="IQZ20" s="94"/>
      <c r="IRA20" s="94"/>
      <c r="IRB20" s="94"/>
      <c r="IRC20" s="94"/>
      <c r="IRD20" s="94"/>
      <c r="IRE20" s="94"/>
      <c r="IRF20" s="94"/>
      <c r="IRG20" s="94"/>
      <c r="IRH20" s="94"/>
      <c r="IRI20" s="94"/>
      <c r="IRJ20" s="94"/>
      <c r="IRK20" s="94"/>
      <c r="IRL20" s="94"/>
      <c r="IRM20" s="94"/>
      <c r="IRN20" s="94"/>
      <c r="IRO20" s="94"/>
      <c r="IRP20" s="94"/>
      <c r="IRQ20" s="94"/>
      <c r="IRR20" s="94"/>
      <c r="IRS20" s="94"/>
      <c r="IRT20" s="94"/>
      <c r="IRU20" s="94"/>
      <c r="IRV20" s="94"/>
      <c r="IRW20" s="94"/>
      <c r="IRX20" s="94"/>
      <c r="IRY20" s="94"/>
      <c r="IRZ20" s="94"/>
      <c r="ISA20" s="94"/>
      <c r="ISB20" s="94"/>
      <c r="ISC20" s="94"/>
      <c r="ISD20" s="94"/>
      <c r="ISE20" s="94"/>
      <c r="ISF20" s="94"/>
      <c r="ISG20" s="94"/>
      <c r="ISH20" s="94"/>
      <c r="ISI20" s="94"/>
      <c r="ISJ20" s="94"/>
      <c r="ISK20" s="94"/>
      <c r="ISL20" s="94"/>
      <c r="ISM20" s="94"/>
      <c r="ISN20" s="94"/>
      <c r="ISO20" s="94"/>
      <c r="ISP20" s="94"/>
      <c r="ISQ20" s="94"/>
      <c r="ISR20" s="94"/>
      <c r="ISS20" s="94"/>
      <c r="IST20" s="94"/>
      <c r="ISU20" s="94"/>
      <c r="ISV20" s="94"/>
      <c r="ISW20" s="94"/>
      <c r="ISX20" s="94"/>
      <c r="ISY20" s="94"/>
      <c r="ISZ20" s="94"/>
      <c r="ITA20" s="94"/>
      <c r="ITB20" s="94"/>
      <c r="ITC20" s="94"/>
      <c r="ITD20" s="94"/>
      <c r="ITE20" s="94"/>
      <c r="ITF20" s="94"/>
      <c r="ITG20" s="94"/>
      <c r="ITH20" s="94"/>
      <c r="ITI20" s="94"/>
      <c r="ITJ20" s="94"/>
      <c r="ITK20" s="94"/>
      <c r="ITL20" s="94"/>
      <c r="ITM20" s="94"/>
      <c r="ITN20" s="94"/>
      <c r="ITO20" s="94"/>
      <c r="ITP20" s="94"/>
      <c r="ITQ20" s="94"/>
      <c r="ITR20" s="94"/>
      <c r="ITS20" s="94"/>
      <c r="ITT20" s="94"/>
      <c r="ITU20" s="94"/>
      <c r="ITV20" s="94"/>
      <c r="ITW20" s="94"/>
      <c r="ITX20" s="94"/>
      <c r="ITY20" s="94"/>
      <c r="ITZ20" s="94"/>
      <c r="IUA20" s="94"/>
      <c r="IUB20" s="94"/>
      <c r="IUC20" s="94"/>
      <c r="IUD20" s="94"/>
      <c r="IUE20" s="94"/>
      <c r="IUF20" s="94"/>
      <c r="IUG20" s="94"/>
      <c r="IUH20" s="94"/>
      <c r="IUI20" s="94"/>
      <c r="IUJ20" s="94"/>
      <c r="IUK20" s="94"/>
      <c r="IUL20" s="94"/>
      <c r="IUM20" s="94"/>
      <c r="IUN20" s="94"/>
      <c r="IUO20" s="94"/>
      <c r="IUP20" s="94"/>
      <c r="IUQ20" s="94"/>
      <c r="IUR20" s="94"/>
      <c r="IUS20" s="94"/>
      <c r="IUT20" s="94"/>
      <c r="IUU20" s="94"/>
      <c r="IUV20" s="94"/>
      <c r="IUW20" s="94"/>
      <c r="IUX20" s="94"/>
      <c r="IUY20" s="94"/>
      <c r="IUZ20" s="94"/>
      <c r="IVA20" s="94"/>
      <c r="IVB20" s="94"/>
      <c r="IVC20" s="94"/>
      <c r="IVD20" s="94"/>
      <c r="IVE20" s="94"/>
      <c r="IVF20" s="94"/>
      <c r="IVG20" s="94"/>
      <c r="IVH20" s="94"/>
      <c r="IVI20" s="94"/>
      <c r="IVJ20" s="94"/>
      <c r="IVK20" s="94"/>
      <c r="IVL20" s="94"/>
      <c r="IVM20" s="94"/>
      <c r="IVN20" s="94"/>
      <c r="IVO20" s="94"/>
      <c r="IVP20" s="94"/>
      <c r="IVQ20" s="94"/>
      <c r="IVR20" s="94"/>
      <c r="IVS20" s="94"/>
      <c r="IVT20" s="94"/>
      <c r="IVU20" s="94"/>
      <c r="IVV20" s="94"/>
      <c r="IVW20" s="94"/>
      <c r="IVX20" s="94"/>
      <c r="IVY20" s="94"/>
      <c r="IVZ20" s="94"/>
      <c r="IWA20" s="94"/>
      <c r="IWB20" s="94"/>
      <c r="IWC20" s="94"/>
      <c r="IWD20" s="94"/>
      <c r="IWE20" s="94"/>
      <c r="IWF20" s="94"/>
      <c r="IWG20" s="94"/>
      <c r="IWH20" s="94"/>
      <c r="IWI20" s="94"/>
      <c r="IWJ20" s="94"/>
      <c r="IWK20" s="94"/>
      <c r="IWL20" s="94"/>
      <c r="IWM20" s="94"/>
      <c r="IWN20" s="94"/>
      <c r="IWO20" s="94"/>
      <c r="IWP20" s="94"/>
      <c r="IWQ20" s="94"/>
      <c r="IWR20" s="94"/>
      <c r="IWS20" s="94"/>
      <c r="IWT20" s="94"/>
      <c r="IWU20" s="94"/>
      <c r="IWV20" s="94"/>
      <c r="IWW20" s="94"/>
      <c r="IWX20" s="94"/>
      <c r="IWY20" s="94"/>
      <c r="IWZ20" s="94"/>
      <c r="IXA20" s="94"/>
      <c r="IXB20" s="94"/>
      <c r="IXC20" s="94"/>
      <c r="IXD20" s="94"/>
      <c r="IXE20" s="94"/>
      <c r="IXF20" s="94"/>
      <c r="IXG20" s="94"/>
      <c r="IXH20" s="94"/>
      <c r="IXI20" s="94"/>
      <c r="IXJ20" s="94"/>
      <c r="IXK20" s="94"/>
      <c r="IXL20" s="94"/>
      <c r="IXM20" s="94"/>
      <c r="IXN20" s="94"/>
      <c r="IXO20" s="94"/>
      <c r="IXP20" s="94"/>
      <c r="IXQ20" s="94"/>
      <c r="IXR20" s="94"/>
      <c r="IXS20" s="94"/>
      <c r="IXT20" s="94"/>
      <c r="IXU20" s="94"/>
      <c r="IXV20" s="94"/>
      <c r="IXW20" s="94"/>
      <c r="IXX20" s="94"/>
      <c r="IXY20" s="94"/>
      <c r="IXZ20" s="94"/>
      <c r="IYA20" s="94"/>
      <c r="IYB20" s="94"/>
      <c r="IYC20" s="94"/>
      <c r="IYD20" s="94"/>
      <c r="IYE20" s="94"/>
      <c r="IYF20" s="94"/>
      <c r="IYG20" s="94"/>
      <c r="IYH20" s="94"/>
      <c r="IYI20" s="94"/>
      <c r="IYJ20" s="94"/>
      <c r="IYK20" s="94"/>
      <c r="IYL20" s="94"/>
      <c r="IYM20" s="94"/>
      <c r="IYN20" s="94"/>
      <c r="IYO20" s="94"/>
      <c r="IYP20" s="94"/>
      <c r="IYQ20" s="94"/>
      <c r="IYR20" s="94"/>
      <c r="IYS20" s="94"/>
      <c r="IYT20" s="94"/>
      <c r="IYU20" s="94"/>
      <c r="IYV20" s="94"/>
      <c r="IYW20" s="94"/>
      <c r="IYX20" s="94"/>
      <c r="IYY20" s="94"/>
      <c r="IYZ20" s="94"/>
      <c r="IZA20" s="94"/>
      <c r="IZB20" s="94"/>
      <c r="IZC20" s="94"/>
      <c r="IZD20" s="94"/>
      <c r="IZE20" s="94"/>
      <c r="IZF20" s="94"/>
      <c r="IZG20" s="94"/>
      <c r="IZH20" s="94"/>
      <c r="IZI20" s="94"/>
      <c r="IZJ20" s="94"/>
      <c r="IZK20" s="94"/>
      <c r="IZL20" s="94"/>
      <c r="IZM20" s="94"/>
      <c r="IZN20" s="94"/>
      <c r="IZO20" s="94"/>
      <c r="IZP20" s="94"/>
      <c r="IZQ20" s="94"/>
      <c r="IZR20" s="94"/>
      <c r="IZS20" s="94"/>
      <c r="IZT20" s="94"/>
      <c r="IZU20" s="94"/>
      <c r="IZV20" s="94"/>
      <c r="IZW20" s="94"/>
      <c r="IZX20" s="94"/>
      <c r="IZY20" s="94"/>
      <c r="IZZ20" s="94"/>
      <c r="JAA20" s="94"/>
      <c r="JAB20" s="94"/>
      <c r="JAC20" s="94"/>
      <c r="JAD20" s="94"/>
      <c r="JAE20" s="94"/>
      <c r="JAF20" s="94"/>
      <c r="JAG20" s="94"/>
      <c r="JAH20" s="94"/>
      <c r="JAI20" s="94"/>
      <c r="JAJ20" s="94"/>
      <c r="JAK20" s="94"/>
      <c r="JAL20" s="94"/>
      <c r="JAM20" s="94"/>
      <c r="JAN20" s="94"/>
      <c r="JAO20" s="94"/>
      <c r="JAP20" s="94"/>
      <c r="JAQ20" s="94"/>
      <c r="JAR20" s="94"/>
      <c r="JAS20" s="94"/>
      <c r="JAT20" s="94"/>
      <c r="JAU20" s="94"/>
      <c r="JAV20" s="94"/>
      <c r="JAW20" s="94"/>
      <c r="JAX20" s="94"/>
      <c r="JAY20" s="94"/>
      <c r="JAZ20" s="94"/>
      <c r="JBA20" s="94"/>
      <c r="JBB20" s="94"/>
      <c r="JBC20" s="94"/>
      <c r="JBD20" s="94"/>
      <c r="JBE20" s="94"/>
      <c r="JBF20" s="94"/>
      <c r="JBG20" s="94"/>
      <c r="JBH20" s="94"/>
      <c r="JBI20" s="94"/>
      <c r="JBJ20" s="94"/>
      <c r="JBK20" s="94"/>
      <c r="JBL20" s="94"/>
      <c r="JBM20" s="94"/>
      <c r="JBN20" s="94"/>
      <c r="JBO20" s="94"/>
      <c r="JBP20" s="94"/>
      <c r="JBQ20" s="94"/>
      <c r="JBR20" s="94"/>
      <c r="JBS20" s="94"/>
      <c r="JBT20" s="94"/>
      <c r="JBU20" s="94"/>
      <c r="JBV20" s="94"/>
      <c r="JBW20" s="94"/>
      <c r="JBX20" s="94"/>
      <c r="JBY20" s="94"/>
      <c r="JBZ20" s="94"/>
      <c r="JCA20" s="94"/>
      <c r="JCB20" s="94"/>
      <c r="JCC20" s="94"/>
      <c r="JCD20" s="94"/>
      <c r="JCE20" s="94"/>
      <c r="JCF20" s="94"/>
      <c r="JCG20" s="94"/>
      <c r="JCH20" s="94"/>
      <c r="JCI20" s="94"/>
      <c r="JCJ20" s="94"/>
      <c r="JCK20" s="94"/>
      <c r="JCL20" s="94"/>
      <c r="JCM20" s="94"/>
      <c r="JCN20" s="94"/>
      <c r="JCO20" s="94"/>
      <c r="JCP20" s="94"/>
      <c r="JCQ20" s="94"/>
      <c r="JCR20" s="94"/>
      <c r="JCS20" s="94"/>
      <c r="JCT20" s="94"/>
      <c r="JCU20" s="94"/>
      <c r="JCV20" s="94"/>
      <c r="JCW20" s="94"/>
      <c r="JCX20" s="94"/>
      <c r="JCY20" s="94"/>
      <c r="JCZ20" s="94"/>
      <c r="JDA20" s="94"/>
      <c r="JDB20" s="94"/>
      <c r="JDC20" s="94"/>
      <c r="JDD20" s="94"/>
      <c r="JDE20" s="94"/>
      <c r="JDF20" s="94"/>
      <c r="JDG20" s="94"/>
      <c r="JDH20" s="94"/>
      <c r="JDI20" s="94"/>
      <c r="JDJ20" s="94"/>
      <c r="JDK20" s="94"/>
      <c r="JDL20" s="94"/>
      <c r="JDM20" s="94"/>
      <c r="JDN20" s="94"/>
      <c r="JDO20" s="94"/>
      <c r="JDP20" s="94"/>
      <c r="JDQ20" s="94"/>
      <c r="JDR20" s="94"/>
      <c r="JDS20" s="94"/>
      <c r="JDT20" s="94"/>
      <c r="JDU20" s="94"/>
      <c r="JDV20" s="94"/>
      <c r="JDW20" s="94"/>
      <c r="JDX20" s="94"/>
      <c r="JDY20" s="94"/>
      <c r="JDZ20" s="94"/>
      <c r="JEA20" s="94"/>
      <c r="JEB20" s="94"/>
      <c r="JEC20" s="94"/>
      <c r="JED20" s="94"/>
      <c r="JEE20" s="94"/>
      <c r="JEF20" s="94"/>
      <c r="JEG20" s="94"/>
      <c r="JEH20" s="94"/>
      <c r="JEI20" s="94"/>
      <c r="JEJ20" s="94"/>
      <c r="JEK20" s="94"/>
      <c r="JEL20" s="94"/>
      <c r="JEM20" s="94"/>
      <c r="JEN20" s="94"/>
      <c r="JEO20" s="94"/>
      <c r="JEP20" s="94"/>
      <c r="JEQ20" s="94"/>
      <c r="JER20" s="94"/>
      <c r="JES20" s="94"/>
      <c r="JET20" s="94"/>
      <c r="JEU20" s="94"/>
      <c r="JEV20" s="94"/>
      <c r="JEW20" s="94"/>
      <c r="JEX20" s="94"/>
      <c r="JEY20" s="94"/>
      <c r="JEZ20" s="94"/>
      <c r="JFA20" s="94"/>
      <c r="JFB20" s="94"/>
      <c r="JFC20" s="94"/>
      <c r="JFD20" s="94"/>
      <c r="JFE20" s="94"/>
      <c r="JFF20" s="94"/>
      <c r="JFG20" s="94"/>
      <c r="JFH20" s="94"/>
      <c r="JFI20" s="94"/>
      <c r="JFJ20" s="94"/>
      <c r="JFK20" s="94"/>
      <c r="JFL20" s="94"/>
      <c r="JFM20" s="94"/>
      <c r="JFN20" s="94"/>
      <c r="JFO20" s="94"/>
      <c r="JFP20" s="94"/>
      <c r="JFQ20" s="94"/>
      <c r="JFR20" s="94"/>
      <c r="JFS20" s="94"/>
      <c r="JFT20" s="94"/>
      <c r="JFU20" s="94"/>
      <c r="JFV20" s="94"/>
      <c r="JFW20" s="94"/>
      <c r="JFX20" s="94"/>
      <c r="JFY20" s="94"/>
      <c r="JFZ20" s="94"/>
      <c r="JGA20" s="94"/>
      <c r="JGB20" s="94"/>
      <c r="JGC20" s="94"/>
      <c r="JGD20" s="94"/>
      <c r="JGE20" s="94"/>
      <c r="JGF20" s="94"/>
      <c r="JGG20" s="94"/>
      <c r="JGH20" s="94"/>
      <c r="JGI20" s="94"/>
      <c r="JGJ20" s="94"/>
      <c r="JGK20" s="94"/>
      <c r="JGL20" s="94"/>
      <c r="JGM20" s="94"/>
      <c r="JGN20" s="94"/>
      <c r="JGO20" s="94"/>
      <c r="JGP20" s="94"/>
      <c r="JGQ20" s="94"/>
      <c r="JGR20" s="94"/>
      <c r="JGS20" s="94"/>
      <c r="JGT20" s="94"/>
      <c r="JGU20" s="94"/>
      <c r="JGV20" s="94"/>
      <c r="JGW20" s="94"/>
      <c r="JGX20" s="94"/>
      <c r="JGY20" s="94"/>
      <c r="JGZ20" s="94"/>
      <c r="JHA20" s="94"/>
      <c r="JHB20" s="94"/>
      <c r="JHC20" s="94"/>
      <c r="JHD20" s="94"/>
      <c r="JHE20" s="94"/>
      <c r="JHF20" s="94"/>
      <c r="JHG20" s="94"/>
      <c r="JHH20" s="94"/>
      <c r="JHI20" s="94"/>
      <c r="JHJ20" s="94"/>
      <c r="JHK20" s="94"/>
      <c r="JHL20" s="94"/>
      <c r="JHM20" s="94"/>
      <c r="JHN20" s="94"/>
      <c r="JHO20" s="94"/>
      <c r="JHP20" s="94"/>
      <c r="JHQ20" s="94"/>
      <c r="JHR20" s="94"/>
      <c r="JHS20" s="94"/>
      <c r="JHT20" s="94"/>
      <c r="JHU20" s="94"/>
      <c r="JHV20" s="94"/>
      <c r="JHW20" s="94"/>
      <c r="JHX20" s="94"/>
      <c r="JHY20" s="94"/>
      <c r="JHZ20" s="94"/>
      <c r="JIA20" s="94"/>
      <c r="JIB20" s="94"/>
      <c r="JIC20" s="94"/>
      <c r="JID20" s="94"/>
      <c r="JIE20" s="94"/>
      <c r="JIF20" s="94"/>
      <c r="JIG20" s="94"/>
      <c r="JIH20" s="94"/>
      <c r="JII20" s="94"/>
      <c r="JIJ20" s="94"/>
      <c r="JIK20" s="94"/>
      <c r="JIL20" s="94"/>
      <c r="JIM20" s="94"/>
      <c r="JIN20" s="94"/>
      <c r="JIO20" s="94"/>
      <c r="JIP20" s="94"/>
      <c r="JIQ20" s="94"/>
      <c r="JIR20" s="94"/>
      <c r="JIS20" s="94"/>
      <c r="JIT20" s="94"/>
      <c r="JIU20" s="94"/>
      <c r="JIV20" s="94"/>
      <c r="JIW20" s="94"/>
      <c r="JIX20" s="94"/>
      <c r="JIY20" s="94"/>
      <c r="JIZ20" s="94"/>
      <c r="JJA20" s="94"/>
      <c r="JJB20" s="94"/>
      <c r="JJC20" s="94"/>
      <c r="JJD20" s="94"/>
      <c r="JJE20" s="94"/>
      <c r="JJF20" s="94"/>
      <c r="JJG20" s="94"/>
      <c r="JJH20" s="94"/>
      <c r="JJI20" s="94"/>
      <c r="JJJ20" s="94"/>
      <c r="JJK20" s="94"/>
      <c r="JJL20" s="94"/>
      <c r="JJM20" s="94"/>
      <c r="JJN20" s="94"/>
      <c r="JJO20" s="94"/>
      <c r="JJP20" s="94"/>
      <c r="JJQ20" s="94"/>
      <c r="JJR20" s="94"/>
      <c r="JJS20" s="94"/>
      <c r="JJT20" s="94"/>
      <c r="JJU20" s="94"/>
      <c r="JJV20" s="94"/>
      <c r="JJW20" s="94"/>
      <c r="JJX20" s="94"/>
      <c r="JJY20" s="94"/>
      <c r="JJZ20" s="94"/>
      <c r="JKA20" s="94"/>
      <c r="JKB20" s="94"/>
      <c r="JKC20" s="94"/>
      <c r="JKD20" s="94"/>
      <c r="JKE20" s="94"/>
      <c r="JKF20" s="94"/>
      <c r="JKG20" s="94"/>
      <c r="JKH20" s="94"/>
      <c r="JKI20" s="94"/>
      <c r="JKJ20" s="94"/>
      <c r="JKK20" s="94"/>
      <c r="JKL20" s="94"/>
      <c r="JKM20" s="94"/>
      <c r="JKN20" s="94"/>
      <c r="JKO20" s="94"/>
      <c r="JKP20" s="94"/>
      <c r="JKQ20" s="94"/>
      <c r="JKR20" s="94"/>
      <c r="JKS20" s="94"/>
      <c r="JKT20" s="94"/>
      <c r="JKU20" s="94"/>
      <c r="JKV20" s="94"/>
      <c r="JKW20" s="94"/>
      <c r="JKX20" s="94"/>
      <c r="JKY20" s="94"/>
      <c r="JKZ20" s="94"/>
      <c r="JLA20" s="94"/>
      <c r="JLB20" s="94"/>
      <c r="JLC20" s="94"/>
      <c r="JLD20" s="94"/>
      <c r="JLE20" s="94"/>
      <c r="JLF20" s="94"/>
      <c r="JLG20" s="94"/>
      <c r="JLH20" s="94"/>
      <c r="JLI20" s="94"/>
      <c r="JLJ20" s="94"/>
      <c r="JLK20" s="94"/>
      <c r="JLL20" s="94"/>
      <c r="JLM20" s="94"/>
      <c r="JLN20" s="94"/>
      <c r="JLO20" s="94"/>
      <c r="JLP20" s="94"/>
      <c r="JLQ20" s="94"/>
      <c r="JLR20" s="94"/>
      <c r="JLS20" s="94"/>
      <c r="JLT20" s="94"/>
      <c r="JLU20" s="94"/>
      <c r="JLV20" s="94"/>
      <c r="JLW20" s="94"/>
      <c r="JLX20" s="94"/>
      <c r="JLY20" s="94"/>
      <c r="JLZ20" s="94"/>
      <c r="JMA20" s="94"/>
      <c r="JMB20" s="94"/>
      <c r="JMC20" s="94"/>
      <c r="JMD20" s="94"/>
      <c r="JME20" s="94"/>
      <c r="JMF20" s="94"/>
      <c r="JMG20" s="94"/>
      <c r="JMH20" s="94"/>
      <c r="JMI20" s="94"/>
      <c r="JMJ20" s="94"/>
      <c r="JMK20" s="94"/>
      <c r="JML20" s="94"/>
      <c r="JMM20" s="94"/>
      <c r="JMN20" s="94"/>
      <c r="JMO20" s="94"/>
      <c r="JMP20" s="94"/>
      <c r="JMQ20" s="94"/>
      <c r="JMR20" s="94"/>
      <c r="JMS20" s="94"/>
      <c r="JMT20" s="94"/>
      <c r="JMU20" s="94"/>
      <c r="JMV20" s="94"/>
      <c r="JMW20" s="94"/>
      <c r="JMX20" s="94"/>
      <c r="JMY20" s="94"/>
      <c r="JMZ20" s="94"/>
      <c r="JNA20" s="94"/>
      <c r="JNB20" s="94"/>
      <c r="JNC20" s="94"/>
      <c r="JND20" s="94"/>
      <c r="JNE20" s="94"/>
      <c r="JNF20" s="94"/>
      <c r="JNG20" s="94"/>
      <c r="JNH20" s="94"/>
      <c r="JNI20" s="94"/>
      <c r="JNJ20" s="94"/>
      <c r="JNK20" s="94"/>
      <c r="JNL20" s="94"/>
      <c r="JNM20" s="94"/>
      <c r="JNN20" s="94"/>
      <c r="JNO20" s="94"/>
      <c r="JNP20" s="94"/>
      <c r="JNQ20" s="94"/>
      <c r="JNR20" s="94"/>
      <c r="JNS20" s="94"/>
      <c r="JNT20" s="94"/>
      <c r="JNU20" s="94"/>
      <c r="JNV20" s="94"/>
      <c r="JNW20" s="94"/>
      <c r="JNX20" s="94"/>
      <c r="JNY20" s="94"/>
      <c r="JNZ20" s="94"/>
      <c r="JOA20" s="94"/>
      <c r="JOB20" s="94"/>
      <c r="JOC20" s="94"/>
      <c r="JOD20" s="94"/>
      <c r="JOE20" s="94"/>
      <c r="JOF20" s="94"/>
      <c r="JOG20" s="94"/>
      <c r="JOH20" s="94"/>
      <c r="JOI20" s="94"/>
      <c r="JOJ20" s="94"/>
      <c r="JOK20" s="94"/>
      <c r="JOL20" s="94"/>
      <c r="JOM20" s="94"/>
      <c r="JON20" s="94"/>
      <c r="JOO20" s="94"/>
      <c r="JOP20" s="94"/>
      <c r="JOQ20" s="94"/>
      <c r="JOR20" s="94"/>
      <c r="JOS20" s="94"/>
      <c r="JOT20" s="94"/>
      <c r="JOU20" s="94"/>
      <c r="JOV20" s="94"/>
      <c r="JOW20" s="94"/>
      <c r="JOX20" s="94"/>
      <c r="JOY20" s="94"/>
      <c r="JOZ20" s="94"/>
      <c r="JPA20" s="94"/>
      <c r="JPB20" s="94"/>
      <c r="JPC20" s="94"/>
      <c r="JPD20" s="94"/>
      <c r="JPE20" s="94"/>
      <c r="JPF20" s="94"/>
      <c r="JPG20" s="94"/>
      <c r="JPH20" s="94"/>
      <c r="JPI20" s="94"/>
      <c r="JPJ20" s="94"/>
      <c r="JPK20" s="94"/>
      <c r="JPL20" s="94"/>
      <c r="JPM20" s="94"/>
      <c r="JPN20" s="94"/>
      <c r="JPO20" s="94"/>
      <c r="JPP20" s="94"/>
      <c r="JPQ20" s="94"/>
      <c r="JPR20" s="94"/>
      <c r="JPS20" s="94"/>
      <c r="JPT20" s="94"/>
      <c r="JPU20" s="94"/>
      <c r="JPV20" s="94"/>
      <c r="JPW20" s="94"/>
      <c r="JPX20" s="94"/>
      <c r="JPY20" s="94"/>
      <c r="JPZ20" s="94"/>
      <c r="JQA20" s="94"/>
      <c r="JQB20" s="94"/>
      <c r="JQC20" s="94"/>
      <c r="JQD20" s="94"/>
      <c r="JQE20" s="94"/>
      <c r="JQF20" s="94"/>
      <c r="JQG20" s="94"/>
      <c r="JQH20" s="94"/>
      <c r="JQI20" s="94"/>
      <c r="JQJ20" s="94"/>
      <c r="JQK20" s="94"/>
      <c r="JQL20" s="94"/>
      <c r="JQM20" s="94"/>
      <c r="JQN20" s="94"/>
      <c r="JQO20" s="94"/>
      <c r="JQP20" s="94"/>
      <c r="JQQ20" s="94"/>
      <c r="JQR20" s="94"/>
      <c r="JQS20" s="94"/>
      <c r="JQT20" s="94"/>
      <c r="JQU20" s="94"/>
      <c r="JQV20" s="94"/>
      <c r="JQW20" s="94"/>
      <c r="JQX20" s="94"/>
      <c r="JQY20" s="94"/>
      <c r="JQZ20" s="94"/>
      <c r="JRA20" s="94"/>
      <c r="JRB20" s="94"/>
      <c r="JRC20" s="94"/>
      <c r="JRD20" s="94"/>
      <c r="JRE20" s="94"/>
      <c r="JRF20" s="94"/>
      <c r="JRG20" s="94"/>
      <c r="JRH20" s="94"/>
      <c r="JRI20" s="94"/>
      <c r="JRJ20" s="94"/>
      <c r="JRK20" s="94"/>
      <c r="JRL20" s="94"/>
      <c r="JRM20" s="94"/>
      <c r="JRN20" s="94"/>
      <c r="JRO20" s="94"/>
      <c r="JRP20" s="94"/>
      <c r="JRQ20" s="94"/>
      <c r="JRR20" s="94"/>
      <c r="JRS20" s="94"/>
      <c r="JRT20" s="94"/>
      <c r="JRU20" s="94"/>
      <c r="JRV20" s="94"/>
      <c r="JRW20" s="94"/>
      <c r="JRX20" s="94"/>
      <c r="JRY20" s="94"/>
      <c r="JRZ20" s="94"/>
      <c r="JSA20" s="94"/>
      <c r="JSB20" s="94"/>
      <c r="JSC20" s="94"/>
      <c r="JSD20" s="94"/>
      <c r="JSE20" s="94"/>
      <c r="JSF20" s="94"/>
      <c r="JSG20" s="94"/>
      <c r="JSH20" s="94"/>
      <c r="JSI20" s="94"/>
      <c r="JSJ20" s="94"/>
      <c r="JSK20" s="94"/>
      <c r="JSL20" s="94"/>
      <c r="JSM20" s="94"/>
      <c r="JSN20" s="94"/>
      <c r="JSO20" s="94"/>
      <c r="JSP20" s="94"/>
      <c r="JSQ20" s="94"/>
      <c r="JSR20" s="94"/>
      <c r="JSS20" s="94"/>
      <c r="JST20" s="94"/>
      <c r="JSU20" s="94"/>
      <c r="JSV20" s="94"/>
      <c r="JSW20" s="94"/>
      <c r="JSX20" s="94"/>
      <c r="JSY20" s="94"/>
      <c r="JSZ20" s="94"/>
      <c r="JTA20" s="94"/>
      <c r="JTB20" s="94"/>
      <c r="JTC20" s="94"/>
      <c r="JTD20" s="94"/>
      <c r="JTE20" s="94"/>
      <c r="JTF20" s="94"/>
      <c r="JTG20" s="94"/>
      <c r="JTH20" s="94"/>
      <c r="JTI20" s="94"/>
      <c r="JTJ20" s="94"/>
      <c r="JTK20" s="94"/>
      <c r="JTL20" s="94"/>
      <c r="JTM20" s="94"/>
      <c r="JTN20" s="94"/>
      <c r="JTO20" s="94"/>
      <c r="JTP20" s="94"/>
      <c r="JTQ20" s="94"/>
      <c r="JTR20" s="94"/>
      <c r="JTS20" s="94"/>
      <c r="JTT20" s="94"/>
      <c r="JTU20" s="94"/>
      <c r="JTV20" s="94"/>
      <c r="JTW20" s="94"/>
      <c r="JTX20" s="94"/>
      <c r="JTY20" s="94"/>
      <c r="JTZ20" s="94"/>
      <c r="JUA20" s="94"/>
      <c r="JUB20" s="94"/>
      <c r="JUC20" s="94"/>
      <c r="JUD20" s="94"/>
      <c r="JUE20" s="94"/>
      <c r="JUF20" s="94"/>
      <c r="JUG20" s="94"/>
      <c r="JUH20" s="94"/>
      <c r="JUI20" s="94"/>
      <c r="JUJ20" s="94"/>
      <c r="JUK20" s="94"/>
      <c r="JUL20" s="94"/>
      <c r="JUM20" s="94"/>
      <c r="JUN20" s="94"/>
      <c r="JUO20" s="94"/>
      <c r="JUP20" s="94"/>
      <c r="JUQ20" s="94"/>
      <c r="JUR20" s="94"/>
      <c r="JUS20" s="94"/>
      <c r="JUT20" s="94"/>
      <c r="JUU20" s="94"/>
      <c r="JUV20" s="94"/>
      <c r="JUW20" s="94"/>
      <c r="JUX20" s="94"/>
      <c r="JUY20" s="94"/>
      <c r="JUZ20" s="94"/>
      <c r="JVA20" s="94"/>
      <c r="JVB20" s="94"/>
      <c r="JVC20" s="94"/>
      <c r="JVD20" s="94"/>
      <c r="JVE20" s="94"/>
      <c r="JVF20" s="94"/>
      <c r="JVG20" s="94"/>
      <c r="JVH20" s="94"/>
      <c r="JVI20" s="94"/>
      <c r="JVJ20" s="94"/>
      <c r="JVK20" s="94"/>
      <c r="JVL20" s="94"/>
      <c r="JVM20" s="94"/>
      <c r="JVN20" s="94"/>
      <c r="JVO20" s="94"/>
      <c r="JVP20" s="94"/>
      <c r="JVQ20" s="94"/>
      <c r="JVR20" s="94"/>
      <c r="JVS20" s="94"/>
      <c r="JVT20" s="94"/>
      <c r="JVU20" s="94"/>
      <c r="JVV20" s="94"/>
      <c r="JVW20" s="94"/>
      <c r="JVX20" s="94"/>
      <c r="JVY20" s="94"/>
      <c r="JVZ20" s="94"/>
      <c r="JWA20" s="94"/>
      <c r="JWB20" s="94"/>
      <c r="JWC20" s="94"/>
      <c r="JWD20" s="94"/>
      <c r="JWE20" s="94"/>
      <c r="JWF20" s="94"/>
      <c r="JWG20" s="94"/>
      <c r="JWH20" s="94"/>
      <c r="JWI20" s="94"/>
      <c r="JWJ20" s="94"/>
      <c r="JWK20" s="94"/>
      <c r="JWL20" s="94"/>
      <c r="JWM20" s="94"/>
      <c r="JWN20" s="94"/>
      <c r="JWO20" s="94"/>
      <c r="JWP20" s="94"/>
      <c r="JWQ20" s="94"/>
      <c r="JWR20" s="94"/>
      <c r="JWS20" s="94"/>
      <c r="JWT20" s="94"/>
      <c r="JWU20" s="94"/>
      <c r="JWV20" s="94"/>
      <c r="JWW20" s="94"/>
      <c r="JWX20" s="94"/>
      <c r="JWY20" s="94"/>
      <c r="JWZ20" s="94"/>
      <c r="JXA20" s="94"/>
      <c r="JXB20" s="94"/>
      <c r="JXC20" s="94"/>
      <c r="JXD20" s="94"/>
      <c r="JXE20" s="94"/>
      <c r="JXF20" s="94"/>
      <c r="JXG20" s="94"/>
      <c r="JXH20" s="94"/>
      <c r="JXI20" s="94"/>
      <c r="JXJ20" s="94"/>
      <c r="JXK20" s="94"/>
      <c r="JXL20" s="94"/>
      <c r="JXM20" s="94"/>
      <c r="JXN20" s="94"/>
      <c r="JXO20" s="94"/>
      <c r="JXP20" s="94"/>
      <c r="JXQ20" s="94"/>
      <c r="JXR20" s="94"/>
      <c r="JXS20" s="94"/>
      <c r="JXT20" s="94"/>
      <c r="JXU20" s="94"/>
      <c r="JXV20" s="94"/>
      <c r="JXW20" s="94"/>
      <c r="JXX20" s="94"/>
      <c r="JXY20" s="94"/>
      <c r="JXZ20" s="94"/>
      <c r="JYA20" s="94"/>
      <c r="JYB20" s="94"/>
      <c r="JYC20" s="94"/>
      <c r="JYD20" s="94"/>
      <c r="JYE20" s="94"/>
      <c r="JYF20" s="94"/>
      <c r="JYG20" s="94"/>
      <c r="JYH20" s="94"/>
      <c r="JYI20" s="94"/>
      <c r="JYJ20" s="94"/>
      <c r="JYK20" s="94"/>
      <c r="JYL20" s="94"/>
      <c r="JYM20" s="94"/>
      <c r="JYN20" s="94"/>
      <c r="JYO20" s="94"/>
      <c r="JYP20" s="94"/>
      <c r="JYQ20" s="94"/>
      <c r="JYR20" s="94"/>
      <c r="JYS20" s="94"/>
      <c r="JYT20" s="94"/>
      <c r="JYU20" s="94"/>
      <c r="JYV20" s="94"/>
      <c r="JYW20" s="94"/>
      <c r="JYX20" s="94"/>
      <c r="JYY20" s="94"/>
      <c r="JYZ20" s="94"/>
      <c r="JZA20" s="94"/>
      <c r="JZB20" s="94"/>
      <c r="JZC20" s="94"/>
      <c r="JZD20" s="94"/>
      <c r="JZE20" s="94"/>
      <c r="JZF20" s="94"/>
      <c r="JZG20" s="94"/>
      <c r="JZH20" s="94"/>
      <c r="JZI20" s="94"/>
      <c r="JZJ20" s="94"/>
      <c r="JZK20" s="94"/>
      <c r="JZL20" s="94"/>
      <c r="JZM20" s="94"/>
      <c r="JZN20" s="94"/>
      <c r="JZO20" s="94"/>
      <c r="JZP20" s="94"/>
      <c r="JZQ20" s="94"/>
      <c r="JZR20" s="94"/>
      <c r="JZS20" s="94"/>
      <c r="JZT20" s="94"/>
      <c r="JZU20" s="94"/>
      <c r="JZV20" s="94"/>
      <c r="JZW20" s="94"/>
      <c r="JZX20" s="94"/>
      <c r="JZY20" s="94"/>
      <c r="JZZ20" s="94"/>
      <c r="KAA20" s="94"/>
      <c r="KAB20" s="94"/>
      <c r="KAC20" s="94"/>
      <c r="KAD20" s="94"/>
      <c r="KAE20" s="94"/>
      <c r="KAF20" s="94"/>
      <c r="KAG20" s="94"/>
      <c r="KAH20" s="94"/>
      <c r="KAI20" s="94"/>
      <c r="KAJ20" s="94"/>
      <c r="KAK20" s="94"/>
      <c r="KAL20" s="94"/>
      <c r="KAM20" s="94"/>
      <c r="KAN20" s="94"/>
      <c r="KAO20" s="94"/>
      <c r="KAP20" s="94"/>
      <c r="KAQ20" s="94"/>
      <c r="KAR20" s="94"/>
      <c r="KAS20" s="94"/>
      <c r="KAT20" s="94"/>
      <c r="KAU20" s="94"/>
      <c r="KAV20" s="94"/>
      <c r="KAW20" s="94"/>
      <c r="KAX20" s="94"/>
      <c r="KAY20" s="94"/>
      <c r="KAZ20" s="94"/>
      <c r="KBA20" s="94"/>
      <c r="KBB20" s="94"/>
      <c r="KBC20" s="94"/>
      <c r="KBD20" s="94"/>
      <c r="KBE20" s="94"/>
      <c r="KBF20" s="94"/>
      <c r="KBG20" s="94"/>
      <c r="KBH20" s="94"/>
      <c r="KBI20" s="94"/>
      <c r="KBJ20" s="94"/>
      <c r="KBK20" s="94"/>
      <c r="KBL20" s="94"/>
      <c r="KBM20" s="94"/>
      <c r="KBN20" s="94"/>
      <c r="KBO20" s="94"/>
      <c r="KBP20" s="94"/>
      <c r="KBQ20" s="94"/>
      <c r="KBR20" s="94"/>
      <c r="KBS20" s="94"/>
      <c r="KBT20" s="94"/>
      <c r="KBU20" s="94"/>
      <c r="KBV20" s="94"/>
      <c r="KBW20" s="94"/>
      <c r="KBX20" s="94"/>
      <c r="KBY20" s="94"/>
      <c r="KBZ20" s="94"/>
      <c r="KCA20" s="94"/>
      <c r="KCB20" s="94"/>
      <c r="KCC20" s="94"/>
      <c r="KCD20" s="94"/>
      <c r="KCE20" s="94"/>
      <c r="KCF20" s="94"/>
      <c r="KCG20" s="94"/>
      <c r="KCH20" s="94"/>
      <c r="KCI20" s="94"/>
      <c r="KCJ20" s="94"/>
      <c r="KCK20" s="94"/>
      <c r="KCL20" s="94"/>
      <c r="KCM20" s="94"/>
      <c r="KCN20" s="94"/>
      <c r="KCO20" s="94"/>
      <c r="KCP20" s="94"/>
      <c r="KCQ20" s="94"/>
      <c r="KCR20" s="94"/>
      <c r="KCS20" s="94"/>
      <c r="KCT20" s="94"/>
      <c r="KCU20" s="94"/>
      <c r="KCV20" s="94"/>
      <c r="KCW20" s="94"/>
      <c r="KCX20" s="94"/>
      <c r="KCY20" s="94"/>
      <c r="KCZ20" s="94"/>
      <c r="KDA20" s="94"/>
      <c r="KDB20" s="94"/>
      <c r="KDC20" s="94"/>
      <c r="KDD20" s="94"/>
      <c r="KDE20" s="94"/>
      <c r="KDF20" s="94"/>
      <c r="KDG20" s="94"/>
      <c r="KDH20" s="94"/>
      <c r="KDI20" s="94"/>
      <c r="KDJ20" s="94"/>
      <c r="KDK20" s="94"/>
      <c r="KDL20" s="94"/>
      <c r="KDM20" s="94"/>
      <c r="KDN20" s="94"/>
      <c r="KDO20" s="94"/>
      <c r="KDP20" s="94"/>
      <c r="KDQ20" s="94"/>
      <c r="KDR20" s="94"/>
      <c r="KDS20" s="94"/>
      <c r="KDT20" s="94"/>
      <c r="KDU20" s="94"/>
      <c r="KDV20" s="94"/>
      <c r="KDW20" s="94"/>
      <c r="KDX20" s="94"/>
      <c r="KDY20" s="94"/>
      <c r="KDZ20" s="94"/>
      <c r="KEA20" s="94"/>
      <c r="KEB20" s="94"/>
      <c r="KEC20" s="94"/>
      <c r="KED20" s="94"/>
      <c r="KEE20" s="94"/>
      <c r="KEF20" s="94"/>
      <c r="KEG20" s="94"/>
      <c r="KEH20" s="94"/>
      <c r="KEI20" s="94"/>
      <c r="KEJ20" s="94"/>
      <c r="KEK20" s="94"/>
      <c r="KEL20" s="94"/>
      <c r="KEM20" s="94"/>
      <c r="KEN20" s="94"/>
      <c r="KEO20" s="94"/>
      <c r="KEP20" s="94"/>
      <c r="KEQ20" s="94"/>
      <c r="KER20" s="94"/>
      <c r="KES20" s="94"/>
      <c r="KET20" s="94"/>
      <c r="KEU20" s="94"/>
      <c r="KEV20" s="94"/>
      <c r="KEW20" s="94"/>
      <c r="KEX20" s="94"/>
      <c r="KEY20" s="94"/>
      <c r="KEZ20" s="94"/>
      <c r="KFA20" s="94"/>
      <c r="KFB20" s="94"/>
      <c r="KFC20" s="94"/>
      <c r="KFD20" s="94"/>
      <c r="KFE20" s="94"/>
      <c r="KFF20" s="94"/>
      <c r="KFG20" s="94"/>
      <c r="KFH20" s="94"/>
      <c r="KFI20" s="94"/>
      <c r="KFJ20" s="94"/>
      <c r="KFK20" s="94"/>
      <c r="KFL20" s="94"/>
      <c r="KFM20" s="94"/>
      <c r="KFN20" s="94"/>
      <c r="KFO20" s="94"/>
      <c r="KFP20" s="94"/>
      <c r="KFQ20" s="94"/>
      <c r="KFR20" s="94"/>
      <c r="KFS20" s="94"/>
      <c r="KFT20" s="94"/>
      <c r="KFU20" s="94"/>
      <c r="KFV20" s="94"/>
      <c r="KFW20" s="94"/>
      <c r="KFX20" s="94"/>
      <c r="KFY20" s="94"/>
      <c r="KFZ20" s="94"/>
      <c r="KGA20" s="94"/>
      <c r="KGB20" s="94"/>
      <c r="KGC20" s="94"/>
      <c r="KGD20" s="94"/>
      <c r="KGE20" s="94"/>
      <c r="KGF20" s="94"/>
      <c r="KGG20" s="94"/>
      <c r="KGH20" s="94"/>
      <c r="KGI20" s="94"/>
      <c r="KGJ20" s="94"/>
      <c r="KGK20" s="94"/>
      <c r="KGL20" s="94"/>
      <c r="KGM20" s="94"/>
      <c r="KGN20" s="94"/>
      <c r="KGO20" s="94"/>
      <c r="KGP20" s="94"/>
      <c r="KGQ20" s="94"/>
      <c r="KGR20" s="94"/>
      <c r="KGS20" s="94"/>
      <c r="KGT20" s="94"/>
      <c r="KGU20" s="94"/>
      <c r="KGV20" s="94"/>
      <c r="KGW20" s="94"/>
      <c r="KGX20" s="94"/>
      <c r="KGY20" s="94"/>
      <c r="KGZ20" s="94"/>
      <c r="KHA20" s="94"/>
      <c r="KHB20" s="94"/>
      <c r="KHC20" s="94"/>
      <c r="KHD20" s="94"/>
      <c r="KHE20" s="94"/>
      <c r="KHF20" s="94"/>
      <c r="KHG20" s="94"/>
      <c r="KHH20" s="94"/>
      <c r="KHI20" s="94"/>
      <c r="KHJ20" s="94"/>
      <c r="KHK20" s="94"/>
      <c r="KHL20" s="94"/>
      <c r="KHM20" s="94"/>
      <c r="KHN20" s="94"/>
      <c r="KHO20" s="94"/>
      <c r="KHP20" s="94"/>
      <c r="KHQ20" s="94"/>
      <c r="KHR20" s="94"/>
      <c r="KHS20" s="94"/>
      <c r="KHT20" s="94"/>
      <c r="KHU20" s="94"/>
      <c r="KHV20" s="94"/>
      <c r="KHW20" s="94"/>
      <c r="KHX20" s="94"/>
      <c r="KHY20" s="94"/>
      <c r="KHZ20" s="94"/>
      <c r="KIA20" s="94"/>
      <c r="KIB20" s="94"/>
      <c r="KIC20" s="94"/>
      <c r="KID20" s="94"/>
      <c r="KIE20" s="94"/>
      <c r="KIF20" s="94"/>
      <c r="KIG20" s="94"/>
      <c r="KIH20" s="94"/>
      <c r="KII20" s="94"/>
      <c r="KIJ20" s="94"/>
      <c r="KIK20" s="94"/>
      <c r="KIL20" s="94"/>
      <c r="KIM20" s="94"/>
      <c r="KIN20" s="94"/>
      <c r="KIO20" s="94"/>
      <c r="KIP20" s="94"/>
      <c r="KIQ20" s="94"/>
      <c r="KIR20" s="94"/>
      <c r="KIS20" s="94"/>
      <c r="KIT20" s="94"/>
      <c r="KIU20" s="94"/>
      <c r="KIV20" s="94"/>
      <c r="KIW20" s="94"/>
      <c r="KIX20" s="94"/>
      <c r="KIY20" s="94"/>
      <c r="KIZ20" s="94"/>
      <c r="KJA20" s="94"/>
      <c r="KJB20" s="94"/>
      <c r="KJC20" s="94"/>
      <c r="KJD20" s="94"/>
      <c r="KJE20" s="94"/>
      <c r="KJF20" s="94"/>
      <c r="KJG20" s="94"/>
      <c r="KJH20" s="94"/>
      <c r="KJI20" s="94"/>
      <c r="KJJ20" s="94"/>
      <c r="KJK20" s="94"/>
      <c r="KJL20" s="94"/>
      <c r="KJM20" s="94"/>
      <c r="KJN20" s="94"/>
      <c r="KJO20" s="94"/>
      <c r="KJP20" s="94"/>
      <c r="KJQ20" s="94"/>
      <c r="KJR20" s="94"/>
      <c r="KJS20" s="94"/>
      <c r="KJT20" s="94"/>
      <c r="KJU20" s="94"/>
      <c r="KJV20" s="94"/>
      <c r="KJW20" s="94"/>
      <c r="KJX20" s="94"/>
      <c r="KJY20" s="94"/>
      <c r="KJZ20" s="94"/>
      <c r="KKA20" s="94"/>
      <c r="KKB20" s="94"/>
      <c r="KKC20" s="94"/>
      <c r="KKD20" s="94"/>
      <c r="KKE20" s="94"/>
      <c r="KKF20" s="94"/>
      <c r="KKG20" s="94"/>
      <c r="KKH20" s="94"/>
      <c r="KKI20" s="94"/>
      <c r="KKJ20" s="94"/>
      <c r="KKK20" s="94"/>
      <c r="KKL20" s="94"/>
      <c r="KKM20" s="94"/>
      <c r="KKN20" s="94"/>
      <c r="KKO20" s="94"/>
      <c r="KKP20" s="94"/>
      <c r="KKQ20" s="94"/>
      <c r="KKR20" s="94"/>
      <c r="KKS20" s="94"/>
      <c r="KKT20" s="94"/>
      <c r="KKU20" s="94"/>
      <c r="KKV20" s="94"/>
      <c r="KKW20" s="94"/>
      <c r="KKX20" s="94"/>
      <c r="KKY20" s="94"/>
      <c r="KKZ20" s="94"/>
      <c r="KLA20" s="94"/>
      <c r="KLB20" s="94"/>
      <c r="KLC20" s="94"/>
      <c r="KLD20" s="94"/>
      <c r="KLE20" s="94"/>
      <c r="KLF20" s="94"/>
      <c r="KLG20" s="94"/>
      <c r="KLH20" s="94"/>
      <c r="KLI20" s="94"/>
      <c r="KLJ20" s="94"/>
      <c r="KLK20" s="94"/>
      <c r="KLL20" s="94"/>
      <c r="KLM20" s="94"/>
      <c r="KLN20" s="94"/>
      <c r="KLO20" s="94"/>
      <c r="KLP20" s="94"/>
      <c r="KLQ20" s="94"/>
      <c r="KLR20" s="94"/>
      <c r="KLS20" s="94"/>
      <c r="KLT20" s="94"/>
      <c r="KLU20" s="94"/>
      <c r="KLV20" s="94"/>
      <c r="KLW20" s="94"/>
      <c r="KLX20" s="94"/>
      <c r="KLY20" s="94"/>
      <c r="KLZ20" s="94"/>
      <c r="KMA20" s="94"/>
      <c r="KMB20" s="94"/>
      <c r="KMC20" s="94"/>
      <c r="KMD20" s="94"/>
      <c r="KME20" s="94"/>
      <c r="KMF20" s="94"/>
      <c r="KMG20" s="94"/>
      <c r="KMH20" s="94"/>
      <c r="KMI20" s="94"/>
      <c r="KMJ20" s="94"/>
      <c r="KMK20" s="94"/>
      <c r="KML20" s="94"/>
      <c r="KMM20" s="94"/>
      <c r="KMN20" s="94"/>
      <c r="KMO20" s="94"/>
      <c r="KMP20" s="94"/>
      <c r="KMQ20" s="94"/>
      <c r="KMR20" s="94"/>
      <c r="KMS20" s="94"/>
      <c r="KMT20" s="94"/>
      <c r="KMU20" s="94"/>
      <c r="KMV20" s="94"/>
      <c r="KMW20" s="94"/>
      <c r="KMX20" s="94"/>
      <c r="KMY20" s="94"/>
      <c r="KMZ20" s="94"/>
      <c r="KNA20" s="94"/>
      <c r="KNB20" s="94"/>
      <c r="KNC20" s="94"/>
      <c r="KND20" s="94"/>
      <c r="KNE20" s="94"/>
      <c r="KNF20" s="94"/>
      <c r="KNG20" s="94"/>
      <c r="KNH20" s="94"/>
      <c r="KNI20" s="94"/>
      <c r="KNJ20" s="94"/>
      <c r="KNK20" s="94"/>
      <c r="KNL20" s="94"/>
      <c r="KNM20" s="94"/>
      <c r="KNN20" s="94"/>
      <c r="KNO20" s="94"/>
      <c r="KNP20" s="94"/>
      <c r="KNQ20" s="94"/>
      <c r="KNR20" s="94"/>
      <c r="KNS20" s="94"/>
      <c r="KNT20" s="94"/>
      <c r="KNU20" s="94"/>
      <c r="KNV20" s="94"/>
      <c r="KNW20" s="94"/>
      <c r="KNX20" s="94"/>
      <c r="KNY20" s="94"/>
      <c r="KNZ20" s="94"/>
      <c r="KOA20" s="94"/>
      <c r="KOB20" s="94"/>
      <c r="KOC20" s="94"/>
      <c r="KOD20" s="94"/>
      <c r="KOE20" s="94"/>
      <c r="KOF20" s="94"/>
      <c r="KOG20" s="94"/>
      <c r="KOH20" s="94"/>
      <c r="KOI20" s="94"/>
      <c r="KOJ20" s="94"/>
      <c r="KOK20" s="94"/>
      <c r="KOL20" s="94"/>
      <c r="KOM20" s="94"/>
      <c r="KON20" s="94"/>
      <c r="KOO20" s="94"/>
      <c r="KOP20" s="94"/>
      <c r="KOQ20" s="94"/>
      <c r="KOR20" s="94"/>
      <c r="KOS20" s="94"/>
      <c r="KOT20" s="94"/>
      <c r="KOU20" s="94"/>
      <c r="KOV20" s="94"/>
      <c r="KOW20" s="94"/>
      <c r="KOX20" s="94"/>
      <c r="KOY20" s="94"/>
      <c r="KOZ20" s="94"/>
      <c r="KPA20" s="94"/>
      <c r="KPB20" s="94"/>
      <c r="KPC20" s="94"/>
      <c r="KPD20" s="94"/>
      <c r="KPE20" s="94"/>
      <c r="KPF20" s="94"/>
      <c r="KPG20" s="94"/>
      <c r="KPH20" s="94"/>
      <c r="KPI20" s="94"/>
      <c r="KPJ20" s="94"/>
      <c r="KPK20" s="94"/>
      <c r="KPL20" s="94"/>
      <c r="KPM20" s="94"/>
      <c r="KPN20" s="94"/>
      <c r="KPO20" s="94"/>
      <c r="KPP20" s="94"/>
      <c r="KPQ20" s="94"/>
      <c r="KPR20" s="94"/>
      <c r="KPS20" s="94"/>
      <c r="KPT20" s="94"/>
      <c r="KPU20" s="94"/>
      <c r="KPV20" s="94"/>
      <c r="KPW20" s="94"/>
      <c r="KPX20" s="94"/>
      <c r="KPY20" s="94"/>
      <c r="KPZ20" s="94"/>
      <c r="KQA20" s="94"/>
      <c r="KQB20" s="94"/>
      <c r="KQC20" s="94"/>
      <c r="KQD20" s="94"/>
      <c r="KQE20" s="94"/>
      <c r="KQF20" s="94"/>
      <c r="KQG20" s="94"/>
      <c r="KQH20" s="94"/>
      <c r="KQI20" s="94"/>
      <c r="KQJ20" s="94"/>
      <c r="KQK20" s="94"/>
      <c r="KQL20" s="94"/>
      <c r="KQM20" s="94"/>
      <c r="KQN20" s="94"/>
      <c r="KQO20" s="94"/>
      <c r="KQP20" s="94"/>
      <c r="KQQ20" s="94"/>
      <c r="KQR20" s="94"/>
      <c r="KQS20" s="94"/>
      <c r="KQT20" s="94"/>
      <c r="KQU20" s="94"/>
      <c r="KQV20" s="94"/>
      <c r="KQW20" s="94"/>
      <c r="KQX20" s="94"/>
      <c r="KQY20" s="94"/>
      <c r="KQZ20" s="94"/>
      <c r="KRA20" s="94"/>
      <c r="KRB20" s="94"/>
      <c r="KRC20" s="94"/>
      <c r="KRD20" s="94"/>
      <c r="KRE20" s="94"/>
      <c r="KRF20" s="94"/>
      <c r="KRG20" s="94"/>
      <c r="KRH20" s="94"/>
      <c r="KRI20" s="94"/>
      <c r="KRJ20" s="94"/>
      <c r="KRK20" s="94"/>
      <c r="KRL20" s="94"/>
      <c r="KRM20" s="94"/>
      <c r="KRN20" s="94"/>
      <c r="KRO20" s="94"/>
      <c r="KRP20" s="94"/>
      <c r="KRQ20" s="94"/>
      <c r="KRR20" s="94"/>
      <c r="KRS20" s="94"/>
      <c r="KRT20" s="94"/>
      <c r="KRU20" s="94"/>
      <c r="KRV20" s="94"/>
      <c r="KRW20" s="94"/>
      <c r="KRX20" s="94"/>
      <c r="KRY20" s="94"/>
      <c r="KRZ20" s="94"/>
      <c r="KSA20" s="94"/>
      <c r="KSB20" s="94"/>
      <c r="KSC20" s="94"/>
      <c r="KSD20" s="94"/>
      <c r="KSE20" s="94"/>
      <c r="KSF20" s="94"/>
      <c r="KSG20" s="94"/>
      <c r="KSH20" s="94"/>
      <c r="KSI20" s="94"/>
      <c r="KSJ20" s="94"/>
      <c r="KSK20" s="94"/>
      <c r="KSL20" s="94"/>
      <c r="KSM20" s="94"/>
      <c r="KSN20" s="94"/>
      <c r="KSO20" s="94"/>
      <c r="KSP20" s="94"/>
      <c r="KSQ20" s="94"/>
      <c r="KSR20" s="94"/>
      <c r="KSS20" s="94"/>
      <c r="KST20" s="94"/>
      <c r="KSU20" s="94"/>
      <c r="KSV20" s="94"/>
      <c r="KSW20" s="94"/>
      <c r="KSX20" s="94"/>
      <c r="KSY20" s="94"/>
      <c r="KSZ20" s="94"/>
      <c r="KTA20" s="94"/>
      <c r="KTB20" s="94"/>
      <c r="KTC20" s="94"/>
      <c r="KTD20" s="94"/>
      <c r="KTE20" s="94"/>
      <c r="KTF20" s="94"/>
      <c r="KTG20" s="94"/>
      <c r="KTH20" s="94"/>
      <c r="KTI20" s="94"/>
      <c r="KTJ20" s="94"/>
      <c r="KTK20" s="94"/>
      <c r="KTL20" s="94"/>
      <c r="KTM20" s="94"/>
      <c r="KTN20" s="94"/>
      <c r="KTO20" s="94"/>
      <c r="KTP20" s="94"/>
      <c r="KTQ20" s="94"/>
      <c r="KTR20" s="94"/>
      <c r="KTS20" s="94"/>
      <c r="KTT20" s="94"/>
      <c r="KTU20" s="94"/>
      <c r="KTV20" s="94"/>
      <c r="KTW20" s="94"/>
      <c r="KTX20" s="94"/>
      <c r="KTY20" s="94"/>
      <c r="KTZ20" s="94"/>
      <c r="KUA20" s="94"/>
      <c r="KUB20" s="94"/>
      <c r="KUC20" s="94"/>
      <c r="KUD20" s="94"/>
      <c r="KUE20" s="94"/>
      <c r="KUF20" s="94"/>
      <c r="KUG20" s="94"/>
      <c r="KUH20" s="94"/>
      <c r="KUI20" s="94"/>
      <c r="KUJ20" s="94"/>
      <c r="KUK20" s="94"/>
      <c r="KUL20" s="94"/>
      <c r="KUM20" s="94"/>
      <c r="KUN20" s="94"/>
      <c r="KUO20" s="94"/>
      <c r="KUP20" s="94"/>
      <c r="KUQ20" s="94"/>
      <c r="KUR20" s="94"/>
      <c r="KUS20" s="94"/>
      <c r="KUT20" s="94"/>
      <c r="KUU20" s="94"/>
      <c r="KUV20" s="94"/>
      <c r="KUW20" s="94"/>
      <c r="KUX20" s="94"/>
      <c r="KUY20" s="94"/>
      <c r="KUZ20" s="94"/>
      <c r="KVA20" s="94"/>
      <c r="KVB20" s="94"/>
      <c r="KVC20" s="94"/>
      <c r="KVD20" s="94"/>
      <c r="KVE20" s="94"/>
      <c r="KVF20" s="94"/>
      <c r="KVG20" s="94"/>
      <c r="KVH20" s="94"/>
      <c r="KVI20" s="94"/>
      <c r="KVJ20" s="94"/>
      <c r="KVK20" s="94"/>
      <c r="KVL20" s="94"/>
      <c r="KVM20" s="94"/>
      <c r="KVN20" s="94"/>
      <c r="KVO20" s="94"/>
      <c r="KVP20" s="94"/>
      <c r="KVQ20" s="94"/>
      <c r="KVR20" s="94"/>
      <c r="KVS20" s="94"/>
      <c r="KVT20" s="94"/>
      <c r="KVU20" s="94"/>
      <c r="KVV20" s="94"/>
      <c r="KVW20" s="94"/>
      <c r="KVX20" s="94"/>
      <c r="KVY20" s="94"/>
      <c r="KVZ20" s="94"/>
      <c r="KWA20" s="94"/>
      <c r="KWB20" s="94"/>
      <c r="KWC20" s="94"/>
      <c r="KWD20" s="94"/>
      <c r="KWE20" s="94"/>
      <c r="KWF20" s="94"/>
      <c r="KWG20" s="94"/>
      <c r="KWH20" s="94"/>
      <c r="KWI20" s="94"/>
      <c r="KWJ20" s="94"/>
      <c r="KWK20" s="94"/>
      <c r="KWL20" s="94"/>
      <c r="KWM20" s="94"/>
      <c r="KWN20" s="94"/>
      <c r="KWO20" s="94"/>
      <c r="KWP20" s="94"/>
      <c r="KWQ20" s="94"/>
      <c r="KWR20" s="94"/>
      <c r="KWS20" s="94"/>
      <c r="KWT20" s="94"/>
      <c r="KWU20" s="94"/>
      <c r="KWV20" s="94"/>
      <c r="KWW20" s="94"/>
      <c r="KWX20" s="94"/>
      <c r="KWY20" s="94"/>
      <c r="KWZ20" s="94"/>
      <c r="KXA20" s="94"/>
      <c r="KXB20" s="94"/>
      <c r="KXC20" s="94"/>
      <c r="KXD20" s="94"/>
      <c r="KXE20" s="94"/>
      <c r="KXF20" s="94"/>
      <c r="KXG20" s="94"/>
      <c r="KXH20" s="94"/>
      <c r="KXI20" s="94"/>
      <c r="KXJ20" s="94"/>
      <c r="KXK20" s="94"/>
      <c r="KXL20" s="94"/>
      <c r="KXM20" s="94"/>
      <c r="KXN20" s="94"/>
      <c r="KXO20" s="94"/>
      <c r="KXP20" s="94"/>
      <c r="KXQ20" s="94"/>
      <c r="KXR20" s="94"/>
      <c r="KXS20" s="94"/>
      <c r="KXT20" s="94"/>
      <c r="KXU20" s="94"/>
      <c r="KXV20" s="94"/>
      <c r="KXW20" s="94"/>
      <c r="KXX20" s="94"/>
      <c r="KXY20" s="94"/>
      <c r="KXZ20" s="94"/>
      <c r="KYA20" s="94"/>
      <c r="KYB20" s="94"/>
      <c r="KYC20" s="94"/>
      <c r="KYD20" s="94"/>
      <c r="KYE20" s="94"/>
      <c r="KYF20" s="94"/>
      <c r="KYG20" s="94"/>
      <c r="KYH20" s="94"/>
      <c r="KYI20" s="94"/>
      <c r="KYJ20" s="94"/>
      <c r="KYK20" s="94"/>
      <c r="KYL20" s="94"/>
      <c r="KYM20" s="94"/>
      <c r="KYN20" s="94"/>
      <c r="KYO20" s="94"/>
      <c r="KYP20" s="94"/>
      <c r="KYQ20" s="94"/>
      <c r="KYR20" s="94"/>
      <c r="KYS20" s="94"/>
      <c r="KYT20" s="94"/>
      <c r="KYU20" s="94"/>
      <c r="KYV20" s="94"/>
      <c r="KYW20" s="94"/>
      <c r="KYX20" s="94"/>
      <c r="KYY20" s="94"/>
      <c r="KYZ20" s="94"/>
      <c r="KZA20" s="94"/>
      <c r="KZB20" s="94"/>
      <c r="KZC20" s="94"/>
      <c r="KZD20" s="94"/>
      <c r="KZE20" s="94"/>
      <c r="KZF20" s="94"/>
      <c r="KZG20" s="94"/>
      <c r="KZH20" s="94"/>
      <c r="KZI20" s="94"/>
      <c r="KZJ20" s="94"/>
      <c r="KZK20" s="94"/>
      <c r="KZL20" s="94"/>
      <c r="KZM20" s="94"/>
      <c r="KZN20" s="94"/>
      <c r="KZO20" s="94"/>
      <c r="KZP20" s="94"/>
      <c r="KZQ20" s="94"/>
      <c r="KZR20" s="94"/>
      <c r="KZS20" s="94"/>
      <c r="KZT20" s="94"/>
      <c r="KZU20" s="94"/>
      <c r="KZV20" s="94"/>
      <c r="KZW20" s="94"/>
      <c r="KZX20" s="94"/>
      <c r="KZY20" s="94"/>
      <c r="KZZ20" s="94"/>
      <c r="LAA20" s="94"/>
      <c r="LAB20" s="94"/>
      <c r="LAC20" s="94"/>
      <c r="LAD20" s="94"/>
      <c r="LAE20" s="94"/>
      <c r="LAF20" s="94"/>
      <c r="LAG20" s="94"/>
      <c r="LAH20" s="94"/>
      <c r="LAI20" s="94"/>
      <c r="LAJ20" s="94"/>
      <c r="LAK20" s="94"/>
      <c r="LAL20" s="94"/>
      <c r="LAM20" s="94"/>
      <c r="LAN20" s="94"/>
      <c r="LAO20" s="94"/>
      <c r="LAP20" s="94"/>
      <c r="LAQ20" s="94"/>
      <c r="LAR20" s="94"/>
      <c r="LAS20" s="94"/>
      <c r="LAT20" s="94"/>
      <c r="LAU20" s="94"/>
      <c r="LAV20" s="94"/>
      <c r="LAW20" s="94"/>
      <c r="LAX20" s="94"/>
      <c r="LAY20" s="94"/>
      <c r="LAZ20" s="94"/>
      <c r="LBA20" s="94"/>
      <c r="LBB20" s="94"/>
      <c r="LBC20" s="94"/>
      <c r="LBD20" s="94"/>
      <c r="LBE20" s="94"/>
      <c r="LBF20" s="94"/>
      <c r="LBG20" s="94"/>
      <c r="LBH20" s="94"/>
      <c r="LBI20" s="94"/>
      <c r="LBJ20" s="94"/>
      <c r="LBK20" s="94"/>
      <c r="LBL20" s="94"/>
      <c r="LBM20" s="94"/>
      <c r="LBN20" s="94"/>
      <c r="LBO20" s="94"/>
      <c r="LBP20" s="94"/>
      <c r="LBQ20" s="94"/>
      <c r="LBR20" s="94"/>
      <c r="LBS20" s="94"/>
      <c r="LBT20" s="94"/>
      <c r="LBU20" s="94"/>
      <c r="LBV20" s="94"/>
      <c r="LBW20" s="94"/>
      <c r="LBX20" s="94"/>
      <c r="LBY20" s="94"/>
      <c r="LBZ20" s="94"/>
      <c r="LCA20" s="94"/>
      <c r="LCB20" s="94"/>
      <c r="LCC20" s="94"/>
      <c r="LCD20" s="94"/>
      <c r="LCE20" s="94"/>
      <c r="LCF20" s="94"/>
      <c r="LCG20" s="94"/>
      <c r="LCH20" s="94"/>
      <c r="LCI20" s="94"/>
      <c r="LCJ20" s="94"/>
      <c r="LCK20" s="94"/>
      <c r="LCL20" s="94"/>
      <c r="LCM20" s="94"/>
      <c r="LCN20" s="94"/>
      <c r="LCO20" s="94"/>
      <c r="LCP20" s="94"/>
      <c r="LCQ20" s="94"/>
      <c r="LCR20" s="94"/>
      <c r="LCS20" s="94"/>
      <c r="LCT20" s="94"/>
      <c r="LCU20" s="94"/>
      <c r="LCV20" s="94"/>
      <c r="LCW20" s="94"/>
      <c r="LCX20" s="94"/>
      <c r="LCY20" s="94"/>
      <c r="LCZ20" s="94"/>
      <c r="LDA20" s="94"/>
      <c r="LDB20" s="94"/>
      <c r="LDC20" s="94"/>
      <c r="LDD20" s="94"/>
      <c r="LDE20" s="94"/>
      <c r="LDF20" s="94"/>
      <c r="LDG20" s="94"/>
      <c r="LDH20" s="94"/>
      <c r="LDI20" s="94"/>
      <c r="LDJ20" s="94"/>
      <c r="LDK20" s="94"/>
      <c r="LDL20" s="94"/>
      <c r="LDM20" s="94"/>
      <c r="LDN20" s="94"/>
      <c r="LDO20" s="94"/>
      <c r="LDP20" s="94"/>
      <c r="LDQ20" s="94"/>
      <c r="LDR20" s="94"/>
      <c r="LDS20" s="94"/>
      <c r="LDT20" s="94"/>
      <c r="LDU20" s="94"/>
      <c r="LDV20" s="94"/>
      <c r="LDW20" s="94"/>
      <c r="LDX20" s="94"/>
      <c r="LDY20" s="94"/>
      <c r="LDZ20" s="94"/>
      <c r="LEA20" s="94"/>
      <c r="LEB20" s="94"/>
      <c r="LEC20" s="94"/>
      <c r="LED20" s="94"/>
      <c r="LEE20" s="94"/>
      <c r="LEF20" s="94"/>
      <c r="LEG20" s="94"/>
      <c r="LEH20" s="94"/>
      <c r="LEI20" s="94"/>
      <c r="LEJ20" s="94"/>
      <c r="LEK20" s="94"/>
      <c r="LEL20" s="94"/>
      <c r="LEM20" s="94"/>
      <c r="LEN20" s="94"/>
      <c r="LEO20" s="94"/>
      <c r="LEP20" s="94"/>
      <c r="LEQ20" s="94"/>
      <c r="LER20" s="94"/>
      <c r="LES20" s="94"/>
      <c r="LET20" s="94"/>
      <c r="LEU20" s="94"/>
      <c r="LEV20" s="94"/>
      <c r="LEW20" s="94"/>
      <c r="LEX20" s="94"/>
      <c r="LEY20" s="94"/>
      <c r="LEZ20" s="94"/>
      <c r="LFA20" s="94"/>
      <c r="LFB20" s="94"/>
      <c r="LFC20" s="94"/>
      <c r="LFD20" s="94"/>
      <c r="LFE20" s="94"/>
      <c r="LFF20" s="94"/>
      <c r="LFG20" s="94"/>
      <c r="LFH20" s="94"/>
      <c r="LFI20" s="94"/>
      <c r="LFJ20" s="94"/>
      <c r="LFK20" s="94"/>
      <c r="LFL20" s="94"/>
      <c r="LFM20" s="94"/>
      <c r="LFN20" s="94"/>
      <c r="LFO20" s="94"/>
      <c r="LFP20" s="94"/>
      <c r="LFQ20" s="94"/>
      <c r="LFR20" s="94"/>
      <c r="LFS20" s="94"/>
      <c r="LFT20" s="94"/>
      <c r="LFU20" s="94"/>
      <c r="LFV20" s="94"/>
      <c r="LFW20" s="94"/>
      <c r="LFX20" s="94"/>
      <c r="LFY20" s="94"/>
      <c r="LFZ20" s="94"/>
      <c r="LGA20" s="94"/>
      <c r="LGB20" s="94"/>
      <c r="LGC20" s="94"/>
      <c r="LGD20" s="94"/>
      <c r="LGE20" s="94"/>
      <c r="LGF20" s="94"/>
      <c r="LGG20" s="94"/>
      <c r="LGH20" s="94"/>
      <c r="LGI20" s="94"/>
      <c r="LGJ20" s="94"/>
      <c r="LGK20" s="94"/>
      <c r="LGL20" s="94"/>
      <c r="LGM20" s="94"/>
      <c r="LGN20" s="94"/>
      <c r="LGO20" s="94"/>
      <c r="LGP20" s="94"/>
      <c r="LGQ20" s="94"/>
      <c r="LGR20" s="94"/>
      <c r="LGS20" s="94"/>
      <c r="LGT20" s="94"/>
      <c r="LGU20" s="94"/>
      <c r="LGV20" s="94"/>
      <c r="LGW20" s="94"/>
      <c r="LGX20" s="94"/>
      <c r="LGY20" s="94"/>
      <c r="LGZ20" s="94"/>
      <c r="LHA20" s="94"/>
      <c r="LHB20" s="94"/>
      <c r="LHC20" s="94"/>
      <c r="LHD20" s="94"/>
      <c r="LHE20" s="94"/>
      <c r="LHF20" s="94"/>
      <c r="LHG20" s="94"/>
      <c r="LHH20" s="94"/>
      <c r="LHI20" s="94"/>
      <c r="LHJ20" s="94"/>
      <c r="LHK20" s="94"/>
      <c r="LHL20" s="94"/>
      <c r="LHM20" s="94"/>
      <c r="LHN20" s="94"/>
      <c r="LHO20" s="94"/>
      <c r="LHP20" s="94"/>
      <c r="LHQ20" s="94"/>
      <c r="LHR20" s="94"/>
      <c r="LHS20" s="94"/>
      <c r="LHT20" s="94"/>
      <c r="LHU20" s="94"/>
      <c r="LHV20" s="94"/>
      <c r="LHW20" s="94"/>
      <c r="LHX20" s="94"/>
      <c r="LHY20" s="94"/>
      <c r="LHZ20" s="94"/>
      <c r="LIA20" s="94"/>
      <c r="LIB20" s="94"/>
      <c r="LIC20" s="94"/>
      <c r="LID20" s="94"/>
      <c r="LIE20" s="94"/>
      <c r="LIF20" s="94"/>
      <c r="LIG20" s="94"/>
      <c r="LIH20" s="94"/>
      <c r="LII20" s="94"/>
      <c r="LIJ20" s="94"/>
      <c r="LIK20" s="94"/>
      <c r="LIL20" s="94"/>
      <c r="LIM20" s="94"/>
      <c r="LIN20" s="94"/>
      <c r="LIO20" s="94"/>
      <c r="LIP20" s="94"/>
      <c r="LIQ20" s="94"/>
      <c r="LIR20" s="94"/>
      <c r="LIS20" s="94"/>
      <c r="LIT20" s="94"/>
      <c r="LIU20" s="94"/>
      <c r="LIV20" s="94"/>
      <c r="LIW20" s="94"/>
      <c r="LIX20" s="94"/>
      <c r="LIY20" s="94"/>
      <c r="LIZ20" s="94"/>
      <c r="LJA20" s="94"/>
      <c r="LJB20" s="94"/>
      <c r="LJC20" s="94"/>
      <c r="LJD20" s="94"/>
      <c r="LJE20" s="94"/>
      <c r="LJF20" s="94"/>
      <c r="LJG20" s="94"/>
      <c r="LJH20" s="94"/>
      <c r="LJI20" s="94"/>
      <c r="LJJ20" s="94"/>
      <c r="LJK20" s="94"/>
      <c r="LJL20" s="94"/>
      <c r="LJM20" s="94"/>
      <c r="LJN20" s="94"/>
      <c r="LJO20" s="94"/>
      <c r="LJP20" s="94"/>
      <c r="LJQ20" s="94"/>
      <c r="LJR20" s="94"/>
      <c r="LJS20" s="94"/>
      <c r="LJT20" s="94"/>
      <c r="LJU20" s="94"/>
      <c r="LJV20" s="94"/>
      <c r="LJW20" s="94"/>
      <c r="LJX20" s="94"/>
      <c r="LJY20" s="94"/>
      <c r="LJZ20" s="94"/>
      <c r="LKA20" s="94"/>
      <c r="LKB20" s="94"/>
      <c r="LKC20" s="94"/>
      <c r="LKD20" s="94"/>
      <c r="LKE20" s="94"/>
      <c r="LKF20" s="94"/>
      <c r="LKG20" s="94"/>
      <c r="LKH20" s="94"/>
      <c r="LKI20" s="94"/>
      <c r="LKJ20" s="94"/>
      <c r="LKK20" s="94"/>
      <c r="LKL20" s="94"/>
      <c r="LKM20" s="94"/>
      <c r="LKN20" s="94"/>
      <c r="LKO20" s="94"/>
      <c r="LKP20" s="94"/>
      <c r="LKQ20" s="94"/>
      <c r="LKR20" s="94"/>
      <c r="LKS20" s="94"/>
      <c r="LKT20" s="94"/>
      <c r="LKU20" s="94"/>
      <c r="LKV20" s="94"/>
      <c r="LKW20" s="94"/>
      <c r="LKX20" s="94"/>
      <c r="LKY20" s="94"/>
      <c r="LKZ20" s="94"/>
      <c r="LLA20" s="94"/>
      <c r="LLB20" s="94"/>
      <c r="LLC20" s="94"/>
      <c r="LLD20" s="94"/>
      <c r="LLE20" s="94"/>
      <c r="LLF20" s="94"/>
      <c r="LLG20" s="94"/>
      <c r="LLH20" s="94"/>
      <c r="LLI20" s="94"/>
      <c r="LLJ20" s="94"/>
      <c r="LLK20" s="94"/>
      <c r="LLL20" s="94"/>
      <c r="LLM20" s="94"/>
      <c r="LLN20" s="94"/>
      <c r="LLO20" s="94"/>
      <c r="LLP20" s="94"/>
      <c r="LLQ20" s="94"/>
      <c r="LLR20" s="94"/>
      <c r="LLS20" s="94"/>
      <c r="LLT20" s="94"/>
      <c r="LLU20" s="94"/>
      <c r="LLV20" s="94"/>
      <c r="LLW20" s="94"/>
      <c r="LLX20" s="94"/>
      <c r="LLY20" s="94"/>
      <c r="LLZ20" s="94"/>
      <c r="LMA20" s="94"/>
      <c r="LMB20" s="94"/>
      <c r="LMC20" s="94"/>
      <c r="LMD20" s="94"/>
      <c r="LME20" s="94"/>
      <c r="LMF20" s="94"/>
      <c r="LMG20" s="94"/>
      <c r="LMH20" s="94"/>
      <c r="LMI20" s="94"/>
      <c r="LMJ20" s="94"/>
      <c r="LMK20" s="94"/>
      <c r="LML20" s="94"/>
      <c r="LMM20" s="94"/>
      <c r="LMN20" s="94"/>
      <c r="LMO20" s="94"/>
      <c r="LMP20" s="94"/>
      <c r="LMQ20" s="94"/>
      <c r="LMR20" s="94"/>
      <c r="LMS20" s="94"/>
      <c r="LMT20" s="94"/>
      <c r="LMU20" s="94"/>
      <c r="LMV20" s="94"/>
      <c r="LMW20" s="94"/>
      <c r="LMX20" s="94"/>
      <c r="LMY20" s="94"/>
      <c r="LMZ20" s="94"/>
      <c r="LNA20" s="94"/>
      <c r="LNB20" s="94"/>
      <c r="LNC20" s="94"/>
      <c r="LND20" s="94"/>
      <c r="LNE20" s="94"/>
      <c r="LNF20" s="94"/>
      <c r="LNG20" s="94"/>
      <c r="LNH20" s="94"/>
      <c r="LNI20" s="94"/>
      <c r="LNJ20" s="94"/>
      <c r="LNK20" s="94"/>
      <c r="LNL20" s="94"/>
      <c r="LNM20" s="94"/>
      <c r="LNN20" s="94"/>
      <c r="LNO20" s="94"/>
      <c r="LNP20" s="94"/>
      <c r="LNQ20" s="94"/>
      <c r="LNR20" s="94"/>
      <c r="LNS20" s="94"/>
      <c r="LNT20" s="94"/>
      <c r="LNU20" s="94"/>
      <c r="LNV20" s="94"/>
      <c r="LNW20" s="94"/>
      <c r="LNX20" s="94"/>
      <c r="LNY20" s="94"/>
      <c r="LNZ20" s="94"/>
      <c r="LOA20" s="94"/>
      <c r="LOB20" s="94"/>
      <c r="LOC20" s="94"/>
      <c r="LOD20" s="94"/>
      <c r="LOE20" s="94"/>
      <c r="LOF20" s="94"/>
      <c r="LOG20" s="94"/>
      <c r="LOH20" s="94"/>
      <c r="LOI20" s="94"/>
      <c r="LOJ20" s="94"/>
      <c r="LOK20" s="94"/>
      <c r="LOL20" s="94"/>
      <c r="LOM20" s="94"/>
      <c r="LON20" s="94"/>
      <c r="LOO20" s="94"/>
      <c r="LOP20" s="94"/>
      <c r="LOQ20" s="94"/>
      <c r="LOR20" s="94"/>
      <c r="LOS20" s="94"/>
      <c r="LOT20" s="94"/>
      <c r="LOU20" s="94"/>
      <c r="LOV20" s="94"/>
      <c r="LOW20" s="94"/>
      <c r="LOX20" s="94"/>
      <c r="LOY20" s="94"/>
      <c r="LOZ20" s="94"/>
      <c r="LPA20" s="94"/>
      <c r="LPB20" s="94"/>
      <c r="LPC20" s="94"/>
      <c r="LPD20" s="94"/>
      <c r="LPE20" s="94"/>
      <c r="LPF20" s="94"/>
      <c r="LPG20" s="94"/>
      <c r="LPH20" s="94"/>
      <c r="LPI20" s="94"/>
      <c r="LPJ20" s="94"/>
      <c r="LPK20" s="94"/>
      <c r="LPL20" s="94"/>
      <c r="LPM20" s="94"/>
      <c r="LPN20" s="94"/>
      <c r="LPO20" s="94"/>
      <c r="LPP20" s="94"/>
      <c r="LPQ20" s="94"/>
      <c r="LPR20" s="94"/>
      <c r="LPS20" s="94"/>
      <c r="LPT20" s="94"/>
      <c r="LPU20" s="94"/>
      <c r="LPV20" s="94"/>
      <c r="LPW20" s="94"/>
      <c r="LPX20" s="94"/>
      <c r="LPY20" s="94"/>
      <c r="LPZ20" s="94"/>
      <c r="LQA20" s="94"/>
      <c r="LQB20" s="94"/>
      <c r="LQC20" s="94"/>
      <c r="LQD20" s="94"/>
      <c r="LQE20" s="94"/>
      <c r="LQF20" s="94"/>
      <c r="LQG20" s="94"/>
      <c r="LQH20" s="94"/>
      <c r="LQI20" s="94"/>
      <c r="LQJ20" s="94"/>
      <c r="LQK20" s="94"/>
      <c r="LQL20" s="94"/>
      <c r="LQM20" s="94"/>
      <c r="LQN20" s="94"/>
      <c r="LQO20" s="94"/>
      <c r="LQP20" s="94"/>
      <c r="LQQ20" s="94"/>
      <c r="LQR20" s="94"/>
      <c r="LQS20" s="94"/>
      <c r="LQT20" s="94"/>
      <c r="LQU20" s="94"/>
      <c r="LQV20" s="94"/>
      <c r="LQW20" s="94"/>
      <c r="LQX20" s="94"/>
      <c r="LQY20" s="94"/>
      <c r="LQZ20" s="94"/>
      <c r="LRA20" s="94"/>
      <c r="LRB20" s="94"/>
      <c r="LRC20" s="94"/>
      <c r="LRD20" s="94"/>
      <c r="LRE20" s="94"/>
      <c r="LRF20" s="94"/>
      <c r="LRG20" s="94"/>
      <c r="LRH20" s="94"/>
      <c r="LRI20" s="94"/>
      <c r="LRJ20" s="94"/>
      <c r="LRK20" s="94"/>
      <c r="LRL20" s="94"/>
      <c r="LRM20" s="94"/>
      <c r="LRN20" s="94"/>
      <c r="LRO20" s="94"/>
      <c r="LRP20" s="94"/>
      <c r="LRQ20" s="94"/>
      <c r="LRR20" s="94"/>
      <c r="LRS20" s="94"/>
      <c r="LRT20" s="94"/>
      <c r="LRU20" s="94"/>
      <c r="LRV20" s="94"/>
      <c r="LRW20" s="94"/>
      <c r="LRX20" s="94"/>
      <c r="LRY20" s="94"/>
      <c r="LRZ20" s="94"/>
      <c r="LSA20" s="94"/>
      <c r="LSB20" s="94"/>
      <c r="LSC20" s="94"/>
      <c r="LSD20" s="94"/>
      <c r="LSE20" s="94"/>
      <c r="LSF20" s="94"/>
      <c r="LSG20" s="94"/>
      <c r="LSH20" s="94"/>
      <c r="LSI20" s="94"/>
      <c r="LSJ20" s="94"/>
      <c r="LSK20" s="94"/>
      <c r="LSL20" s="94"/>
      <c r="LSM20" s="94"/>
      <c r="LSN20" s="94"/>
      <c r="LSO20" s="94"/>
      <c r="LSP20" s="94"/>
      <c r="LSQ20" s="94"/>
      <c r="LSR20" s="94"/>
      <c r="LSS20" s="94"/>
      <c r="LST20" s="94"/>
      <c r="LSU20" s="94"/>
      <c r="LSV20" s="94"/>
      <c r="LSW20" s="94"/>
      <c r="LSX20" s="94"/>
      <c r="LSY20" s="94"/>
      <c r="LSZ20" s="94"/>
      <c r="LTA20" s="94"/>
      <c r="LTB20" s="94"/>
      <c r="LTC20" s="94"/>
      <c r="LTD20" s="94"/>
      <c r="LTE20" s="94"/>
      <c r="LTF20" s="94"/>
      <c r="LTG20" s="94"/>
      <c r="LTH20" s="94"/>
      <c r="LTI20" s="94"/>
      <c r="LTJ20" s="94"/>
      <c r="LTK20" s="94"/>
      <c r="LTL20" s="94"/>
      <c r="LTM20" s="94"/>
      <c r="LTN20" s="94"/>
      <c r="LTO20" s="94"/>
      <c r="LTP20" s="94"/>
      <c r="LTQ20" s="94"/>
      <c r="LTR20" s="94"/>
      <c r="LTS20" s="94"/>
      <c r="LTT20" s="94"/>
      <c r="LTU20" s="94"/>
      <c r="LTV20" s="94"/>
      <c r="LTW20" s="94"/>
      <c r="LTX20" s="94"/>
      <c r="LTY20" s="94"/>
      <c r="LTZ20" s="94"/>
      <c r="LUA20" s="94"/>
      <c r="LUB20" s="94"/>
      <c r="LUC20" s="94"/>
      <c r="LUD20" s="94"/>
      <c r="LUE20" s="94"/>
      <c r="LUF20" s="94"/>
      <c r="LUG20" s="94"/>
      <c r="LUH20" s="94"/>
      <c r="LUI20" s="94"/>
      <c r="LUJ20" s="94"/>
      <c r="LUK20" s="94"/>
      <c r="LUL20" s="94"/>
      <c r="LUM20" s="94"/>
      <c r="LUN20" s="94"/>
      <c r="LUO20" s="94"/>
      <c r="LUP20" s="94"/>
      <c r="LUQ20" s="94"/>
      <c r="LUR20" s="94"/>
      <c r="LUS20" s="94"/>
      <c r="LUT20" s="94"/>
      <c r="LUU20" s="94"/>
      <c r="LUV20" s="94"/>
      <c r="LUW20" s="94"/>
      <c r="LUX20" s="94"/>
      <c r="LUY20" s="94"/>
      <c r="LUZ20" s="94"/>
      <c r="LVA20" s="94"/>
      <c r="LVB20" s="94"/>
      <c r="LVC20" s="94"/>
      <c r="LVD20" s="94"/>
      <c r="LVE20" s="94"/>
      <c r="LVF20" s="94"/>
      <c r="LVG20" s="94"/>
      <c r="LVH20" s="94"/>
      <c r="LVI20" s="94"/>
      <c r="LVJ20" s="94"/>
      <c r="LVK20" s="94"/>
      <c r="LVL20" s="94"/>
      <c r="LVM20" s="94"/>
      <c r="LVN20" s="94"/>
      <c r="LVO20" s="94"/>
      <c r="LVP20" s="94"/>
      <c r="LVQ20" s="94"/>
      <c r="LVR20" s="94"/>
      <c r="LVS20" s="94"/>
      <c r="LVT20" s="94"/>
      <c r="LVU20" s="94"/>
      <c r="LVV20" s="94"/>
      <c r="LVW20" s="94"/>
      <c r="LVX20" s="94"/>
      <c r="LVY20" s="94"/>
      <c r="LVZ20" s="94"/>
      <c r="LWA20" s="94"/>
      <c r="LWB20" s="94"/>
      <c r="LWC20" s="94"/>
      <c r="LWD20" s="94"/>
      <c r="LWE20" s="94"/>
      <c r="LWF20" s="94"/>
      <c r="LWG20" s="94"/>
      <c r="LWH20" s="94"/>
      <c r="LWI20" s="94"/>
      <c r="LWJ20" s="94"/>
      <c r="LWK20" s="94"/>
      <c r="LWL20" s="94"/>
      <c r="LWM20" s="94"/>
      <c r="LWN20" s="94"/>
      <c r="LWO20" s="94"/>
      <c r="LWP20" s="94"/>
      <c r="LWQ20" s="94"/>
      <c r="LWR20" s="94"/>
      <c r="LWS20" s="94"/>
      <c r="LWT20" s="94"/>
      <c r="LWU20" s="94"/>
      <c r="LWV20" s="94"/>
      <c r="LWW20" s="94"/>
      <c r="LWX20" s="94"/>
      <c r="LWY20" s="94"/>
      <c r="LWZ20" s="94"/>
      <c r="LXA20" s="94"/>
      <c r="LXB20" s="94"/>
      <c r="LXC20" s="94"/>
      <c r="LXD20" s="94"/>
      <c r="LXE20" s="94"/>
      <c r="LXF20" s="94"/>
      <c r="LXG20" s="94"/>
      <c r="LXH20" s="94"/>
      <c r="LXI20" s="94"/>
      <c r="LXJ20" s="94"/>
      <c r="LXK20" s="94"/>
      <c r="LXL20" s="94"/>
      <c r="LXM20" s="94"/>
      <c r="LXN20" s="94"/>
      <c r="LXO20" s="94"/>
      <c r="LXP20" s="94"/>
      <c r="LXQ20" s="94"/>
      <c r="LXR20" s="94"/>
      <c r="LXS20" s="94"/>
      <c r="LXT20" s="94"/>
      <c r="LXU20" s="94"/>
      <c r="LXV20" s="94"/>
      <c r="LXW20" s="94"/>
      <c r="LXX20" s="94"/>
      <c r="LXY20" s="94"/>
      <c r="LXZ20" s="94"/>
      <c r="LYA20" s="94"/>
      <c r="LYB20" s="94"/>
      <c r="LYC20" s="94"/>
      <c r="LYD20" s="94"/>
      <c r="LYE20" s="94"/>
      <c r="LYF20" s="94"/>
      <c r="LYG20" s="94"/>
      <c r="LYH20" s="94"/>
      <c r="LYI20" s="94"/>
      <c r="LYJ20" s="94"/>
      <c r="LYK20" s="94"/>
      <c r="LYL20" s="94"/>
      <c r="LYM20" s="94"/>
      <c r="LYN20" s="94"/>
      <c r="LYO20" s="94"/>
      <c r="LYP20" s="94"/>
      <c r="LYQ20" s="94"/>
      <c r="LYR20" s="94"/>
      <c r="LYS20" s="94"/>
      <c r="LYT20" s="94"/>
      <c r="LYU20" s="94"/>
      <c r="LYV20" s="94"/>
      <c r="LYW20" s="94"/>
      <c r="LYX20" s="94"/>
      <c r="LYY20" s="94"/>
      <c r="LYZ20" s="94"/>
      <c r="LZA20" s="94"/>
      <c r="LZB20" s="94"/>
      <c r="LZC20" s="94"/>
      <c r="LZD20" s="94"/>
      <c r="LZE20" s="94"/>
      <c r="LZF20" s="94"/>
      <c r="LZG20" s="94"/>
      <c r="LZH20" s="94"/>
      <c r="LZI20" s="94"/>
      <c r="LZJ20" s="94"/>
      <c r="LZK20" s="94"/>
      <c r="LZL20" s="94"/>
      <c r="LZM20" s="94"/>
      <c r="LZN20" s="94"/>
      <c r="LZO20" s="94"/>
      <c r="LZP20" s="94"/>
      <c r="LZQ20" s="94"/>
      <c r="LZR20" s="94"/>
      <c r="LZS20" s="94"/>
      <c r="LZT20" s="94"/>
      <c r="LZU20" s="94"/>
      <c r="LZV20" s="94"/>
      <c r="LZW20" s="94"/>
      <c r="LZX20" s="94"/>
      <c r="LZY20" s="94"/>
      <c r="LZZ20" s="94"/>
      <c r="MAA20" s="94"/>
      <c r="MAB20" s="94"/>
      <c r="MAC20" s="94"/>
      <c r="MAD20" s="94"/>
      <c r="MAE20" s="94"/>
      <c r="MAF20" s="94"/>
      <c r="MAG20" s="94"/>
      <c r="MAH20" s="94"/>
      <c r="MAI20" s="94"/>
      <c r="MAJ20" s="94"/>
      <c r="MAK20" s="94"/>
      <c r="MAL20" s="94"/>
      <c r="MAM20" s="94"/>
      <c r="MAN20" s="94"/>
      <c r="MAO20" s="94"/>
      <c r="MAP20" s="94"/>
      <c r="MAQ20" s="94"/>
      <c r="MAR20" s="94"/>
      <c r="MAS20" s="94"/>
      <c r="MAT20" s="94"/>
      <c r="MAU20" s="94"/>
      <c r="MAV20" s="94"/>
      <c r="MAW20" s="94"/>
      <c r="MAX20" s="94"/>
      <c r="MAY20" s="94"/>
      <c r="MAZ20" s="94"/>
      <c r="MBA20" s="94"/>
      <c r="MBB20" s="94"/>
      <c r="MBC20" s="94"/>
      <c r="MBD20" s="94"/>
      <c r="MBE20" s="94"/>
      <c r="MBF20" s="94"/>
      <c r="MBG20" s="94"/>
      <c r="MBH20" s="94"/>
      <c r="MBI20" s="94"/>
      <c r="MBJ20" s="94"/>
      <c r="MBK20" s="94"/>
      <c r="MBL20" s="94"/>
      <c r="MBM20" s="94"/>
      <c r="MBN20" s="94"/>
      <c r="MBO20" s="94"/>
      <c r="MBP20" s="94"/>
      <c r="MBQ20" s="94"/>
      <c r="MBR20" s="94"/>
      <c r="MBS20" s="94"/>
      <c r="MBT20" s="94"/>
      <c r="MBU20" s="94"/>
      <c r="MBV20" s="94"/>
      <c r="MBW20" s="94"/>
      <c r="MBX20" s="94"/>
      <c r="MBY20" s="94"/>
      <c r="MBZ20" s="94"/>
      <c r="MCA20" s="94"/>
      <c r="MCB20" s="94"/>
      <c r="MCC20" s="94"/>
      <c r="MCD20" s="94"/>
      <c r="MCE20" s="94"/>
      <c r="MCF20" s="94"/>
      <c r="MCG20" s="94"/>
      <c r="MCH20" s="94"/>
      <c r="MCI20" s="94"/>
      <c r="MCJ20" s="94"/>
      <c r="MCK20" s="94"/>
      <c r="MCL20" s="94"/>
      <c r="MCM20" s="94"/>
      <c r="MCN20" s="94"/>
      <c r="MCO20" s="94"/>
      <c r="MCP20" s="94"/>
      <c r="MCQ20" s="94"/>
      <c r="MCR20" s="94"/>
      <c r="MCS20" s="94"/>
      <c r="MCT20" s="94"/>
      <c r="MCU20" s="94"/>
      <c r="MCV20" s="94"/>
      <c r="MCW20" s="94"/>
      <c r="MCX20" s="94"/>
      <c r="MCY20" s="94"/>
      <c r="MCZ20" s="94"/>
      <c r="MDA20" s="94"/>
      <c r="MDB20" s="94"/>
      <c r="MDC20" s="94"/>
      <c r="MDD20" s="94"/>
      <c r="MDE20" s="94"/>
      <c r="MDF20" s="94"/>
      <c r="MDG20" s="94"/>
      <c r="MDH20" s="94"/>
      <c r="MDI20" s="94"/>
      <c r="MDJ20" s="94"/>
      <c r="MDK20" s="94"/>
      <c r="MDL20" s="94"/>
      <c r="MDM20" s="94"/>
      <c r="MDN20" s="94"/>
      <c r="MDO20" s="94"/>
      <c r="MDP20" s="94"/>
      <c r="MDQ20" s="94"/>
      <c r="MDR20" s="94"/>
      <c r="MDS20" s="94"/>
      <c r="MDT20" s="94"/>
      <c r="MDU20" s="94"/>
      <c r="MDV20" s="94"/>
      <c r="MDW20" s="94"/>
      <c r="MDX20" s="94"/>
      <c r="MDY20" s="94"/>
      <c r="MDZ20" s="94"/>
      <c r="MEA20" s="94"/>
      <c r="MEB20" s="94"/>
      <c r="MEC20" s="94"/>
      <c r="MED20" s="94"/>
      <c r="MEE20" s="94"/>
      <c r="MEF20" s="94"/>
      <c r="MEG20" s="94"/>
      <c r="MEH20" s="94"/>
      <c r="MEI20" s="94"/>
      <c r="MEJ20" s="94"/>
      <c r="MEK20" s="94"/>
      <c r="MEL20" s="94"/>
      <c r="MEM20" s="94"/>
      <c r="MEN20" s="94"/>
      <c r="MEO20" s="94"/>
      <c r="MEP20" s="94"/>
      <c r="MEQ20" s="94"/>
      <c r="MER20" s="94"/>
      <c r="MES20" s="94"/>
      <c r="MET20" s="94"/>
      <c r="MEU20" s="94"/>
      <c r="MEV20" s="94"/>
      <c r="MEW20" s="94"/>
      <c r="MEX20" s="94"/>
      <c r="MEY20" s="94"/>
      <c r="MEZ20" s="94"/>
      <c r="MFA20" s="94"/>
      <c r="MFB20" s="94"/>
      <c r="MFC20" s="94"/>
      <c r="MFD20" s="94"/>
      <c r="MFE20" s="94"/>
      <c r="MFF20" s="94"/>
      <c r="MFG20" s="94"/>
      <c r="MFH20" s="94"/>
      <c r="MFI20" s="94"/>
      <c r="MFJ20" s="94"/>
      <c r="MFK20" s="94"/>
      <c r="MFL20" s="94"/>
      <c r="MFM20" s="94"/>
      <c r="MFN20" s="94"/>
      <c r="MFO20" s="94"/>
      <c r="MFP20" s="94"/>
      <c r="MFQ20" s="94"/>
      <c r="MFR20" s="94"/>
      <c r="MFS20" s="94"/>
      <c r="MFT20" s="94"/>
      <c r="MFU20" s="94"/>
      <c r="MFV20" s="94"/>
      <c r="MFW20" s="94"/>
      <c r="MFX20" s="94"/>
      <c r="MFY20" s="94"/>
      <c r="MFZ20" s="94"/>
      <c r="MGA20" s="94"/>
      <c r="MGB20" s="94"/>
      <c r="MGC20" s="94"/>
      <c r="MGD20" s="94"/>
      <c r="MGE20" s="94"/>
      <c r="MGF20" s="94"/>
      <c r="MGG20" s="94"/>
      <c r="MGH20" s="94"/>
      <c r="MGI20" s="94"/>
      <c r="MGJ20" s="94"/>
      <c r="MGK20" s="94"/>
      <c r="MGL20" s="94"/>
      <c r="MGM20" s="94"/>
      <c r="MGN20" s="94"/>
      <c r="MGO20" s="94"/>
      <c r="MGP20" s="94"/>
      <c r="MGQ20" s="94"/>
      <c r="MGR20" s="94"/>
      <c r="MGS20" s="94"/>
      <c r="MGT20" s="94"/>
      <c r="MGU20" s="94"/>
      <c r="MGV20" s="94"/>
      <c r="MGW20" s="94"/>
      <c r="MGX20" s="94"/>
      <c r="MGY20" s="94"/>
      <c r="MGZ20" s="94"/>
      <c r="MHA20" s="94"/>
      <c r="MHB20" s="94"/>
      <c r="MHC20" s="94"/>
      <c r="MHD20" s="94"/>
      <c r="MHE20" s="94"/>
      <c r="MHF20" s="94"/>
      <c r="MHG20" s="94"/>
      <c r="MHH20" s="94"/>
      <c r="MHI20" s="94"/>
      <c r="MHJ20" s="94"/>
      <c r="MHK20" s="94"/>
      <c r="MHL20" s="94"/>
      <c r="MHM20" s="94"/>
      <c r="MHN20" s="94"/>
      <c r="MHO20" s="94"/>
      <c r="MHP20" s="94"/>
      <c r="MHQ20" s="94"/>
      <c r="MHR20" s="94"/>
      <c r="MHS20" s="94"/>
      <c r="MHT20" s="94"/>
      <c r="MHU20" s="94"/>
      <c r="MHV20" s="94"/>
      <c r="MHW20" s="94"/>
      <c r="MHX20" s="94"/>
      <c r="MHY20" s="94"/>
      <c r="MHZ20" s="94"/>
      <c r="MIA20" s="94"/>
      <c r="MIB20" s="94"/>
      <c r="MIC20" s="94"/>
      <c r="MID20" s="94"/>
      <c r="MIE20" s="94"/>
      <c r="MIF20" s="94"/>
      <c r="MIG20" s="94"/>
      <c r="MIH20" s="94"/>
      <c r="MII20" s="94"/>
      <c r="MIJ20" s="94"/>
      <c r="MIK20" s="94"/>
      <c r="MIL20" s="94"/>
      <c r="MIM20" s="94"/>
      <c r="MIN20" s="94"/>
      <c r="MIO20" s="94"/>
      <c r="MIP20" s="94"/>
      <c r="MIQ20" s="94"/>
      <c r="MIR20" s="94"/>
      <c r="MIS20" s="94"/>
      <c r="MIT20" s="94"/>
      <c r="MIU20" s="94"/>
      <c r="MIV20" s="94"/>
      <c r="MIW20" s="94"/>
      <c r="MIX20" s="94"/>
      <c r="MIY20" s="94"/>
      <c r="MIZ20" s="94"/>
      <c r="MJA20" s="94"/>
      <c r="MJB20" s="94"/>
      <c r="MJC20" s="94"/>
      <c r="MJD20" s="94"/>
      <c r="MJE20" s="94"/>
      <c r="MJF20" s="94"/>
      <c r="MJG20" s="94"/>
      <c r="MJH20" s="94"/>
      <c r="MJI20" s="94"/>
      <c r="MJJ20" s="94"/>
      <c r="MJK20" s="94"/>
      <c r="MJL20" s="94"/>
      <c r="MJM20" s="94"/>
      <c r="MJN20" s="94"/>
      <c r="MJO20" s="94"/>
      <c r="MJP20" s="94"/>
      <c r="MJQ20" s="94"/>
      <c r="MJR20" s="94"/>
      <c r="MJS20" s="94"/>
      <c r="MJT20" s="94"/>
      <c r="MJU20" s="94"/>
      <c r="MJV20" s="94"/>
      <c r="MJW20" s="94"/>
      <c r="MJX20" s="94"/>
      <c r="MJY20" s="94"/>
      <c r="MJZ20" s="94"/>
      <c r="MKA20" s="94"/>
      <c r="MKB20" s="94"/>
      <c r="MKC20" s="94"/>
      <c r="MKD20" s="94"/>
      <c r="MKE20" s="94"/>
      <c r="MKF20" s="94"/>
      <c r="MKG20" s="94"/>
      <c r="MKH20" s="94"/>
      <c r="MKI20" s="94"/>
      <c r="MKJ20" s="94"/>
      <c r="MKK20" s="94"/>
      <c r="MKL20" s="94"/>
      <c r="MKM20" s="94"/>
      <c r="MKN20" s="94"/>
      <c r="MKO20" s="94"/>
      <c r="MKP20" s="94"/>
      <c r="MKQ20" s="94"/>
      <c r="MKR20" s="94"/>
      <c r="MKS20" s="94"/>
      <c r="MKT20" s="94"/>
      <c r="MKU20" s="94"/>
      <c r="MKV20" s="94"/>
      <c r="MKW20" s="94"/>
      <c r="MKX20" s="94"/>
      <c r="MKY20" s="94"/>
      <c r="MKZ20" s="94"/>
      <c r="MLA20" s="94"/>
      <c r="MLB20" s="94"/>
      <c r="MLC20" s="94"/>
      <c r="MLD20" s="94"/>
      <c r="MLE20" s="94"/>
      <c r="MLF20" s="94"/>
      <c r="MLG20" s="94"/>
      <c r="MLH20" s="94"/>
      <c r="MLI20" s="94"/>
      <c r="MLJ20" s="94"/>
      <c r="MLK20" s="94"/>
      <c r="MLL20" s="94"/>
      <c r="MLM20" s="94"/>
      <c r="MLN20" s="94"/>
      <c r="MLO20" s="94"/>
      <c r="MLP20" s="94"/>
      <c r="MLQ20" s="94"/>
      <c r="MLR20" s="94"/>
      <c r="MLS20" s="94"/>
      <c r="MLT20" s="94"/>
      <c r="MLU20" s="94"/>
      <c r="MLV20" s="94"/>
      <c r="MLW20" s="94"/>
      <c r="MLX20" s="94"/>
      <c r="MLY20" s="94"/>
      <c r="MLZ20" s="94"/>
      <c r="MMA20" s="94"/>
      <c r="MMB20" s="94"/>
      <c r="MMC20" s="94"/>
      <c r="MMD20" s="94"/>
      <c r="MME20" s="94"/>
      <c r="MMF20" s="94"/>
      <c r="MMG20" s="94"/>
      <c r="MMH20" s="94"/>
      <c r="MMI20" s="94"/>
      <c r="MMJ20" s="94"/>
      <c r="MMK20" s="94"/>
      <c r="MML20" s="94"/>
      <c r="MMM20" s="94"/>
      <c r="MMN20" s="94"/>
      <c r="MMO20" s="94"/>
      <c r="MMP20" s="94"/>
      <c r="MMQ20" s="94"/>
      <c r="MMR20" s="94"/>
      <c r="MMS20" s="94"/>
      <c r="MMT20" s="94"/>
      <c r="MMU20" s="94"/>
      <c r="MMV20" s="94"/>
      <c r="MMW20" s="94"/>
      <c r="MMX20" s="94"/>
      <c r="MMY20" s="94"/>
      <c r="MMZ20" s="94"/>
      <c r="MNA20" s="94"/>
      <c r="MNB20" s="94"/>
      <c r="MNC20" s="94"/>
      <c r="MND20" s="94"/>
      <c r="MNE20" s="94"/>
      <c r="MNF20" s="94"/>
      <c r="MNG20" s="94"/>
      <c r="MNH20" s="94"/>
      <c r="MNI20" s="94"/>
      <c r="MNJ20" s="94"/>
      <c r="MNK20" s="94"/>
      <c r="MNL20" s="94"/>
      <c r="MNM20" s="94"/>
      <c r="MNN20" s="94"/>
      <c r="MNO20" s="94"/>
      <c r="MNP20" s="94"/>
      <c r="MNQ20" s="94"/>
      <c r="MNR20" s="94"/>
      <c r="MNS20" s="94"/>
      <c r="MNT20" s="94"/>
      <c r="MNU20" s="94"/>
      <c r="MNV20" s="94"/>
      <c r="MNW20" s="94"/>
      <c r="MNX20" s="94"/>
      <c r="MNY20" s="94"/>
      <c r="MNZ20" s="94"/>
      <c r="MOA20" s="94"/>
      <c r="MOB20" s="94"/>
      <c r="MOC20" s="94"/>
      <c r="MOD20" s="94"/>
      <c r="MOE20" s="94"/>
      <c r="MOF20" s="94"/>
      <c r="MOG20" s="94"/>
      <c r="MOH20" s="94"/>
      <c r="MOI20" s="94"/>
      <c r="MOJ20" s="94"/>
      <c r="MOK20" s="94"/>
      <c r="MOL20" s="94"/>
      <c r="MOM20" s="94"/>
      <c r="MON20" s="94"/>
      <c r="MOO20" s="94"/>
      <c r="MOP20" s="94"/>
      <c r="MOQ20" s="94"/>
      <c r="MOR20" s="94"/>
      <c r="MOS20" s="94"/>
      <c r="MOT20" s="94"/>
      <c r="MOU20" s="94"/>
      <c r="MOV20" s="94"/>
      <c r="MOW20" s="94"/>
      <c r="MOX20" s="94"/>
      <c r="MOY20" s="94"/>
      <c r="MOZ20" s="94"/>
      <c r="MPA20" s="94"/>
      <c r="MPB20" s="94"/>
      <c r="MPC20" s="94"/>
      <c r="MPD20" s="94"/>
      <c r="MPE20" s="94"/>
      <c r="MPF20" s="94"/>
      <c r="MPG20" s="94"/>
      <c r="MPH20" s="94"/>
      <c r="MPI20" s="94"/>
      <c r="MPJ20" s="94"/>
      <c r="MPK20" s="94"/>
      <c r="MPL20" s="94"/>
      <c r="MPM20" s="94"/>
      <c r="MPN20" s="94"/>
      <c r="MPO20" s="94"/>
      <c r="MPP20" s="94"/>
      <c r="MPQ20" s="94"/>
      <c r="MPR20" s="94"/>
      <c r="MPS20" s="94"/>
      <c r="MPT20" s="94"/>
      <c r="MPU20" s="94"/>
      <c r="MPV20" s="94"/>
      <c r="MPW20" s="94"/>
      <c r="MPX20" s="94"/>
      <c r="MPY20" s="94"/>
      <c r="MPZ20" s="94"/>
      <c r="MQA20" s="94"/>
      <c r="MQB20" s="94"/>
      <c r="MQC20" s="94"/>
      <c r="MQD20" s="94"/>
      <c r="MQE20" s="94"/>
      <c r="MQF20" s="94"/>
      <c r="MQG20" s="94"/>
      <c r="MQH20" s="94"/>
      <c r="MQI20" s="94"/>
      <c r="MQJ20" s="94"/>
      <c r="MQK20" s="94"/>
      <c r="MQL20" s="94"/>
      <c r="MQM20" s="94"/>
      <c r="MQN20" s="94"/>
      <c r="MQO20" s="94"/>
      <c r="MQP20" s="94"/>
      <c r="MQQ20" s="94"/>
      <c r="MQR20" s="94"/>
      <c r="MQS20" s="94"/>
      <c r="MQT20" s="94"/>
      <c r="MQU20" s="94"/>
      <c r="MQV20" s="94"/>
      <c r="MQW20" s="94"/>
      <c r="MQX20" s="94"/>
      <c r="MQY20" s="94"/>
      <c r="MQZ20" s="94"/>
      <c r="MRA20" s="94"/>
      <c r="MRB20" s="94"/>
      <c r="MRC20" s="94"/>
      <c r="MRD20" s="94"/>
      <c r="MRE20" s="94"/>
      <c r="MRF20" s="94"/>
      <c r="MRG20" s="94"/>
      <c r="MRH20" s="94"/>
      <c r="MRI20" s="94"/>
      <c r="MRJ20" s="94"/>
      <c r="MRK20" s="94"/>
      <c r="MRL20" s="94"/>
      <c r="MRM20" s="94"/>
      <c r="MRN20" s="94"/>
      <c r="MRO20" s="94"/>
      <c r="MRP20" s="94"/>
      <c r="MRQ20" s="94"/>
      <c r="MRR20" s="94"/>
      <c r="MRS20" s="94"/>
      <c r="MRT20" s="94"/>
      <c r="MRU20" s="94"/>
      <c r="MRV20" s="94"/>
      <c r="MRW20" s="94"/>
      <c r="MRX20" s="94"/>
      <c r="MRY20" s="94"/>
      <c r="MRZ20" s="94"/>
      <c r="MSA20" s="94"/>
      <c r="MSB20" s="94"/>
      <c r="MSC20" s="94"/>
      <c r="MSD20" s="94"/>
      <c r="MSE20" s="94"/>
      <c r="MSF20" s="94"/>
      <c r="MSG20" s="94"/>
      <c r="MSH20" s="94"/>
      <c r="MSI20" s="94"/>
      <c r="MSJ20" s="94"/>
      <c r="MSK20" s="94"/>
      <c r="MSL20" s="94"/>
      <c r="MSM20" s="94"/>
      <c r="MSN20" s="94"/>
      <c r="MSO20" s="94"/>
      <c r="MSP20" s="94"/>
      <c r="MSQ20" s="94"/>
      <c r="MSR20" s="94"/>
      <c r="MSS20" s="94"/>
      <c r="MST20" s="94"/>
      <c r="MSU20" s="94"/>
      <c r="MSV20" s="94"/>
      <c r="MSW20" s="94"/>
      <c r="MSX20" s="94"/>
      <c r="MSY20" s="94"/>
      <c r="MSZ20" s="94"/>
      <c r="MTA20" s="94"/>
      <c r="MTB20" s="94"/>
      <c r="MTC20" s="94"/>
      <c r="MTD20" s="94"/>
      <c r="MTE20" s="94"/>
      <c r="MTF20" s="94"/>
      <c r="MTG20" s="94"/>
      <c r="MTH20" s="94"/>
      <c r="MTI20" s="94"/>
      <c r="MTJ20" s="94"/>
      <c r="MTK20" s="94"/>
      <c r="MTL20" s="94"/>
      <c r="MTM20" s="94"/>
      <c r="MTN20" s="94"/>
      <c r="MTO20" s="94"/>
      <c r="MTP20" s="94"/>
      <c r="MTQ20" s="94"/>
      <c r="MTR20" s="94"/>
      <c r="MTS20" s="94"/>
      <c r="MTT20" s="94"/>
      <c r="MTU20" s="94"/>
      <c r="MTV20" s="94"/>
      <c r="MTW20" s="94"/>
      <c r="MTX20" s="94"/>
      <c r="MTY20" s="94"/>
      <c r="MTZ20" s="94"/>
      <c r="MUA20" s="94"/>
      <c r="MUB20" s="94"/>
      <c r="MUC20" s="94"/>
      <c r="MUD20" s="94"/>
      <c r="MUE20" s="94"/>
      <c r="MUF20" s="94"/>
      <c r="MUG20" s="94"/>
      <c r="MUH20" s="94"/>
      <c r="MUI20" s="94"/>
      <c r="MUJ20" s="94"/>
      <c r="MUK20" s="94"/>
      <c r="MUL20" s="94"/>
      <c r="MUM20" s="94"/>
      <c r="MUN20" s="94"/>
      <c r="MUO20" s="94"/>
      <c r="MUP20" s="94"/>
      <c r="MUQ20" s="94"/>
      <c r="MUR20" s="94"/>
      <c r="MUS20" s="94"/>
      <c r="MUT20" s="94"/>
      <c r="MUU20" s="94"/>
      <c r="MUV20" s="94"/>
      <c r="MUW20" s="94"/>
      <c r="MUX20" s="94"/>
      <c r="MUY20" s="94"/>
      <c r="MUZ20" s="94"/>
      <c r="MVA20" s="94"/>
      <c r="MVB20" s="94"/>
      <c r="MVC20" s="94"/>
      <c r="MVD20" s="94"/>
      <c r="MVE20" s="94"/>
      <c r="MVF20" s="94"/>
      <c r="MVG20" s="94"/>
      <c r="MVH20" s="94"/>
      <c r="MVI20" s="94"/>
      <c r="MVJ20" s="94"/>
      <c r="MVK20" s="94"/>
      <c r="MVL20" s="94"/>
      <c r="MVM20" s="94"/>
      <c r="MVN20" s="94"/>
      <c r="MVO20" s="94"/>
      <c r="MVP20" s="94"/>
      <c r="MVQ20" s="94"/>
      <c r="MVR20" s="94"/>
      <c r="MVS20" s="94"/>
      <c r="MVT20" s="94"/>
      <c r="MVU20" s="94"/>
      <c r="MVV20" s="94"/>
      <c r="MVW20" s="94"/>
      <c r="MVX20" s="94"/>
      <c r="MVY20" s="94"/>
      <c r="MVZ20" s="94"/>
      <c r="MWA20" s="94"/>
      <c r="MWB20" s="94"/>
      <c r="MWC20" s="94"/>
      <c r="MWD20" s="94"/>
      <c r="MWE20" s="94"/>
      <c r="MWF20" s="94"/>
      <c r="MWG20" s="94"/>
      <c r="MWH20" s="94"/>
      <c r="MWI20" s="94"/>
      <c r="MWJ20" s="94"/>
      <c r="MWK20" s="94"/>
      <c r="MWL20" s="94"/>
      <c r="MWM20" s="94"/>
      <c r="MWN20" s="94"/>
      <c r="MWO20" s="94"/>
      <c r="MWP20" s="94"/>
      <c r="MWQ20" s="94"/>
      <c r="MWR20" s="94"/>
      <c r="MWS20" s="94"/>
      <c r="MWT20" s="94"/>
      <c r="MWU20" s="94"/>
      <c r="MWV20" s="94"/>
      <c r="MWW20" s="94"/>
      <c r="MWX20" s="94"/>
      <c r="MWY20" s="94"/>
      <c r="MWZ20" s="94"/>
      <c r="MXA20" s="94"/>
      <c r="MXB20" s="94"/>
      <c r="MXC20" s="94"/>
      <c r="MXD20" s="94"/>
      <c r="MXE20" s="94"/>
      <c r="MXF20" s="94"/>
      <c r="MXG20" s="94"/>
      <c r="MXH20" s="94"/>
      <c r="MXI20" s="94"/>
      <c r="MXJ20" s="94"/>
      <c r="MXK20" s="94"/>
      <c r="MXL20" s="94"/>
      <c r="MXM20" s="94"/>
      <c r="MXN20" s="94"/>
      <c r="MXO20" s="94"/>
      <c r="MXP20" s="94"/>
      <c r="MXQ20" s="94"/>
      <c r="MXR20" s="94"/>
      <c r="MXS20" s="94"/>
      <c r="MXT20" s="94"/>
      <c r="MXU20" s="94"/>
      <c r="MXV20" s="94"/>
      <c r="MXW20" s="94"/>
      <c r="MXX20" s="94"/>
      <c r="MXY20" s="94"/>
      <c r="MXZ20" s="94"/>
      <c r="MYA20" s="94"/>
      <c r="MYB20" s="94"/>
      <c r="MYC20" s="94"/>
      <c r="MYD20" s="94"/>
      <c r="MYE20" s="94"/>
      <c r="MYF20" s="94"/>
      <c r="MYG20" s="94"/>
      <c r="MYH20" s="94"/>
      <c r="MYI20" s="94"/>
      <c r="MYJ20" s="94"/>
      <c r="MYK20" s="94"/>
      <c r="MYL20" s="94"/>
      <c r="MYM20" s="94"/>
      <c r="MYN20" s="94"/>
      <c r="MYO20" s="94"/>
      <c r="MYP20" s="94"/>
      <c r="MYQ20" s="94"/>
      <c r="MYR20" s="94"/>
      <c r="MYS20" s="94"/>
      <c r="MYT20" s="94"/>
      <c r="MYU20" s="94"/>
      <c r="MYV20" s="94"/>
      <c r="MYW20" s="94"/>
      <c r="MYX20" s="94"/>
      <c r="MYY20" s="94"/>
      <c r="MYZ20" s="94"/>
      <c r="MZA20" s="94"/>
      <c r="MZB20" s="94"/>
      <c r="MZC20" s="94"/>
      <c r="MZD20" s="94"/>
      <c r="MZE20" s="94"/>
      <c r="MZF20" s="94"/>
      <c r="MZG20" s="94"/>
      <c r="MZH20" s="94"/>
      <c r="MZI20" s="94"/>
      <c r="MZJ20" s="94"/>
      <c r="MZK20" s="94"/>
      <c r="MZL20" s="94"/>
      <c r="MZM20" s="94"/>
      <c r="MZN20" s="94"/>
      <c r="MZO20" s="94"/>
      <c r="MZP20" s="94"/>
      <c r="MZQ20" s="94"/>
      <c r="MZR20" s="94"/>
      <c r="MZS20" s="94"/>
      <c r="MZT20" s="94"/>
      <c r="MZU20" s="94"/>
      <c r="MZV20" s="94"/>
      <c r="MZW20" s="94"/>
      <c r="MZX20" s="94"/>
      <c r="MZY20" s="94"/>
      <c r="MZZ20" s="94"/>
      <c r="NAA20" s="94"/>
      <c r="NAB20" s="94"/>
      <c r="NAC20" s="94"/>
      <c r="NAD20" s="94"/>
      <c r="NAE20" s="94"/>
      <c r="NAF20" s="94"/>
      <c r="NAG20" s="94"/>
      <c r="NAH20" s="94"/>
      <c r="NAI20" s="94"/>
      <c r="NAJ20" s="94"/>
      <c r="NAK20" s="94"/>
      <c r="NAL20" s="94"/>
      <c r="NAM20" s="94"/>
      <c r="NAN20" s="94"/>
      <c r="NAO20" s="94"/>
      <c r="NAP20" s="94"/>
      <c r="NAQ20" s="94"/>
      <c r="NAR20" s="94"/>
      <c r="NAS20" s="94"/>
      <c r="NAT20" s="94"/>
      <c r="NAU20" s="94"/>
      <c r="NAV20" s="94"/>
      <c r="NAW20" s="94"/>
      <c r="NAX20" s="94"/>
      <c r="NAY20" s="94"/>
      <c r="NAZ20" s="94"/>
      <c r="NBA20" s="94"/>
      <c r="NBB20" s="94"/>
      <c r="NBC20" s="94"/>
      <c r="NBD20" s="94"/>
      <c r="NBE20" s="94"/>
      <c r="NBF20" s="94"/>
      <c r="NBG20" s="94"/>
      <c r="NBH20" s="94"/>
      <c r="NBI20" s="94"/>
      <c r="NBJ20" s="94"/>
      <c r="NBK20" s="94"/>
      <c r="NBL20" s="94"/>
      <c r="NBM20" s="94"/>
      <c r="NBN20" s="94"/>
      <c r="NBO20" s="94"/>
      <c r="NBP20" s="94"/>
      <c r="NBQ20" s="94"/>
      <c r="NBR20" s="94"/>
      <c r="NBS20" s="94"/>
      <c r="NBT20" s="94"/>
      <c r="NBU20" s="94"/>
      <c r="NBV20" s="94"/>
      <c r="NBW20" s="94"/>
      <c r="NBX20" s="94"/>
      <c r="NBY20" s="94"/>
      <c r="NBZ20" s="94"/>
      <c r="NCA20" s="94"/>
      <c r="NCB20" s="94"/>
      <c r="NCC20" s="94"/>
      <c r="NCD20" s="94"/>
      <c r="NCE20" s="94"/>
      <c r="NCF20" s="94"/>
      <c r="NCG20" s="94"/>
      <c r="NCH20" s="94"/>
      <c r="NCI20" s="94"/>
      <c r="NCJ20" s="94"/>
      <c r="NCK20" s="94"/>
      <c r="NCL20" s="94"/>
      <c r="NCM20" s="94"/>
      <c r="NCN20" s="94"/>
      <c r="NCO20" s="94"/>
      <c r="NCP20" s="94"/>
      <c r="NCQ20" s="94"/>
      <c r="NCR20" s="94"/>
      <c r="NCS20" s="94"/>
      <c r="NCT20" s="94"/>
      <c r="NCU20" s="94"/>
      <c r="NCV20" s="94"/>
      <c r="NCW20" s="94"/>
      <c r="NCX20" s="94"/>
      <c r="NCY20" s="94"/>
      <c r="NCZ20" s="94"/>
      <c r="NDA20" s="94"/>
      <c r="NDB20" s="94"/>
      <c r="NDC20" s="94"/>
      <c r="NDD20" s="94"/>
      <c r="NDE20" s="94"/>
      <c r="NDF20" s="94"/>
      <c r="NDG20" s="94"/>
      <c r="NDH20" s="94"/>
      <c r="NDI20" s="94"/>
      <c r="NDJ20" s="94"/>
      <c r="NDK20" s="94"/>
      <c r="NDL20" s="94"/>
      <c r="NDM20" s="94"/>
      <c r="NDN20" s="94"/>
      <c r="NDO20" s="94"/>
      <c r="NDP20" s="94"/>
      <c r="NDQ20" s="94"/>
      <c r="NDR20" s="94"/>
      <c r="NDS20" s="94"/>
      <c r="NDT20" s="94"/>
      <c r="NDU20" s="94"/>
      <c r="NDV20" s="94"/>
      <c r="NDW20" s="94"/>
      <c r="NDX20" s="94"/>
      <c r="NDY20" s="94"/>
      <c r="NDZ20" s="94"/>
      <c r="NEA20" s="94"/>
      <c r="NEB20" s="94"/>
      <c r="NEC20" s="94"/>
      <c r="NED20" s="94"/>
      <c r="NEE20" s="94"/>
      <c r="NEF20" s="94"/>
      <c r="NEG20" s="94"/>
      <c r="NEH20" s="94"/>
      <c r="NEI20" s="94"/>
      <c r="NEJ20" s="94"/>
      <c r="NEK20" s="94"/>
      <c r="NEL20" s="94"/>
      <c r="NEM20" s="94"/>
      <c r="NEN20" s="94"/>
      <c r="NEO20" s="94"/>
      <c r="NEP20" s="94"/>
      <c r="NEQ20" s="94"/>
      <c r="NER20" s="94"/>
      <c r="NES20" s="94"/>
      <c r="NET20" s="94"/>
      <c r="NEU20" s="94"/>
      <c r="NEV20" s="94"/>
      <c r="NEW20" s="94"/>
      <c r="NEX20" s="94"/>
      <c r="NEY20" s="94"/>
      <c r="NEZ20" s="94"/>
      <c r="NFA20" s="94"/>
      <c r="NFB20" s="94"/>
      <c r="NFC20" s="94"/>
      <c r="NFD20" s="94"/>
      <c r="NFE20" s="94"/>
      <c r="NFF20" s="94"/>
      <c r="NFG20" s="94"/>
      <c r="NFH20" s="94"/>
      <c r="NFI20" s="94"/>
      <c r="NFJ20" s="94"/>
      <c r="NFK20" s="94"/>
      <c r="NFL20" s="94"/>
      <c r="NFM20" s="94"/>
      <c r="NFN20" s="94"/>
      <c r="NFO20" s="94"/>
      <c r="NFP20" s="94"/>
      <c r="NFQ20" s="94"/>
      <c r="NFR20" s="94"/>
      <c r="NFS20" s="94"/>
      <c r="NFT20" s="94"/>
      <c r="NFU20" s="94"/>
      <c r="NFV20" s="94"/>
      <c r="NFW20" s="94"/>
      <c r="NFX20" s="94"/>
      <c r="NFY20" s="94"/>
      <c r="NFZ20" s="94"/>
      <c r="NGA20" s="94"/>
      <c r="NGB20" s="94"/>
      <c r="NGC20" s="94"/>
      <c r="NGD20" s="94"/>
      <c r="NGE20" s="94"/>
      <c r="NGF20" s="94"/>
      <c r="NGG20" s="94"/>
      <c r="NGH20" s="94"/>
      <c r="NGI20" s="94"/>
      <c r="NGJ20" s="94"/>
      <c r="NGK20" s="94"/>
      <c r="NGL20" s="94"/>
      <c r="NGM20" s="94"/>
      <c r="NGN20" s="94"/>
      <c r="NGO20" s="94"/>
      <c r="NGP20" s="94"/>
      <c r="NGQ20" s="94"/>
      <c r="NGR20" s="94"/>
      <c r="NGS20" s="94"/>
      <c r="NGT20" s="94"/>
      <c r="NGU20" s="94"/>
      <c r="NGV20" s="94"/>
      <c r="NGW20" s="94"/>
      <c r="NGX20" s="94"/>
      <c r="NGY20" s="94"/>
      <c r="NGZ20" s="94"/>
      <c r="NHA20" s="94"/>
      <c r="NHB20" s="94"/>
      <c r="NHC20" s="94"/>
      <c r="NHD20" s="94"/>
      <c r="NHE20" s="94"/>
      <c r="NHF20" s="94"/>
      <c r="NHG20" s="94"/>
      <c r="NHH20" s="94"/>
      <c r="NHI20" s="94"/>
      <c r="NHJ20" s="94"/>
      <c r="NHK20" s="94"/>
      <c r="NHL20" s="94"/>
      <c r="NHM20" s="94"/>
      <c r="NHN20" s="94"/>
      <c r="NHO20" s="94"/>
      <c r="NHP20" s="94"/>
      <c r="NHQ20" s="94"/>
      <c r="NHR20" s="94"/>
      <c r="NHS20" s="94"/>
      <c r="NHT20" s="94"/>
      <c r="NHU20" s="94"/>
      <c r="NHV20" s="94"/>
      <c r="NHW20" s="94"/>
      <c r="NHX20" s="94"/>
      <c r="NHY20" s="94"/>
      <c r="NHZ20" s="94"/>
      <c r="NIA20" s="94"/>
      <c r="NIB20" s="94"/>
      <c r="NIC20" s="94"/>
      <c r="NID20" s="94"/>
      <c r="NIE20" s="94"/>
      <c r="NIF20" s="94"/>
      <c r="NIG20" s="94"/>
      <c r="NIH20" s="94"/>
      <c r="NII20" s="94"/>
      <c r="NIJ20" s="94"/>
      <c r="NIK20" s="94"/>
      <c r="NIL20" s="94"/>
      <c r="NIM20" s="94"/>
      <c r="NIN20" s="94"/>
      <c r="NIO20" s="94"/>
      <c r="NIP20" s="94"/>
      <c r="NIQ20" s="94"/>
      <c r="NIR20" s="94"/>
      <c r="NIS20" s="94"/>
      <c r="NIT20" s="94"/>
      <c r="NIU20" s="94"/>
      <c r="NIV20" s="94"/>
      <c r="NIW20" s="94"/>
      <c r="NIX20" s="94"/>
      <c r="NIY20" s="94"/>
      <c r="NIZ20" s="94"/>
      <c r="NJA20" s="94"/>
      <c r="NJB20" s="94"/>
      <c r="NJC20" s="94"/>
      <c r="NJD20" s="94"/>
      <c r="NJE20" s="94"/>
      <c r="NJF20" s="94"/>
      <c r="NJG20" s="94"/>
      <c r="NJH20" s="94"/>
      <c r="NJI20" s="94"/>
      <c r="NJJ20" s="94"/>
      <c r="NJK20" s="94"/>
      <c r="NJL20" s="94"/>
      <c r="NJM20" s="94"/>
      <c r="NJN20" s="94"/>
      <c r="NJO20" s="94"/>
      <c r="NJP20" s="94"/>
      <c r="NJQ20" s="94"/>
      <c r="NJR20" s="94"/>
      <c r="NJS20" s="94"/>
      <c r="NJT20" s="94"/>
      <c r="NJU20" s="94"/>
      <c r="NJV20" s="94"/>
      <c r="NJW20" s="94"/>
      <c r="NJX20" s="94"/>
      <c r="NJY20" s="94"/>
      <c r="NJZ20" s="94"/>
      <c r="NKA20" s="94"/>
      <c r="NKB20" s="94"/>
      <c r="NKC20" s="94"/>
      <c r="NKD20" s="94"/>
      <c r="NKE20" s="94"/>
      <c r="NKF20" s="94"/>
      <c r="NKG20" s="94"/>
      <c r="NKH20" s="94"/>
      <c r="NKI20" s="94"/>
      <c r="NKJ20" s="94"/>
      <c r="NKK20" s="94"/>
      <c r="NKL20" s="94"/>
      <c r="NKM20" s="94"/>
      <c r="NKN20" s="94"/>
      <c r="NKO20" s="94"/>
      <c r="NKP20" s="94"/>
      <c r="NKQ20" s="94"/>
      <c r="NKR20" s="94"/>
      <c r="NKS20" s="94"/>
      <c r="NKT20" s="94"/>
      <c r="NKU20" s="94"/>
      <c r="NKV20" s="94"/>
      <c r="NKW20" s="94"/>
      <c r="NKX20" s="94"/>
      <c r="NKY20" s="94"/>
      <c r="NKZ20" s="94"/>
      <c r="NLA20" s="94"/>
      <c r="NLB20" s="94"/>
      <c r="NLC20" s="94"/>
      <c r="NLD20" s="94"/>
      <c r="NLE20" s="94"/>
      <c r="NLF20" s="94"/>
      <c r="NLG20" s="94"/>
      <c r="NLH20" s="94"/>
      <c r="NLI20" s="94"/>
      <c r="NLJ20" s="94"/>
      <c r="NLK20" s="94"/>
      <c r="NLL20" s="94"/>
      <c r="NLM20" s="94"/>
      <c r="NLN20" s="94"/>
      <c r="NLO20" s="94"/>
      <c r="NLP20" s="94"/>
      <c r="NLQ20" s="94"/>
      <c r="NLR20" s="94"/>
      <c r="NLS20" s="94"/>
      <c r="NLT20" s="94"/>
      <c r="NLU20" s="94"/>
      <c r="NLV20" s="94"/>
      <c r="NLW20" s="94"/>
      <c r="NLX20" s="94"/>
      <c r="NLY20" s="94"/>
      <c r="NLZ20" s="94"/>
      <c r="NMA20" s="94"/>
      <c r="NMB20" s="94"/>
      <c r="NMC20" s="94"/>
      <c r="NMD20" s="94"/>
      <c r="NME20" s="94"/>
      <c r="NMF20" s="94"/>
      <c r="NMG20" s="94"/>
      <c r="NMH20" s="94"/>
      <c r="NMI20" s="94"/>
      <c r="NMJ20" s="94"/>
      <c r="NMK20" s="94"/>
      <c r="NML20" s="94"/>
      <c r="NMM20" s="94"/>
      <c r="NMN20" s="94"/>
      <c r="NMO20" s="94"/>
      <c r="NMP20" s="94"/>
      <c r="NMQ20" s="94"/>
      <c r="NMR20" s="94"/>
      <c r="NMS20" s="94"/>
      <c r="NMT20" s="94"/>
      <c r="NMU20" s="94"/>
      <c r="NMV20" s="94"/>
      <c r="NMW20" s="94"/>
      <c r="NMX20" s="94"/>
      <c r="NMY20" s="94"/>
      <c r="NMZ20" s="94"/>
      <c r="NNA20" s="94"/>
      <c r="NNB20" s="94"/>
      <c r="NNC20" s="94"/>
      <c r="NND20" s="94"/>
      <c r="NNE20" s="94"/>
      <c r="NNF20" s="94"/>
      <c r="NNG20" s="94"/>
      <c r="NNH20" s="94"/>
      <c r="NNI20" s="94"/>
      <c r="NNJ20" s="94"/>
      <c r="NNK20" s="94"/>
      <c r="NNL20" s="94"/>
      <c r="NNM20" s="94"/>
      <c r="NNN20" s="94"/>
      <c r="NNO20" s="94"/>
      <c r="NNP20" s="94"/>
      <c r="NNQ20" s="94"/>
      <c r="NNR20" s="94"/>
      <c r="NNS20" s="94"/>
      <c r="NNT20" s="94"/>
      <c r="NNU20" s="94"/>
      <c r="NNV20" s="94"/>
      <c r="NNW20" s="94"/>
      <c r="NNX20" s="94"/>
      <c r="NNY20" s="94"/>
      <c r="NNZ20" s="94"/>
      <c r="NOA20" s="94"/>
      <c r="NOB20" s="94"/>
      <c r="NOC20" s="94"/>
      <c r="NOD20" s="94"/>
      <c r="NOE20" s="94"/>
      <c r="NOF20" s="94"/>
      <c r="NOG20" s="94"/>
      <c r="NOH20" s="94"/>
      <c r="NOI20" s="94"/>
      <c r="NOJ20" s="94"/>
      <c r="NOK20" s="94"/>
      <c r="NOL20" s="94"/>
      <c r="NOM20" s="94"/>
      <c r="NON20" s="94"/>
      <c r="NOO20" s="94"/>
      <c r="NOP20" s="94"/>
      <c r="NOQ20" s="94"/>
      <c r="NOR20" s="94"/>
      <c r="NOS20" s="94"/>
      <c r="NOT20" s="94"/>
      <c r="NOU20" s="94"/>
      <c r="NOV20" s="94"/>
      <c r="NOW20" s="94"/>
      <c r="NOX20" s="94"/>
      <c r="NOY20" s="94"/>
      <c r="NOZ20" s="94"/>
      <c r="NPA20" s="94"/>
      <c r="NPB20" s="94"/>
      <c r="NPC20" s="94"/>
      <c r="NPD20" s="94"/>
      <c r="NPE20" s="94"/>
      <c r="NPF20" s="94"/>
      <c r="NPG20" s="94"/>
      <c r="NPH20" s="94"/>
      <c r="NPI20" s="94"/>
      <c r="NPJ20" s="94"/>
      <c r="NPK20" s="94"/>
      <c r="NPL20" s="94"/>
      <c r="NPM20" s="94"/>
      <c r="NPN20" s="94"/>
      <c r="NPO20" s="94"/>
      <c r="NPP20" s="94"/>
      <c r="NPQ20" s="94"/>
      <c r="NPR20" s="94"/>
      <c r="NPS20" s="94"/>
      <c r="NPT20" s="94"/>
      <c r="NPU20" s="94"/>
      <c r="NPV20" s="94"/>
      <c r="NPW20" s="94"/>
      <c r="NPX20" s="94"/>
      <c r="NPY20" s="94"/>
      <c r="NPZ20" s="94"/>
      <c r="NQA20" s="94"/>
      <c r="NQB20" s="94"/>
      <c r="NQC20" s="94"/>
      <c r="NQD20" s="94"/>
      <c r="NQE20" s="94"/>
      <c r="NQF20" s="94"/>
      <c r="NQG20" s="94"/>
      <c r="NQH20" s="94"/>
      <c r="NQI20" s="94"/>
      <c r="NQJ20" s="94"/>
      <c r="NQK20" s="94"/>
      <c r="NQL20" s="94"/>
      <c r="NQM20" s="94"/>
      <c r="NQN20" s="94"/>
      <c r="NQO20" s="94"/>
      <c r="NQP20" s="94"/>
      <c r="NQQ20" s="94"/>
      <c r="NQR20" s="94"/>
      <c r="NQS20" s="94"/>
      <c r="NQT20" s="94"/>
      <c r="NQU20" s="94"/>
      <c r="NQV20" s="94"/>
      <c r="NQW20" s="94"/>
      <c r="NQX20" s="94"/>
      <c r="NQY20" s="94"/>
      <c r="NQZ20" s="94"/>
      <c r="NRA20" s="94"/>
      <c r="NRB20" s="94"/>
      <c r="NRC20" s="94"/>
      <c r="NRD20" s="94"/>
      <c r="NRE20" s="94"/>
      <c r="NRF20" s="94"/>
      <c r="NRG20" s="94"/>
      <c r="NRH20" s="94"/>
      <c r="NRI20" s="94"/>
      <c r="NRJ20" s="94"/>
      <c r="NRK20" s="94"/>
      <c r="NRL20" s="94"/>
      <c r="NRM20" s="94"/>
      <c r="NRN20" s="94"/>
      <c r="NRO20" s="94"/>
      <c r="NRP20" s="94"/>
      <c r="NRQ20" s="94"/>
      <c r="NRR20" s="94"/>
      <c r="NRS20" s="94"/>
      <c r="NRT20" s="94"/>
      <c r="NRU20" s="94"/>
      <c r="NRV20" s="94"/>
      <c r="NRW20" s="94"/>
      <c r="NRX20" s="94"/>
      <c r="NRY20" s="94"/>
      <c r="NRZ20" s="94"/>
      <c r="NSA20" s="94"/>
      <c r="NSB20" s="94"/>
      <c r="NSC20" s="94"/>
      <c r="NSD20" s="94"/>
      <c r="NSE20" s="94"/>
      <c r="NSF20" s="94"/>
      <c r="NSG20" s="94"/>
      <c r="NSH20" s="94"/>
      <c r="NSI20" s="94"/>
      <c r="NSJ20" s="94"/>
      <c r="NSK20" s="94"/>
      <c r="NSL20" s="94"/>
      <c r="NSM20" s="94"/>
      <c r="NSN20" s="94"/>
      <c r="NSO20" s="94"/>
      <c r="NSP20" s="94"/>
      <c r="NSQ20" s="94"/>
      <c r="NSR20" s="94"/>
      <c r="NSS20" s="94"/>
      <c r="NST20" s="94"/>
      <c r="NSU20" s="94"/>
      <c r="NSV20" s="94"/>
      <c r="NSW20" s="94"/>
      <c r="NSX20" s="94"/>
      <c r="NSY20" s="94"/>
      <c r="NSZ20" s="94"/>
      <c r="NTA20" s="94"/>
      <c r="NTB20" s="94"/>
      <c r="NTC20" s="94"/>
      <c r="NTD20" s="94"/>
      <c r="NTE20" s="94"/>
      <c r="NTF20" s="94"/>
      <c r="NTG20" s="94"/>
      <c r="NTH20" s="94"/>
      <c r="NTI20" s="94"/>
      <c r="NTJ20" s="94"/>
      <c r="NTK20" s="94"/>
      <c r="NTL20" s="94"/>
      <c r="NTM20" s="94"/>
      <c r="NTN20" s="94"/>
      <c r="NTO20" s="94"/>
      <c r="NTP20" s="94"/>
      <c r="NTQ20" s="94"/>
      <c r="NTR20" s="94"/>
      <c r="NTS20" s="94"/>
      <c r="NTT20" s="94"/>
      <c r="NTU20" s="94"/>
      <c r="NTV20" s="94"/>
      <c r="NTW20" s="94"/>
      <c r="NTX20" s="94"/>
      <c r="NTY20" s="94"/>
      <c r="NTZ20" s="94"/>
      <c r="NUA20" s="94"/>
      <c r="NUB20" s="94"/>
      <c r="NUC20" s="94"/>
      <c r="NUD20" s="94"/>
      <c r="NUE20" s="94"/>
      <c r="NUF20" s="94"/>
      <c r="NUG20" s="94"/>
      <c r="NUH20" s="94"/>
      <c r="NUI20" s="94"/>
      <c r="NUJ20" s="94"/>
      <c r="NUK20" s="94"/>
      <c r="NUL20" s="94"/>
      <c r="NUM20" s="94"/>
      <c r="NUN20" s="94"/>
      <c r="NUO20" s="94"/>
      <c r="NUP20" s="94"/>
      <c r="NUQ20" s="94"/>
      <c r="NUR20" s="94"/>
      <c r="NUS20" s="94"/>
      <c r="NUT20" s="94"/>
      <c r="NUU20" s="94"/>
      <c r="NUV20" s="94"/>
      <c r="NUW20" s="94"/>
      <c r="NUX20" s="94"/>
      <c r="NUY20" s="94"/>
      <c r="NUZ20" s="94"/>
      <c r="NVA20" s="94"/>
      <c r="NVB20" s="94"/>
      <c r="NVC20" s="94"/>
      <c r="NVD20" s="94"/>
      <c r="NVE20" s="94"/>
      <c r="NVF20" s="94"/>
      <c r="NVG20" s="94"/>
      <c r="NVH20" s="94"/>
      <c r="NVI20" s="94"/>
      <c r="NVJ20" s="94"/>
      <c r="NVK20" s="94"/>
      <c r="NVL20" s="94"/>
      <c r="NVM20" s="94"/>
      <c r="NVN20" s="94"/>
      <c r="NVO20" s="94"/>
      <c r="NVP20" s="94"/>
      <c r="NVQ20" s="94"/>
      <c r="NVR20" s="94"/>
      <c r="NVS20" s="94"/>
      <c r="NVT20" s="94"/>
      <c r="NVU20" s="94"/>
      <c r="NVV20" s="94"/>
      <c r="NVW20" s="94"/>
      <c r="NVX20" s="94"/>
      <c r="NVY20" s="94"/>
      <c r="NVZ20" s="94"/>
      <c r="NWA20" s="94"/>
      <c r="NWB20" s="94"/>
      <c r="NWC20" s="94"/>
      <c r="NWD20" s="94"/>
      <c r="NWE20" s="94"/>
      <c r="NWF20" s="94"/>
      <c r="NWG20" s="94"/>
      <c r="NWH20" s="94"/>
      <c r="NWI20" s="94"/>
      <c r="NWJ20" s="94"/>
      <c r="NWK20" s="94"/>
      <c r="NWL20" s="94"/>
      <c r="NWM20" s="94"/>
      <c r="NWN20" s="94"/>
      <c r="NWO20" s="94"/>
      <c r="NWP20" s="94"/>
      <c r="NWQ20" s="94"/>
      <c r="NWR20" s="94"/>
      <c r="NWS20" s="94"/>
      <c r="NWT20" s="94"/>
      <c r="NWU20" s="94"/>
      <c r="NWV20" s="94"/>
      <c r="NWW20" s="94"/>
      <c r="NWX20" s="94"/>
      <c r="NWY20" s="94"/>
      <c r="NWZ20" s="94"/>
      <c r="NXA20" s="94"/>
      <c r="NXB20" s="94"/>
      <c r="NXC20" s="94"/>
      <c r="NXD20" s="94"/>
      <c r="NXE20" s="94"/>
      <c r="NXF20" s="94"/>
      <c r="NXG20" s="94"/>
      <c r="NXH20" s="94"/>
      <c r="NXI20" s="94"/>
      <c r="NXJ20" s="94"/>
      <c r="NXK20" s="94"/>
      <c r="NXL20" s="94"/>
      <c r="NXM20" s="94"/>
      <c r="NXN20" s="94"/>
      <c r="NXO20" s="94"/>
      <c r="NXP20" s="94"/>
      <c r="NXQ20" s="94"/>
      <c r="NXR20" s="94"/>
      <c r="NXS20" s="94"/>
      <c r="NXT20" s="94"/>
      <c r="NXU20" s="94"/>
      <c r="NXV20" s="94"/>
      <c r="NXW20" s="94"/>
      <c r="NXX20" s="94"/>
      <c r="NXY20" s="94"/>
      <c r="NXZ20" s="94"/>
      <c r="NYA20" s="94"/>
      <c r="NYB20" s="94"/>
      <c r="NYC20" s="94"/>
      <c r="NYD20" s="94"/>
      <c r="NYE20" s="94"/>
      <c r="NYF20" s="94"/>
      <c r="NYG20" s="94"/>
      <c r="NYH20" s="94"/>
      <c r="NYI20" s="94"/>
      <c r="NYJ20" s="94"/>
      <c r="NYK20" s="94"/>
      <c r="NYL20" s="94"/>
      <c r="NYM20" s="94"/>
      <c r="NYN20" s="94"/>
      <c r="NYO20" s="94"/>
      <c r="NYP20" s="94"/>
      <c r="NYQ20" s="94"/>
      <c r="NYR20" s="94"/>
      <c r="NYS20" s="94"/>
      <c r="NYT20" s="94"/>
      <c r="NYU20" s="94"/>
      <c r="NYV20" s="94"/>
      <c r="NYW20" s="94"/>
      <c r="NYX20" s="94"/>
      <c r="NYY20" s="94"/>
      <c r="NYZ20" s="94"/>
      <c r="NZA20" s="94"/>
      <c r="NZB20" s="94"/>
      <c r="NZC20" s="94"/>
      <c r="NZD20" s="94"/>
      <c r="NZE20" s="94"/>
      <c r="NZF20" s="94"/>
      <c r="NZG20" s="94"/>
      <c r="NZH20" s="94"/>
      <c r="NZI20" s="94"/>
      <c r="NZJ20" s="94"/>
      <c r="NZK20" s="94"/>
      <c r="NZL20" s="94"/>
      <c r="NZM20" s="94"/>
      <c r="NZN20" s="94"/>
      <c r="NZO20" s="94"/>
      <c r="NZP20" s="94"/>
      <c r="NZQ20" s="94"/>
      <c r="NZR20" s="94"/>
      <c r="NZS20" s="94"/>
      <c r="NZT20" s="94"/>
      <c r="NZU20" s="94"/>
      <c r="NZV20" s="94"/>
      <c r="NZW20" s="94"/>
      <c r="NZX20" s="94"/>
      <c r="NZY20" s="94"/>
      <c r="NZZ20" s="94"/>
      <c r="OAA20" s="94"/>
      <c r="OAB20" s="94"/>
      <c r="OAC20" s="94"/>
      <c r="OAD20" s="94"/>
      <c r="OAE20" s="94"/>
      <c r="OAF20" s="94"/>
      <c r="OAG20" s="94"/>
      <c r="OAH20" s="94"/>
      <c r="OAI20" s="94"/>
      <c r="OAJ20" s="94"/>
      <c r="OAK20" s="94"/>
      <c r="OAL20" s="94"/>
      <c r="OAM20" s="94"/>
      <c r="OAN20" s="94"/>
      <c r="OAO20" s="94"/>
      <c r="OAP20" s="94"/>
      <c r="OAQ20" s="94"/>
      <c r="OAR20" s="94"/>
      <c r="OAS20" s="94"/>
      <c r="OAT20" s="94"/>
      <c r="OAU20" s="94"/>
      <c r="OAV20" s="94"/>
      <c r="OAW20" s="94"/>
      <c r="OAX20" s="94"/>
      <c r="OAY20" s="94"/>
      <c r="OAZ20" s="94"/>
      <c r="OBA20" s="94"/>
      <c r="OBB20" s="94"/>
      <c r="OBC20" s="94"/>
      <c r="OBD20" s="94"/>
      <c r="OBE20" s="94"/>
      <c r="OBF20" s="94"/>
      <c r="OBG20" s="94"/>
      <c r="OBH20" s="94"/>
      <c r="OBI20" s="94"/>
      <c r="OBJ20" s="94"/>
      <c r="OBK20" s="94"/>
      <c r="OBL20" s="94"/>
      <c r="OBM20" s="94"/>
      <c r="OBN20" s="94"/>
      <c r="OBO20" s="94"/>
      <c r="OBP20" s="94"/>
      <c r="OBQ20" s="94"/>
      <c r="OBR20" s="94"/>
      <c r="OBS20" s="94"/>
      <c r="OBT20" s="94"/>
      <c r="OBU20" s="94"/>
      <c r="OBV20" s="94"/>
      <c r="OBW20" s="94"/>
      <c r="OBX20" s="94"/>
      <c r="OBY20" s="94"/>
      <c r="OBZ20" s="94"/>
      <c r="OCA20" s="94"/>
      <c r="OCB20" s="94"/>
      <c r="OCC20" s="94"/>
      <c r="OCD20" s="94"/>
      <c r="OCE20" s="94"/>
      <c r="OCF20" s="94"/>
      <c r="OCG20" s="94"/>
      <c r="OCH20" s="94"/>
      <c r="OCI20" s="94"/>
      <c r="OCJ20" s="94"/>
      <c r="OCK20" s="94"/>
      <c r="OCL20" s="94"/>
      <c r="OCM20" s="94"/>
      <c r="OCN20" s="94"/>
      <c r="OCO20" s="94"/>
      <c r="OCP20" s="94"/>
      <c r="OCQ20" s="94"/>
      <c r="OCR20" s="94"/>
      <c r="OCS20" s="94"/>
      <c r="OCT20" s="94"/>
      <c r="OCU20" s="94"/>
      <c r="OCV20" s="94"/>
      <c r="OCW20" s="94"/>
      <c r="OCX20" s="94"/>
      <c r="OCY20" s="94"/>
      <c r="OCZ20" s="94"/>
      <c r="ODA20" s="94"/>
      <c r="ODB20" s="94"/>
      <c r="ODC20" s="94"/>
      <c r="ODD20" s="94"/>
      <c r="ODE20" s="94"/>
      <c r="ODF20" s="94"/>
      <c r="ODG20" s="94"/>
      <c r="ODH20" s="94"/>
      <c r="ODI20" s="94"/>
      <c r="ODJ20" s="94"/>
      <c r="ODK20" s="94"/>
      <c r="ODL20" s="94"/>
      <c r="ODM20" s="94"/>
      <c r="ODN20" s="94"/>
      <c r="ODO20" s="94"/>
      <c r="ODP20" s="94"/>
      <c r="ODQ20" s="94"/>
      <c r="ODR20" s="94"/>
      <c r="ODS20" s="94"/>
      <c r="ODT20" s="94"/>
      <c r="ODU20" s="94"/>
      <c r="ODV20" s="94"/>
      <c r="ODW20" s="94"/>
      <c r="ODX20" s="94"/>
      <c r="ODY20" s="94"/>
      <c r="ODZ20" s="94"/>
      <c r="OEA20" s="94"/>
      <c r="OEB20" s="94"/>
      <c r="OEC20" s="94"/>
      <c r="OED20" s="94"/>
      <c r="OEE20" s="94"/>
      <c r="OEF20" s="94"/>
      <c r="OEG20" s="94"/>
      <c r="OEH20" s="94"/>
      <c r="OEI20" s="94"/>
      <c r="OEJ20" s="94"/>
      <c r="OEK20" s="94"/>
      <c r="OEL20" s="94"/>
      <c r="OEM20" s="94"/>
      <c r="OEN20" s="94"/>
      <c r="OEO20" s="94"/>
      <c r="OEP20" s="94"/>
      <c r="OEQ20" s="94"/>
      <c r="OER20" s="94"/>
      <c r="OES20" s="94"/>
      <c r="OET20" s="94"/>
      <c r="OEU20" s="94"/>
      <c r="OEV20" s="94"/>
      <c r="OEW20" s="94"/>
      <c r="OEX20" s="94"/>
      <c r="OEY20" s="94"/>
      <c r="OEZ20" s="94"/>
      <c r="OFA20" s="94"/>
      <c r="OFB20" s="94"/>
      <c r="OFC20" s="94"/>
      <c r="OFD20" s="94"/>
      <c r="OFE20" s="94"/>
      <c r="OFF20" s="94"/>
      <c r="OFG20" s="94"/>
      <c r="OFH20" s="94"/>
      <c r="OFI20" s="94"/>
      <c r="OFJ20" s="94"/>
      <c r="OFK20" s="94"/>
      <c r="OFL20" s="94"/>
      <c r="OFM20" s="94"/>
      <c r="OFN20" s="94"/>
      <c r="OFO20" s="94"/>
      <c r="OFP20" s="94"/>
      <c r="OFQ20" s="94"/>
      <c r="OFR20" s="94"/>
      <c r="OFS20" s="94"/>
      <c r="OFT20" s="94"/>
      <c r="OFU20" s="94"/>
      <c r="OFV20" s="94"/>
      <c r="OFW20" s="94"/>
      <c r="OFX20" s="94"/>
      <c r="OFY20" s="94"/>
      <c r="OFZ20" s="94"/>
      <c r="OGA20" s="94"/>
      <c r="OGB20" s="94"/>
      <c r="OGC20" s="94"/>
      <c r="OGD20" s="94"/>
      <c r="OGE20" s="94"/>
      <c r="OGF20" s="94"/>
      <c r="OGG20" s="94"/>
      <c r="OGH20" s="94"/>
      <c r="OGI20" s="94"/>
      <c r="OGJ20" s="94"/>
      <c r="OGK20" s="94"/>
      <c r="OGL20" s="94"/>
      <c r="OGM20" s="94"/>
      <c r="OGN20" s="94"/>
      <c r="OGO20" s="94"/>
      <c r="OGP20" s="94"/>
      <c r="OGQ20" s="94"/>
      <c r="OGR20" s="94"/>
      <c r="OGS20" s="94"/>
      <c r="OGT20" s="94"/>
      <c r="OGU20" s="94"/>
      <c r="OGV20" s="94"/>
      <c r="OGW20" s="94"/>
      <c r="OGX20" s="94"/>
      <c r="OGY20" s="94"/>
      <c r="OGZ20" s="94"/>
      <c r="OHA20" s="94"/>
      <c r="OHB20" s="94"/>
      <c r="OHC20" s="94"/>
      <c r="OHD20" s="94"/>
      <c r="OHE20" s="94"/>
      <c r="OHF20" s="94"/>
      <c r="OHG20" s="94"/>
      <c r="OHH20" s="94"/>
      <c r="OHI20" s="94"/>
      <c r="OHJ20" s="94"/>
      <c r="OHK20" s="94"/>
      <c r="OHL20" s="94"/>
      <c r="OHM20" s="94"/>
      <c r="OHN20" s="94"/>
      <c r="OHO20" s="94"/>
      <c r="OHP20" s="94"/>
      <c r="OHQ20" s="94"/>
      <c r="OHR20" s="94"/>
      <c r="OHS20" s="94"/>
      <c r="OHT20" s="94"/>
      <c r="OHU20" s="94"/>
      <c r="OHV20" s="94"/>
      <c r="OHW20" s="94"/>
      <c r="OHX20" s="94"/>
      <c r="OHY20" s="94"/>
      <c r="OHZ20" s="94"/>
      <c r="OIA20" s="94"/>
      <c r="OIB20" s="94"/>
      <c r="OIC20" s="94"/>
      <c r="OID20" s="94"/>
      <c r="OIE20" s="94"/>
      <c r="OIF20" s="94"/>
      <c r="OIG20" s="94"/>
      <c r="OIH20" s="94"/>
      <c r="OII20" s="94"/>
      <c r="OIJ20" s="94"/>
      <c r="OIK20" s="94"/>
      <c r="OIL20" s="94"/>
      <c r="OIM20" s="94"/>
      <c r="OIN20" s="94"/>
      <c r="OIO20" s="94"/>
      <c r="OIP20" s="94"/>
      <c r="OIQ20" s="94"/>
      <c r="OIR20" s="94"/>
      <c r="OIS20" s="94"/>
      <c r="OIT20" s="94"/>
      <c r="OIU20" s="94"/>
      <c r="OIV20" s="94"/>
      <c r="OIW20" s="94"/>
      <c r="OIX20" s="94"/>
      <c r="OIY20" s="94"/>
      <c r="OIZ20" s="94"/>
      <c r="OJA20" s="94"/>
      <c r="OJB20" s="94"/>
      <c r="OJC20" s="94"/>
      <c r="OJD20" s="94"/>
      <c r="OJE20" s="94"/>
      <c r="OJF20" s="94"/>
      <c r="OJG20" s="94"/>
      <c r="OJH20" s="94"/>
      <c r="OJI20" s="94"/>
      <c r="OJJ20" s="94"/>
      <c r="OJK20" s="94"/>
      <c r="OJL20" s="94"/>
      <c r="OJM20" s="94"/>
      <c r="OJN20" s="94"/>
      <c r="OJO20" s="94"/>
      <c r="OJP20" s="94"/>
      <c r="OJQ20" s="94"/>
      <c r="OJR20" s="94"/>
      <c r="OJS20" s="94"/>
      <c r="OJT20" s="94"/>
      <c r="OJU20" s="94"/>
      <c r="OJV20" s="94"/>
      <c r="OJW20" s="94"/>
      <c r="OJX20" s="94"/>
      <c r="OJY20" s="94"/>
      <c r="OJZ20" s="94"/>
      <c r="OKA20" s="94"/>
      <c r="OKB20" s="94"/>
      <c r="OKC20" s="94"/>
      <c r="OKD20" s="94"/>
      <c r="OKE20" s="94"/>
      <c r="OKF20" s="94"/>
      <c r="OKG20" s="94"/>
      <c r="OKH20" s="94"/>
      <c r="OKI20" s="94"/>
      <c r="OKJ20" s="94"/>
      <c r="OKK20" s="94"/>
      <c r="OKL20" s="94"/>
      <c r="OKM20" s="94"/>
      <c r="OKN20" s="94"/>
      <c r="OKO20" s="94"/>
      <c r="OKP20" s="94"/>
      <c r="OKQ20" s="94"/>
      <c r="OKR20" s="94"/>
      <c r="OKS20" s="94"/>
      <c r="OKT20" s="94"/>
      <c r="OKU20" s="94"/>
      <c r="OKV20" s="94"/>
      <c r="OKW20" s="94"/>
      <c r="OKX20" s="94"/>
      <c r="OKY20" s="94"/>
      <c r="OKZ20" s="94"/>
      <c r="OLA20" s="94"/>
      <c r="OLB20" s="94"/>
      <c r="OLC20" s="94"/>
      <c r="OLD20" s="94"/>
      <c r="OLE20" s="94"/>
      <c r="OLF20" s="94"/>
      <c r="OLG20" s="94"/>
      <c r="OLH20" s="94"/>
      <c r="OLI20" s="94"/>
      <c r="OLJ20" s="94"/>
      <c r="OLK20" s="94"/>
      <c r="OLL20" s="94"/>
      <c r="OLM20" s="94"/>
      <c r="OLN20" s="94"/>
      <c r="OLO20" s="94"/>
      <c r="OLP20" s="94"/>
      <c r="OLQ20" s="94"/>
      <c r="OLR20" s="94"/>
      <c r="OLS20" s="94"/>
      <c r="OLT20" s="94"/>
      <c r="OLU20" s="94"/>
      <c r="OLV20" s="94"/>
      <c r="OLW20" s="94"/>
      <c r="OLX20" s="94"/>
      <c r="OLY20" s="94"/>
      <c r="OLZ20" s="94"/>
      <c r="OMA20" s="94"/>
      <c r="OMB20" s="94"/>
      <c r="OMC20" s="94"/>
      <c r="OMD20" s="94"/>
      <c r="OME20" s="94"/>
      <c r="OMF20" s="94"/>
      <c r="OMG20" s="94"/>
      <c r="OMH20" s="94"/>
      <c r="OMI20" s="94"/>
      <c r="OMJ20" s="94"/>
      <c r="OMK20" s="94"/>
      <c r="OML20" s="94"/>
      <c r="OMM20" s="94"/>
      <c r="OMN20" s="94"/>
      <c r="OMO20" s="94"/>
      <c r="OMP20" s="94"/>
      <c r="OMQ20" s="94"/>
      <c r="OMR20" s="94"/>
      <c r="OMS20" s="94"/>
      <c r="OMT20" s="94"/>
      <c r="OMU20" s="94"/>
      <c r="OMV20" s="94"/>
      <c r="OMW20" s="94"/>
      <c r="OMX20" s="94"/>
      <c r="OMY20" s="94"/>
      <c r="OMZ20" s="94"/>
      <c r="ONA20" s="94"/>
      <c r="ONB20" s="94"/>
      <c r="ONC20" s="94"/>
      <c r="OND20" s="94"/>
      <c r="ONE20" s="94"/>
      <c r="ONF20" s="94"/>
      <c r="ONG20" s="94"/>
      <c r="ONH20" s="94"/>
      <c r="ONI20" s="94"/>
      <c r="ONJ20" s="94"/>
      <c r="ONK20" s="94"/>
      <c r="ONL20" s="94"/>
      <c r="ONM20" s="94"/>
      <c r="ONN20" s="94"/>
      <c r="ONO20" s="94"/>
      <c r="ONP20" s="94"/>
      <c r="ONQ20" s="94"/>
      <c r="ONR20" s="94"/>
      <c r="ONS20" s="94"/>
      <c r="ONT20" s="94"/>
      <c r="ONU20" s="94"/>
      <c r="ONV20" s="94"/>
      <c r="ONW20" s="94"/>
      <c r="ONX20" s="94"/>
      <c r="ONY20" s="94"/>
      <c r="ONZ20" s="94"/>
      <c r="OOA20" s="94"/>
      <c r="OOB20" s="94"/>
      <c r="OOC20" s="94"/>
      <c r="OOD20" s="94"/>
      <c r="OOE20" s="94"/>
      <c r="OOF20" s="94"/>
      <c r="OOG20" s="94"/>
      <c r="OOH20" s="94"/>
      <c r="OOI20" s="94"/>
      <c r="OOJ20" s="94"/>
      <c r="OOK20" s="94"/>
      <c r="OOL20" s="94"/>
      <c r="OOM20" s="94"/>
      <c r="OON20" s="94"/>
      <c r="OOO20" s="94"/>
      <c r="OOP20" s="94"/>
      <c r="OOQ20" s="94"/>
      <c r="OOR20" s="94"/>
      <c r="OOS20" s="94"/>
      <c r="OOT20" s="94"/>
      <c r="OOU20" s="94"/>
      <c r="OOV20" s="94"/>
      <c r="OOW20" s="94"/>
      <c r="OOX20" s="94"/>
      <c r="OOY20" s="94"/>
      <c r="OOZ20" s="94"/>
      <c r="OPA20" s="94"/>
      <c r="OPB20" s="94"/>
      <c r="OPC20" s="94"/>
      <c r="OPD20" s="94"/>
      <c r="OPE20" s="94"/>
      <c r="OPF20" s="94"/>
      <c r="OPG20" s="94"/>
      <c r="OPH20" s="94"/>
      <c r="OPI20" s="94"/>
      <c r="OPJ20" s="94"/>
      <c r="OPK20" s="94"/>
      <c r="OPL20" s="94"/>
      <c r="OPM20" s="94"/>
      <c r="OPN20" s="94"/>
      <c r="OPO20" s="94"/>
      <c r="OPP20" s="94"/>
      <c r="OPQ20" s="94"/>
      <c r="OPR20" s="94"/>
      <c r="OPS20" s="94"/>
      <c r="OPT20" s="94"/>
      <c r="OPU20" s="94"/>
      <c r="OPV20" s="94"/>
      <c r="OPW20" s="94"/>
      <c r="OPX20" s="94"/>
      <c r="OPY20" s="94"/>
      <c r="OPZ20" s="94"/>
      <c r="OQA20" s="94"/>
      <c r="OQB20" s="94"/>
      <c r="OQC20" s="94"/>
      <c r="OQD20" s="94"/>
      <c r="OQE20" s="94"/>
      <c r="OQF20" s="94"/>
      <c r="OQG20" s="94"/>
      <c r="OQH20" s="94"/>
      <c r="OQI20" s="94"/>
      <c r="OQJ20" s="94"/>
      <c r="OQK20" s="94"/>
      <c r="OQL20" s="94"/>
      <c r="OQM20" s="94"/>
      <c r="OQN20" s="94"/>
      <c r="OQO20" s="94"/>
      <c r="OQP20" s="94"/>
      <c r="OQQ20" s="94"/>
      <c r="OQR20" s="94"/>
      <c r="OQS20" s="94"/>
      <c r="OQT20" s="94"/>
      <c r="OQU20" s="94"/>
      <c r="OQV20" s="94"/>
      <c r="OQW20" s="94"/>
      <c r="OQX20" s="94"/>
      <c r="OQY20" s="94"/>
      <c r="OQZ20" s="94"/>
      <c r="ORA20" s="94"/>
      <c r="ORB20" s="94"/>
      <c r="ORC20" s="94"/>
      <c r="ORD20" s="94"/>
      <c r="ORE20" s="94"/>
      <c r="ORF20" s="94"/>
      <c r="ORG20" s="94"/>
      <c r="ORH20" s="94"/>
      <c r="ORI20" s="94"/>
      <c r="ORJ20" s="94"/>
      <c r="ORK20" s="94"/>
      <c r="ORL20" s="94"/>
      <c r="ORM20" s="94"/>
      <c r="ORN20" s="94"/>
      <c r="ORO20" s="94"/>
      <c r="ORP20" s="94"/>
      <c r="ORQ20" s="94"/>
      <c r="ORR20" s="94"/>
      <c r="ORS20" s="94"/>
      <c r="ORT20" s="94"/>
      <c r="ORU20" s="94"/>
      <c r="ORV20" s="94"/>
      <c r="ORW20" s="94"/>
      <c r="ORX20" s="94"/>
      <c r="ORY20" s="94"/>
      <c r="ORZ20" s="94"/>
      <c r="OSA20" s="94"/>
      <c r="OSB20" s="94"/>
      <c r="OSC20" s="94"/>
      <c r="OSD20" s="94"/>
      <c r="OSE20" s="94"/>
      <c r="OSF20" s="94"/>
      <c r="OSG20" s="94"/>
      <c r="OSH20" s="94"/>
      <c r="OSI20" s="94"/>
      <c r="OSJ20" s="94"/>
      <c r="OSK20" s="94"/>
      <c r="OSL20" s="94"/>
      <c r="OSM20" s="94"/>
      <c r="OSN20" s="94"/>
      <c r="OSO20" s="94"/>
      <c r="OSP20" s="94"/>
      <c r="OSQ20" s="94"/>
      <c r="OSR20" s="94"/>
      <c r="OSS20" s="94"/>
      <c r="OST20" s="94"/>
      <c r="OSU20" s="94"/>
      <c r="OSV20" s="94"/>
      <c r="OSW20" s="94"/>
      <c r="OSX20" s="94"/>
      <c r="OSY20" s="94"/>
      <c r="OSZ20" s="94"/>
      <c r="OTA20" s="94"/>
      <c r="OTB20" s="94"/>
      <c r="OTC20" s="94"/>
      <c r="OTD20" s="94"/>
      <c r="OTE20" s="94"/>
      <c r="OTF20" s="94"/>
      <c r="OTG20" s="94"/>
      <c r="OTH20" s="94"/>
      <c r="OTI20" s="94"/>
      <c r="OTJ20" s="94"/>
      <c r="OTK20" s="94"/>
      <c r="OTL20" s="94"/>
      <c r="OTM20" s="94"/>
      <c r="OTN20" s="94"/>
      <c r="OTO20" s="94"/>
      <c r="OTP20" s="94"/>
      <c r="OTQ20" s="94"/>
      <c r="OTR20" s="94"/>
      <c r="OTS20" s="94"/>
      <c r="OTT20" s="94"/>
      <c r="OTU20" s="94"/>
      <c r="OTV20" s="94"/>
      <c r="OTW20" s="94"/>
      <c r="OTX20" s="94"/>
      <c r="OTY20" s="94"/>
      <c r="OTZ20" s="94"/>
      <c r="OUA20" s="94"/>
      <c r="OUB20" s="94"/>
      <c r="OUC20" s="94"/>
      <c r="OUD20" s="94"/>
      <c r="OUE20" s="94"/>
      <c r="OUF20" s="94"/>
      <c r="OUG20" s="94"/>
      <c r="OUH20" s="94"/>
      <c r="OUI20" s="94"/>
      <c r="OUJ20" s="94"/>
      <c r="OUK20" s="94"/>
      <c r="OUL20" s="94"/>
      <c r="OUM20" s="94"/>
      <c r="OUN20" s="94"/>
      <c r="OUO20" s="94"/>
      <c r="OUP20" s="94"/>
      <c r="OUQ20" s="94"/>
      <c r="OUR20" s="94"/>
      <c r="OUS20" s="94"/>
      <c r="OUT20" s="94"/>
      <c r="OUU20" s="94"/>
      <c r="OUV20" s="94"/>
      <c r="OUW20" s="94"/>
      <c r="OUX20" s="94"/>
      <c r="OUY20" s="94"/>
      <c r="OUZ20" s="94"/>
      <c r="OVA20" s="94"/>
      <c r="OVB20" s="94"/>
      <c r="OVC20" s="94"/>
      <c r="OVD20" s="94"/>
      <c r="OVE20" s="94"/>
      <c r="OVF20" s="94"/>
      <c r="OVG20" s="94"/>
      <c r="OVH20" s="94"/>
      <c r="OVI20" s="94"/>
      <c r="OVJ20" s="94"/>
      <c r="OVK20" s="94"/>
      <c r="OVL20" s="94"/>
      <c r="OVM20" s="94"/>
      <c r="OVN20" s="94"/>
      <c r="OVO20" s="94"/>
      <c r="OVP20" s="94"/>
      <c r="OVQ20" s="94"/>
      <c r="OVR20" s="94"/>
      <c r="OVS20" s="94"/>
      <c r="OVT20" s="94"/>
      <c r="OVU20" s="94"/>
      <c r="OVV20" s="94"/>
      <c r="OVW20" s="94"/>
      <c r="OVX20" s="94"/>
      <c r="OVY20" s="94"/>
      <c r="OVZ20" s="94"/>
      <c r="OWA20" s="94"/>
      <c r="OWB20" s="94"/>
      <c r="OWC20" s="94"/>
      <c r="OWD20" s="94"/>
      <c r="OWE20" s="94"/>
      <c r="OWF20" s="94"/>
      <c r="OWG20" s="94"/>
      <c r="OWH20" s="94"/>
      <c r="OWI20" s="94"/>
      <c r="OWJ20" s="94"/>
      <c r="OWK20" s="94"/>
      <c r="OWL20" s="94"/>
      <c r="OWM20" s="94"/>
      <c r="OWN20" s="94"/>
      <c r="OWO20" s="94"/>
      <c r="OWP20" s="94"/>
      <c r="OWQ20" s="94"/>
      <c r="OWR20" s="94"/>
      <c r="OWS20" s="94"/>
      <c r="OWT20" s="94"/>
      <c r="OWU20" s="94"/>
      <c r="OWV20" s="94"/>
      <c r="OWW20" s="94"/>
      <c r="OWX20" s="94"/>
      <c r="OWY20" s="94"/>
      <c r="OWZ20" s="94"/>
      <c r="OXA20" s="94"/>
      <c r="OXB20" s="94"/>
      <c r="OXC20" s="94"/>
      <c r="OXD20" s="94"/>
      <c r="OXE20" s="94"/>
      <c r="OXF20" s="94"/>
      <c r="OXG20" s="94"/>
      <c r="OXH20" s="94"/>
      <c r="OXI20" s="94"/>
      <c r="OXJ20" s="94"/>
      <c r="OXK20" s="94"/>
      <c r="OXL20" s="94"/>
      <c r="OXM20" s="94"/>
      <c r="OXN20" s="94"/>
      <c r="OXO20" s="94"/>
      <c r="OXP20" s="94"/>
      <c r="OXQ20" s="94"/>
      <c r="OXR20" s="94"/>
      <c r="OXS20" s="94"/>
      <c r="OXT20" s="94"/>
      <c r="OXU20" s="94"/>
      <c r="OXV20" s="94"/>
      <c r="OXW20" s="94"/>
      <c r="OXX20" s="94"/>
      <c r="OXY20" s="94"/>
      <c r="OXZ20" s="94"/>
      <c r="OYA20" s="94"/>
      <c r="OYB20" s="94"/>
      <c r="OYC20" s="94"/>
      <c r="OYD20" s="94"/>
      <c r="OYE20" s="94"/>
      <c r="OYF20" s="94"/>
      <c r="OYG20" s="94"/>
      <c r="OYH20" s="94"/>
      <c r="OYI20" s="94"/>
      <c r="OYJ20" s="94"/>
      <c r="OYK20" s="94"/>
      <c r="OYL20" s="94"/>
      <c r="OYM20" s="94"/>
      <c r="OYN20" s="94"/>
      <c r="OYO20" s="94"/>
      <c r="OYP20" s="94"/>
      <c r="OYQ20" s="94"/>
      <c r="OYR20" s="94"/>
      <c r="OYS20" s="94"/>
      <c r="OYT20" s="94"/>
      <c r="OYU20" s="94"/>
      <c r="OYV20" s="94"/>
      <c r="OYW20" s="94"/>
      <c r="OYX20" s="94"/>
      <c r="OYY20" s="94"/>
      <c r="OYZ20" s="94"/>
      <c r="OZA20" s="94"/>
      <c r="OZB20" s="94"/>
      <c r="OZC20" s="94"/>
      <c r="OZD20" s="94"/>
      <c r="OZE20" s="94"/>
      <c r="OZF20" s="94"/>
      <c r="OZG20" s="94"/>
      <c r="OZH20" s="94"/>
      <c r="OZI20" s="94"/>
      <c r="OZJ20" s="94"/>
      <c r="OZK20" s="94"/>
      <c r="OZL20" s="94"/>
      <c r="OZM20" s="94"/>
      <c r="OZN20" s="94"/>
      <c r="OZO20" s="94"/>
      <c r="OZP20" s="94"/>
      <c r="OZQ20" s="94"/>
      <c r="OZR20" s="94"/>
      <c r="OZS20" s="94"/>
      <c r="OZT20" s="94"/>
      <c r="OZU20" s="94"/>
      <c r="OZV20" s="94"/>
      <c r="OZW20" s="94"/>
      <c r="OZX20" s="94"/>
      <c r="OZY20" s="94"/>
      <c r="OZZ20" s="94"/>
      <c r="PAA20" s="94"/>
      <c r="PAB20" s="94"/>
      <c r="PAC20" s="94"/>
      <c r="PAD20" s="94"/>
      <c r="PAE20" s="94"/>
      <c r="PAF20" s="94"/>
      <c r="PAG20" s="94"/>
      <c r="PAH20" s="94"/>
      <c r="PAI20" s="94"/>
      <c r="PAJ20" s="94"/>
      <c r="PAK20" s="94"/>
      <c r="PAL20" s="94"/>
      <c r="PAM20" s="94"/>
      <c r="PAN20" s="94"/>
      <c r="PAO20" s="94"/>
      <c r="PAP20" s="94"/>
      <c r="PAQ20" s="94"/>
      <c r="PAR20" s="94"/>
      <c r="PAS20" s="94"/>
      <c r="PAT20" s="94"/>
      <c r="PAU20" s="94"/>
      <c r="PAV20" s="94"/>
      <c r="PAW20" s="94"/>
      <c r="PAX20" s="94"/>
      <c r="PAY20" s="94"/>
      <c r="PAZ20" s="94"/>
      <c r="PBA20" s="94"/>
      <c r="PBB20" s="94"/>
      <c r="PBC20" s="94"/>
      <c r="PBD20" s="94"/>
      <c r="PBE20" s="94"/>
      <c r="PBF20" s="94"/>
      <c r="PBG20" s="94"/>
      <c r="PBH20" s="94"/>
      <c r="PBI20" s="94"/>
      <c r="PBJ20" s="94"/>
      <c r="PBK20" s="94"/>
      <c r="PBL20" s="94"/>
      <c r="PBM20" s="94"/>
      <c r="PBN20" s="94"/>
      <c r="PBO20" s="94"/>
      <c r="PBP20" s="94"/>
      <c r="PBQ20" s="94"/>
      <c r="PBR20" s="94"/>
      <c r="PBS20" s="94"/>
      <c r="PBT20" s="94"/>
      <c r="PBU20" s="94"/>
      <c r="PBV20" s="94"/>
      <c r="PBW20" s="94"/>
      <c r="PBX20" s="94"/>
      <c r="PBY20" s="94"/>
      <c r="PBZ20" s="94"/>
      <c r="PCA20" s="94"/>
      <c r="PCB20" s="94"/>
      <c r="PCC20" s="94"/>
      <c r="PCD20" s="94"/>
      <c r="PCE20" s="94"/>
      <c r="PCF20" s="94"/>
      <c r="PCG20" s="94"/>
      <c r="PCH20" s="94"/>
      <c r="PCI20" s="94"/>
      <c r="PCJ20" s="94"/>
      <c r="PCK20" s="94"/>
      <c r="PCL20" s="94"/>
      <c r="PCM20" s="94"/>
      <c r="PCN20" s="94"/>
      <c r="PCO20" s="94"/>
      <c r="PCP20" s="94"/>
      <c r="PCQ20" s="94"/>
      <c r="PCR20" s="94"/>
      <c r="PCS20" s="94"/>
      <c r="PCT20" s="94"/>
      <c r="PCU20" s="94"/>
      <c r="PCV20" s="94"/>
      <c r="PCW20" s="94"/>
      <c r="PCX20" s="94"/>
      <c r="PCY20" s="94"/>
      <c r="PCZ20" s="94"/>
      <c r="PDA20" s="94"/>
      <c r="PDB20" s="94"/>
      <c r="PDC20" s="94"/>
      <c r="PDD20" s="94"/>
      <c r="PDE20" s="94"/>
      <c r="PDF20" s="94"/>
      <c r="PDG20" s="94"/>
      <c r="PDH20" s="94"/>
      <c r="PDI20" s="94"/>
      <c r="PDJ20" s="94"/>
      <c r="PDK20" s="94"/>
      <c r="PDL20" s="94"/>
      <c r="PDM20" s="94"/>
      <c r="PDN20" s="94"/>
      <c r="PDO20" s="94"/>
      <c r="PDP20" s="94"/>
      <c r="PDQ20" s="94"/>
      <c r="PDR20" s="94"/>
      <c r="PDS20" s="94"/>
      <c r="PDT20" s="94"/>
      <c r="PDU20" s="94"/>
      <c r="PDV20" s="94"/>
      <c r="PDW20" s="94"/>
      <c r="PDX20" s="94"/>
      <c r="PDY20" s="94"/>
      <c r="PDZ20" s="94"/>
      <c r="PEA20" s="94"/>
      <c r="PEB20" s="94"/>
      <c r="PEC20" s="94"/>
      <c r="PED20" s="94"/>
      <c r="PEE20" s="94"/>
      <c r="PEF20" s="94"/>
      <c r="PEG20" s="94"/>
      <c r="PEH20" s="94"/>
      <c r="PEI20" s="94"/>
      <c r="PEJ20" s="94"/>
      <c r="PEK20" s="94"/>
      <c r="PEL20" s="94"/>
      <c r="PEM20" s="94"/>
      <c r="PEN20" s="94"/>
      <c r="PEO20" s="94"/>
      <c r="PEP20" s="94"/>
      <c r="PEQ20" s="94"/>
      <c r="PER20" s="94"/>
      <c r="PES20" s="94"/>
      <c r="PET20" s="94"/>
      <c r="PEU20" s="94"/>
      <c r="PEV20" s="94"/>
      <c r="PEW20" s="94"/>
      <c r="PEX20" s="94"/>
      <c r="PEY20" s="94"/>
      <c r="PEZ20" s="94"/>
      <c r="PFA20" s="94"/>
      <c r="PFB20" s="94"/>
      <c r="PFC20" s="94"/>
      <c r="PFD20" s="94"/>
      <c r="PFE20" s="94"/>
      <c r="PFF20" s="94"/>
      <c r="PFG20" s="94"/>
      <c r="PFH20" s="94"/>
      <c r="PFI20" s="94"/>
      <c r="PFJ20" s="94"/>
      <c r="PFK20" s="94"/>
      <c r="PFL20" s="94"/>
      <c r="PFM20" s="94"/>
      <c r="PFN20" s="94"/>
      <c r="PFO20" s="94"/>
      <c r="PFP20" s="94"/>
      <c r="PFQ20" s="94"/>
      <c r="PFR20" s="94"/>
      <c r="PFS20" s="94"/>
      <c r="PFT20" s="94"/>
      <c r="PFU20" s="94"/>
      <c r="PFV20" s="94"/>
      <c r="PFW20" s="94"/>
      <c r="PFX20" s="94"/>
      <c r="PFY20" s="94"/>
      <c r="PFZ20" s="94"/>
      <c r="PGA20" s="94"/>
      <c r="PGB20" s="94"/>
      <c r="PGC20" s="94"/>
      <c r="PGD20" s="94"/>
      <c r="PGE20" s="94"/>
      <c r="PGF20" s="94"/>
      <c r="PGG20" s="94"/>
      <c r="PGH20" s="94"/>
      <c r="PGI20" s="94"/>
      <c r="PGJ20" s="94"/>
      <c r="PGK20" s="94"/>
      <c r="PGL20" s="94"/>
      <c r="PGM20" s="94"/>
      <c r="PGN20" s="94"/>
      <c r="PGO20" s="94"/>
      <c r="PGP20" s="94"/>
      <c r="PGQ20" s="94"/>
      <c r="PGR20" s="94"/>
      <c r="PGS20" s="94"/>
      <c r="PGT20" s="94"/>
      <c r="PGU20" s="94"/>
      <c r="PGV20" s="94"/>
      <c r="PGW20" s="94"/>
      <c r="PGX20" s="94"/>
      <c r="PGY20" s="94"/>
      <c r="PGZ20" s="94"/>
      <c r="PHA20" s="94"/>
      <c r="PHB20" s="94"/>
      <c r="PHC20" s="94"/>
      <c r="PHD20" s="94"/>
      <c r="PHE20" s="94"/>
      <c r="PHF20" s="94"/>
      <c r="PHG20" s="94"/>
      <c r="PHH20" s="94"/>
      <c r="PHI20" s="94"/>
      <c r="PHJ20" s="94"/>
      <c r="PHK20" s="94"/>
      <c r="PHL20" s="94"/>
      <c r="PHM20" s="94"/>
      <c r="PHN20" s="94"/>
      <c r="PHO20" s="94"/>
      <c r="PHP20" s="94"/>
      <c r="PHQ20" s="94"/>
      <c r="PHR20" s="94"/>
      <c r="PHS20" s="94"/>
      <c r="PHT20" s="94"/>
      <c r="PHU20" s="94"/>
      <c r="PHV20" s="94"/>
      <c r="PHW20" s="94"/>
      <c r="PHX20" s="94"/>
      <c r="PHY20" s="94"/>
      <c r="PHZ20" s="94"/>
      <c r="PIA20" s="94"/>
      <c r="PIB20" s="94"/>
      <c r="PIC20" s="94"/>
      <c r="PID20" s="94"/>
      <c r="PIE20" s="94"/>
      <c r="PIF20" s="94"/>
      <c r="PIG20" s="94"/>
      <c r="PIH20" s="94"/>
      <c r="PII20" s="94"/>
      <c r="PIJ20" s="94"/>
      <c r="PIK20" s="94"/>
      <c r="PIL20" s="94"/>
      <c r="PIM20" s="94"/>
      <c r="PIN20" s="94"/>
      <c r="PIO20" s="94"/>
      <c r="PIP20" s="94"/>
      <c r="PIQ20" s="94"/>
      <c r="PIR20" s="94"/>
      <c r="PIS20" s="94"/>
      <c r="PIT20" s="94"/>
      <c r="PIU20" s="94"/>
      <c r="PIV20" s="94"/>
      <c r="PIW20" s="94"/>
      <c r="PIX20" s="94"/>
      <c r="PIY20" s="94"/>
      <c r="PIZ20" s="94"/>
      <c r="PJA20" s="94"/>
      <c r="PJB20" s="94"/>
      <c r="PJC20" s="94"/>
      <c r="PJD20" s="94"/>
      <c r="PJE20" s="94"/>
      <c r="PJF20" s="94"/>
      <c r="PJG20" s="94"/>
      <c r="PJH20" s="94"/>
      <c r="PJI20" s="94"/>
      <c r="PJJ20" s="94"/>
      <c r="PJK20" s="94"/>
      <c r="PJL20" s="94"/>
      <c r="PJM20" s="94"/>
      <c r="PJN20" s="94"/>
      <c r="PJO20" s="94"/>
      <c r="PJP20" s="94"/>
      <c r="PJQ20" s="94"/>
      <c r="PJR20" s="94"/>
      <c r="PJS20" s="94"/>
      <c r="PJT20" s="94"/>
      <c r="PJU20" s="94"/>
      <c r="PJV20" s="94"/>
      <c r="PJW20" s="94"/>
      <c r="PJX20" s="94"/>
      <c r="PJY20" s="94"/>
      <c r="PJZ20" s="94"/>
      <c r="PKA20" s="94"/>
      <c r="PKB20" s="94"/>
      <c r="PKC20" s="94"/>
      <c r="PKD20" s="94"/>
      <c r="PKE20" s="94"/>
      <c r="PKF20" s="94"/>
      <c r="PKG20" s="94"/>
      <c r="PKH20" s="94"/>
      <c r="PKI20" s="94"/>
      <c r="PKJ20" s="94"/>
      <c r="PKK20" s="94"/>
      <c r="PKL20" s="94"/>
      <c r="PKM20" s="94"/>
      <c r="PKN20" s="94"/>
      <c r="PKO20" s="94"/>
      <c r="PKP20" s="94"/>
      <c r="PKQ20" s="94"/>
      <c r="PKR20" s="94"/>
      <c r="PKS20" s="94"/>
      <c r="PKT20" s="94"/>
      <c r="PKU20" s="94"/>
      <c r="PKV20" s="94"/>
      <c r="PKW20" s="94"/>
      <c r="PKX20" s="94"/>
      <c r="PKY20" s="94"/>
      <c r="PKZ20" s="94"/>
      <c r="PLA20" s="94"/>
      <c r="PLB20" s="94"/>
      <c r="PLC20" s="94"/>
      <c r="PLD20" s="94"/>
      <c r="PLE20" s="94"/>
      <c r="PLF20" s="94"/>
      <c r="PLG20" s="94"/>
      <c r="PLH20" s="94"/>
      <c r="PLI20" s="94"/>
      <c r="PLJ20" s="94"/>
      <c r="PLK20" s="94"/>
      <c r="PLL20" s="94"/>
      <c r="PLM20" s="94"/>
      <c r="PLN20" s="94"/>
      <c r="PLO20" s="94"/>
      <c r="PLP20" s="94"/>
      <c r="PLQ20" s="94"/>
      <c r="PLR20" s="94"/>
      <c r="PLS20" s="94"/>
      <c r="PLT20" s="94"/>
      <c r="PLU20" s="94"/>
      <c r="PLV20" s="94"/>
      <c r="PLW20" s="94"/>
      <c r="PLX20" s="94"/>
      <c r="PLY20" s="94"/>
      <c r="PLZ20" s="94"/>
      <c r="PMA20" s="94"/>
      <c r="PMB20" s="94"/>
      <c r="PMC20" s="94"/>
      <c r="PMD20" s="94"/>
      <c r="PME20" s="94"/>
      <c r="PMF20" s="94"/>
      <c r="PMG20" s="94"/>
      <c r="PMH20" s="94"/>
      <c r="PMI20" s="94"/>
      <c r="PMJ20" s="94"/>
      <c r="PMK20" s="94"/>
      <c r="PML20" s="94"/>
      <c r="PMM20" s="94"/>
      <c r="PMN20" s="94"/>
      <c r="PMO20" s="94"/>
      <c r="PMP20" s="94"/>
      <c r="PMQ20" s="94"/>
      <c r="PMR20" s="94"/>
      <c r="PMS20" s="94"/>
      <c r="PMT20" s="94"/>
      <c r="PMU20" s="94"/>
      <c r="PMV20" s="94"/>
      <c r="PMW20" s="94"/>
      <c r="PMX20" s="94"/>
      <c r="PMY20" s="94"/>
      <c r="PMZ20" s="94"/>
      <c r="PNA20" s="94"/>
      <c r="PNB20" s="94"/>
      <c r="PNC20" s="94"/>
      <c r="PND20" s="94"/>
      <c r="PNE20" s="94"/>
      <c r="PNF20" s="94"/>
      <c r="PNG20" s="94"/>
      <c r="PNH20" s="94"/>
      <c r="PNI20" s="94"/>
      <c r="PNJ20" s="94"/>
      <c r="PNK20" s="94"/>
      <c r="PNL20" s="94"/>
      <c r="PNM20" s="94"/>
      <c r="PNN20" s="94"/>
      <c r="PNO20" s="94"/>
      <c r="PNP20" s="94"/>
      <c r="PNQ20" s="94"/>
      <c r="PNR20" s="94"/>
      <c r="PNS20" s="94"/>
      <c r="PNT20" s="94"/>
      <c r="PNU20" s="94"/>
      <c r="PNV20" s="94"/>
      <c r="PNW20" s="94"/>
      <c r="PNX20" s="94"/>
      <c r="PNY20" s="94"/>
      <c r="PNZ20" s="94"/>
      <c r="POA20" s="94"/>
      <c r="POB20" s="94"/>
      <c r="POC20" s="94"/>
      <c r="POD20" s="94"/>
      <c r="POE20" s="94"/>
      <c r="POF20" s="94"/>
      <c r="POG20" s="94"/>
      <c r="POH20" s="94"/>
      <c r="POI20" s="94"/>
      <c r="POJ20" s="94"/>
      <c r="POK20" s="94"/>
      <c r="POL20" s="94"/>
      <c r="POM20" s="94"/>
      <c r="PON20" s="94"/>
      <c r="POO20" s="94"/>
      <c r="POP20" s="94"/>
      <c r="POQ20" s="94"/>
      <c r="POR20" s="94"/>
      <c r="POS20" s="94"/>
      <c r="POT20" s="94"/>
      <c r="POU20" s="94"/>
      <c r="POV20" s="94"/>
      <c r="POW20" s="94"/>
      <c r="POX20" s="94"/>
      <c r="POY20" s="94"/>
      <c r="POZ20" s="94"/>
      <c r="PPA20" s="94"/>
      <c r="PPB20" s="94"/>
      <c r="PPC20" s="94"/>
      <c r="PPD20" s="94"/>
      <c r="PPE20" s="94"/>
      <c r="PPF20" s="94"/>
      <c r="PPG20" s="94"/>
      <c r="PPH20" s="94"/>
      <c r="PPI20" s="94"/>
      <c r="PPJ20" s="94"/>
      <c r="PPK20" s="94"/>
      <c r="PPL20" s="94"/>
      <c r="PPM20" s="94"/>
      <c r="PPN20" s="94"/>
      <c r="PPO20" s="94"/>
      <c r="PPP20" s="94"/>
      <c r="PPQ20" s="94"/>
      <c r="PPR20" s="94"/>
      <c r="PPS20" s="94"/>
      <c r="PPT20" s="94"/>
      <c r="PPU20" s="94"/>
      <c r="PPV20" s="94"/>
      <c r="PPW20" s="94"/>
      <c r="PPX20" s="94"/>
      <c r="PPY20" s="94"/>
      <c r="PPZ20" s="94"/>
      <c r="PQA20" s="94"/>
      <c r="PQB20" s="94"/>
      <c r="PQC20" s="94"/>
      <c r="PQD20" s="94"/>
      <c r="PQE20" s="94"/>
      <c r="PQF20" s="94"/>
      <c r="PQG20" s="94"/>
      <c r="PQH20" s="94"/>
      <c r="PQI20" s="94"/>
      <c r="PQJ20" s="94"/>
      <c r="PQK20" s="94"/>
      <c r="PQL20" s="94"/>
      <c r="PQM20" s="94"/>
      <c r="PQN20" s="94"/>
      <c r="PQO20" s="94"/>
      <c r="PQP20" s="94"/>
      <c r="PQQ20" s="94"/>
      <c r="PQR20" s="94"/>
      <c r="PQS20" s="94"/>
      <c r="PQT20" s="94"/>
      <c r="PQU20" s="94"/>
      <c r="PQV20" s="94"/>
      <c r="PQW20" s="94"/>
      <c r="PQX20" s="94"/>
      <c r="PQY20" s="94"/>
      <c r="PQZ20" s="94"/>
      <c r="PRA20" s="94"/>
      <c r="PRB20" s="94"/>
      <c r="PRC20" s="94"/>
      <c r="PRD20" s="94"/>
      <c r="PRE20" s="94"/>
      <c r="PRF20" s="94"/>
      <c r="PRG20" s="94"/>
      <c r="PRH20" s="94"/>
      <c r="PRI20" s="94"/>
      <c r="PRJ20" s="94"/>
      <c r="PRK20" s="94"/>
      <c r="PRL20" s="94"/>
      <c r="PRM20" s="94"/>
      <c r="PRN20" s="94"/>
      <c r="PRO20" s="94"/>
      <c r="PRP20" s="94"/>
      <c r="PRQ20" s="94"/>
      <c r="PRR20" s="94"/>
      <c r="PRS20" s="94"/>
      <c r="PRT20" s="94"/>
      <c r="PRU20" s="94"/>
      <c r="PRV20" s="94"/>
      <c r="PRW20" s="94"/>
      <c r="PRX20" s="94"/>
      <c r="PRY20" s="94"/>
      <c r="PRZ20" s="94"/>
      <c r="PSA20" s="94"/>
      <c r="PSB20" s="94"/>
      <c r="PSC20" s="94"/>
      <c r="PSD20" s="94"/>
      <c r="PSE20" s="94"/>
      <c r="PSF20" s="94"/>
      <c r="PSG20" s="94"/>
      <c r="PSH20" s="94"/>
      <c r="PSI20" s="94"/>
      <c r="PSJ20" s="94"/>
      <c r="PSK20" s="94"/>
      <c r="PSL20" s="94"/>
      <c r="PSM20" s="94"/>
      <c r="PSN20" s="94"/>
      <c r="PSO20" s="94"/>
      <c r="PSP20" s="94"/>
      <c r="PSQ20" s="94"/>
      <c r="PSR20" s="94"/>
      <c r="PSS20" s="94"/>
      <c r="PST20" s="94"/>
      <c r="PSU20" s="94"/>
      <c r="PSV20" s="94"/>
      <c r="PSW20" s="94"/>
      <c r="PSX20" s="94"/>
      <c r="PSY20" s="94"/>
      <c r="PSZ20" s="94"/>
      <c r="PTA20" s="94"/>
      <c r="PTB20" s="94"/>
      <c r="PTC20" s="94"/>
      <c r="PTD20" s="94"/>
      <c r="PTE20" s="94"/>
      <c r="PTF20" s="94"/>
      <c r="PTG20" s="94"/>
      <c r="PTH20" s="94"/>
      <c r="PTI20" s="94"/>
      <c r="PTJ20" s="94"/>
      <c r="PTK20" s="94"/>
      <c r="PTL20" s="94"/>
      <c r="PTM20" s="94"/>
      <c r="PTN20" s="94"/>
      <c r="PTO20" s="94"/>
      <c r="PTP20" s="94"/>
      <c r="PTQ20" s="94"/>
      <c r="PTR20" s="94"/>
      <c r="PTS20" s="94"/>
      <c r="PTT20" s="94"/>
      <c r="PTU20" s="94"/>
      <c r="PTV20" s="94"/>
      <c r="PTW20" s="94"/>
      <c r="PTX20" s="94"/>
      <c r="PTY20" s="94"/>
      <c r="PTZ20" s="94"/>
      <c r="PUA20" s="94"/>
      <c r="PUB20" s="94"/>
      <c r="PUC20" s="94"/>
      <c r="PUD20" s="94"/>
      <c r="PUE20" s="94"/>
      <c r="PUF20" s="94"/>
      <c r="PUG20" s="94"/>
      <c r="PUH20" s="94"/>
      <c r="PUI20" s="94"/>
      <c r="PUJ20" s="94"/>
      <c r="PUK20" s="94"/>
      <c r="PUL20" s="94"/>
      <c r="PUM20" s="94"/>
      <c r="PUN20" s="94"/>
      <c r="PUO20" s="94"/>
      <c r="PUP20" s="94"/>
      <c r="PUQ20" s="94"/>
      <c r="PUR20" s="94"/>
      <c r="PUS20" s="94"/>
      <c r="PUT20" s="94"/>
      <c r="PUU20" s="94"/>
      <c r="PUV20" s="94"/>
      <c r="PUW20" s="94"/>
      <c r="PUX20" s="94"/>
      <c r="PUY20" s="94"/>
      <c r="PUZ20" s="94"/>
      <c r="PVA20" s="94"/>
      <c r="PVB20" s="94"/>
      <c r="PVC20" s="94"/>
      <c r="PVD20" s="94"/>
      <c r="PVE20" s="94"/>
      <c r="PVF20" s="94"/>
      <c r="PVG20" s="94"/>
      <c r="PVH20" s="94"/>
      <c r="PVI20" s="94"/>
      <c r="PVJ20" s="94"/>
      <c r="PVK20" s="94"/>
      <c r="PVL20" s="94"/>
      <c r="PVM20" s="94"/>
      <c r="PVN20" s="94"/>
      <c r="PVO20" s="94"/>
      <c r="PVP20" s="94"/>
      <c r="PVQ20" s="94"/>
      <c r="PVR20" s="94"/>
      <c r="PVS20" s="94"/>
      <c r="PVT20" s="94"/>
      <c r="PVU20" s="94"/>
      <c r="PVV20" s="94"/>
      <c r="PVW20" s="94"/>
      <c r="PVX20" s="94"/>
      <c r="PVY20" s="94"/>
      <c r="PVZ20" s="94"/>
      <c r="PWA20" s="94"/>
      <c r="PWB20" s="94"/>
      <c r="PWC20" s="94"/>
      <c r="PWD20" s="94"/>
      <c r="PWE20" s="94"/>
      <c r="PWF20" s="94"/>
      <c r="PWG20" s="94"/>
      <c r="PWH20" s="94"/>
      <c r="PWI20" s="94"/>
      <c r="PWJ20" s="94"/>
      <c r="PWK20" s="94"/>
      <c r="PWL20" s="94"/>
      <c r="PWM20" s="94"/>
      <c r="PWN20" s="94"/>
      <c r="PWO20" s="94"/>
      <c r="PWP20" s="94"/>
      <c r="PWQ20" s="94"/>
      <c r="PWR20" s="94"/>
      <c r="PWS20" s="94"/>
      <c r="PWT20" s="94"/>
      <c r="PWU20" s="94"/>
      <c r="PWV20" s="94"/>
      <c r="PWW20" s="94"/>
      <c r="PWX20" s="94"/>
      <c r="PWY20" s="94"/>
      <c r="PWZ20" s="94"/>
      <c r="PXA20" s="94"/>
      <c r="PXB20" s="94"/>
      <c r="PXC20" s="94"/>
      <c r="PXD20" s="94"/>
      <c r="PXE20" s="94"/>
      <c r="PXF20" s="94"/>
      <c r="PXG20" s="94"/>
      <c r="PXH20" s="94"/>
      <c r="PXI20" s="94"/>
      <c r="PXJ20" s="94"/>
      <c r="PXK20" s="94"/>
      <c r="PXL20" s="94"/>
      <c r="PXM20" s="94"/>
      <c r="PXN20" s="94"/>
      <c r="PXO20" s="94"/>
      <c r="PXP20" s="94"/>
      <c r="PXQ20" s="94"/>
      <c r="PXR20" s="94"/>
      <c r="PXS20" s="94"/>
      <c r="PXT20" s="94"/>
      <c r="PXU20" s="94"/>
      <c r="PXV20" s="94"/>
      <c r="PXW20" s="94"/>
      <c r="PXX20" s="94"/>
      <c r="PXY20" s="94"/>
      <c r="PXZ20" s="94"/>
      <c r="PYA20" s="94"/>
      <c r="PYB20" s="94"/>
      <c r="PYC20" s="94"/>
      <c r="PYD20" s="94"/>
      <c r="PYE20" s="94"/>
      <c r="PYF20" s="94"/>
      <c r="PYG20" s="94"/>
      <c r="PYH20" s="94"/>
      <c r="PYI20" s="94"/>
      <c r="PYJ20" s="94"/>
      <c r="PYK20" s="94"/>
      <c r="PYL20" s="94"/>
      <c r="PYM20" s="94"/>
      <c r="PYN20" s="94"/>
      <c r="PYO20" s="94"/>
      <c r="PYP20" s="94"/>
      <c r="PYQ20" s="94"/>
      <c r="PYR20" s="94"/>
      <c r="PYS20" s="94"/>
      <c r="PYT20" s="94"/>
      <c r="PYU20" s="94"/>
      <c r="PYV20" s="94"/>
      <c r="PYW20" s="94"/>
      <c r="PYX20" s="94"/>
      <c r="PYY20" s="94"/>
      <c r="PYZ20" s="94"/>
      <c r="PZA20" s="94"/>
      <c r="PZB20" s="94"/>
      <c r="PZC20" s="94"/>
      <c r="PZD20" s="94"/>
      <c r="PZE20" s="94"/>
      <c r="PZF20" s="94"/>
      <c r="PZG20" s="94"/>
      <c r="PZH20" s="94"/>
      <c r="PZI20" s="94"/>
      <c r="PZJ20" s="94"/>
      <c r="PZK20" s="94"/>
      <c r="PZL20" s="94"/>
      <c r="PZM20" s="94"/>
      <c r="PZN20" s="94"/>
      <c r="PZO20" s="94"/>
      <c r="PZP20" s="94"/>
      <c r="PZQ20" s="94"/>
      <c r="PZR20" s="94"/>
      <c r="PZS20" s="94"/>
      <c r="PZT20" s="94"/>
      <c r="PZU20" s="94"/>
      <c r="PZV20" s="94"/>
      <c r="PZW20" s="94"/>
      <c r="PZX20" s="94"/>
      <c r="PZY20" s="94"/>
      <c r="PZZ20" s="94"/>
      <c r="QAA20" s="94"/>
      <c r="QAB20" s="94"/>
      <c r="QAC20" s="94"/>
      <c r="QAD20" s="94"/>
      <c r="QAE20" s="94"/>
      <c r="QAF20" s="94"/>
      <c r="QAG20" s="94"/>
      <c r="QAH20" s="94"/>
      <c r="QAI20" s="94"/>
      <c r="QAJ20" s="94"/>
      <c r="QAK20" s="94"/>
      <c r="QAL20" s="94"/>
      <c r="QAM20" s="94"/>
      <c r="QAN20" s="94"/>
      <c r="QAO20" s="94"/>
      <c r="QAP20" s="94"/>
      <c r="QAQ20" s="94"/>
      <c r="QAR20" s="94"/>
      <c r="QAS20" s="94"/>
      <c r="QAT20" s="94"/>
      <c r="QAU20" s="94"/>
      <c r="QAV20" s="94"/>
      <c r="QAW20" s="94"/>
      <c r="QAX20" s="94"/>
      <c r="QAY20" s="94"/>
      <c r="QAZ20" s="94"/>
      <c r="QBA20" s="94"/>
      <c r="QBB20" s="94"/>
      <c r="QBC20" s="94"/>
      <c r="QBD20" s="94"/>
      <c r="QBE20" s="94"/>
      <c r="QBF20" s="94"/>
      <c r="QBG20" s="94"/>
      <c r="QBH20" s="94"/>
      <c r="QBI20" s="94"/>
      <c r="QBJ20" s="94"/>
      <c r="QBK20" s="94"/>
      <c r="QBL20" s="94"/>
      <c r="QBM20" s="94"/>
      <c r="QBN20" s="94"/>
      <c r="QBO20" s="94"/>
      <c r="QBP20" s="94"/>
      <c r="QBQ20" s="94"/>
      <c r="QBR20" s="94"/>
      <c r="QBS20" s="94"/>
      <c r="QBT20" s="94"/>
      <c r="QBU20" s="94"/>
      <c r="QBV20" s="94"/>
      <c r="QBW20" s="94"/>
      <c r="QBX20" s="94"/>
      <c r="QBY20" s="94"/>
      <c r="QBZ20" s="94"/>
      <c r="QCA20" s="94"/>
      <c r="QCB20" s="94"/>
      <c r="QCC20" s="94"/>
      <c r="QCD20" s="94"/>
      <c r="QCE20" s="94"/>
      <c r="QCF20" s="94"/>
      <c r="QCG20" s="94"/>
      <c r="QCH20" s="94"/>
      <c r="QCI20" s="94"/>
      <c r="QCJ20" s="94"/>
      <c r="QCK20" s="94"/>
      <c r="QCL20" s="94"/>
      <c r="QCM20" s="94"/>
      <c r="QCN20" s="94"/>
      <c r="QCO20" s="94"/>
      <c r="QCP20" s="94"/>
      <c r="QCQ20" s="94"/>
      <c r="QCR20" s="94"/>
      <c r="QCS20" s="94"/>
      <c r="QCT20" s="94"/>
      <c r="QCU20" s="94"/>
      <c r="QCV20" s="94"/>
      <c r="QCW20" s="94"/>
      <c r="QCX20" s="94"/>
      <c r="QCY20" s="94"/>
      <c r="QCZ20" s="94"/>
      <c r="QDA20" s="94"/>
      <c r="QDB20" s="94"/>
      <c r="QDC20" s="94"/>
      <c r="QDD20" s="94"/>
      <c r="QDE20" s="94"/>
      <c r="QDF20" s="94"/>
      <c r="QDG20" s="94"/>
      <c r="QDH20" s="94"/>
      <c r="QDI20" s="94"/>
      <c r="QDJ20" s="94"/>
      <c r="QDK20" s="94"/>
      <c r="QDL20" s="94"/>
      <c r="QDM20" s="94"/>
      <c r="QDN20" s="94"/>
      <c r="QDO20" s="94"/>
      <c r="QDP20" s="94"/>
      <c r="QDQ20" s="94"/>
      <c r="QDR20" s="94"/>
      <c r="QDS20" s="94"/>
      <c r="QDT20" s="94"/>
      <c r="QDU20" s="94"/>
      <c r="QDV20" s="94"/>
      <c r="QDW20" s="94"/>
      <c r="QDX20" s="94"/>
      <c r="QDY20" s="94"/>
      <c r="QDZ20" s="94"/>
      <c r="QEA20" s="94"/>
      <c r="QEB20" s="94"/>
      <c r="QEC20" s="94"/>
      <c r="QED20" s="94"/>
      <c r="QEE20" s="94"/>
      <c r="QEF20" s="94"/>
      <c r="QEG20" s="94"/>
      <c r="QEH20" s="94"/>
      <c r="QEI20" s="94"/>
      <c r="QEJ20" s="94"/>
      <c r="QEK20" s="94"/>
      <c r="QEL20" s="94"/>
      <c r="QEM20" s="94"/>
      <c r="QEN20" s="94"/>
      <c r="QEO20" s="94"/>
      <c r="QEP20" s="94"/>
      <c r="QEQ20" s="94"/>
      <c r="QER20" s="94"/>
      <c r="QES20" s="94"/>
      <c r="QET20" s="94"/>
      <c r="QEU20" s="94"/>
      <c r="QEV20" s="94"/>
      <c r="QEW20" s="94"/>
      <c r="QEX20" s="94"/>
      <c r="QEY20" s="94"/>
      <c r="QEZ20" s="94"/>
      <c r="QFA20" s="94"/>
      <c r="QFB20" s="94"/>
      <c r="QFC20" s="94"/>
      <c r="QFD20" s="94"/>
      <c r="QFE20" s="94"/>
      <c r="QFF20" s="94"/>
      <c r="QFG20" s="94"/>
      <c r="QFH20" s="94"/>
      <c r="QFI20" s="94"/>
      <c r="QFJ20" s="94"/>
      <c r="QFK20" s="94"/>
      <c r="QFL20" s="94"/>
      <c r="QFM20" s="94"/>
      <c r="QFN20" s="94"/>
      <c r="QFO20" s="94"/>
      <c r="QFP20" s="94"/>
      <c r="QFQ20" s="94"/>
      <c r="QFR20" s="94"/>
      <c r="QFS20" s="94"/>
      <c r="QFT20" s="94"/>
      <c r="QFU20" s="94"/>
      <c r="QFV20" s="94"/>
      <c r="QFW20" s="94"/>
      <c r="QFX20" s="94"/>
      <c r="QFY20" s="94"/>
      <c r="QFZ20" s="94"/>
      <c r="QGA20" s="94"/>
      <c r="QGB20" s="94"/>
      <c r="QGC20" s="94"/>
      <c r="QGD20" s="94"/>
      <c r="QGE20" s="94"/>
      <c r="QGF20" s="94"/>
      <c r="QGG20" s="94"/>
      <c r="QGH20" s="94"/>
      <c r="QGI20" s="94"/>
      <c r="QGJ20" s="94"/>
      <c r="QGK20" s="94"/>
      <c r="QGL20" s="94"/>
      <c r="QGM20" s="94"/>
      <c r="QGN20" s="94"/>
      <c r="QGO20" s="94"/>
      <c r="QGP20" s="94"/>
      <c r="QGQ20" s="94"/>
      <c r="QGR20" s="94"/>
      <c r="QGS20" s="94"/>
      <c r="QGT20" s="94"/>
      <c r="QGU20" s="94"/>
      <c r="QGV20" s="94"/>
      <c r="QGW20" s="94"/>
      <c r="QGX20" s="94"/>
      <c r="QGY20" s="94"/>
      <c r="QGZ20" s="94"/>
      <c r="QHA20" s="94"/>
      <c r="QHB20" s="94"/>
      <c r="QHC20" s="94"/>
      <c r="QHD20" s="94"/>
      <c r="QHE20" s="94"/>
      <c r="QHF20" s="94"/>
      <c r="QHG20" s="94"/>
      <c r="QHH20" s="94"/>
      <c r="QHI20" s="94"/>
      <c r="QHJ20" s="94"/>
      <c r="QHK20" s="94"/>
      <c r="QHL20" s="94"/>
      <c r="QHM20" s="94"/>
      <c r="QHN20" s="94"/>
      <c r="QHO20" s="94"/>
      <c r="QHP20" s="94"/>
      <c r="QHQ20" s="94"/>
      <c r="QHR20" s="94"/>
      <c r="QHS20" s="94"/>
      <c r="QHT20" s="94"/>
      <c r="QHU20" s="94"/>
      <c r="QHV20" s="94"/>
      <c r="QHW20" s="94"/>
      <c r="QHX20" s="94"/>
      <c r="QHY20" s="94"/>
      <c r="QHZ20" s="94"/>
      <c r="QIA20" s="94"/>
      <c r="QIB20" s="94"/>
      <c r="QIC20" s="94"/>
      <c r="QID20" s="94"/>
      <c r="QIE20" s="94"/>
      <c r="QIF20" s="94"/>
      <c r="QIG20" s="94"/>
      <c r="QIH20" s="94"/>
      <c r="QII20" s="94"/>
      <c r="QIJ20" s="94"/>
      <c r="QIK20" s="94"/>
      <c r="QIL20" s="94"/>
      <c r="QIM20" s="94"/>
      <c r="QIN20" s="94"/>
      <c r="QIO20" s="94"/>
      <c r="QIP20" s="94"/>
      <c r="QIQ20" s="94"/>
      <c r="QIR20" s="94"/>
      <c r="QIS20" s="94"/>
      <c r="QIT20" s="94"/>
      <c r="QIU20" s="94"/>
      <c r="QIV20" s="94"/>
      <c r="QIW20" s="94"/>
      <c r="QIX20" s="94"/>
      <c r="QIY20" s="94"/>
      <c r="QIZ20" s="94"/>
      <c r="QJA20" s="94"/>
      <c r="QJB20" s="94"/>
      <c r="QJC20" s="94"/>
      <c r="QJD20" s="94"/>
      <c r="QJE20" s="94"/>
      <c r="QJF20" s="94"/>
      <c r="QJG20" s="94"/>
      <c r="QJH20" s="94"/>
      <c r="QJI20" s="94"/>
      <c r="QJJ20" s="94"/>
      <c r="QJK20" s="94"/>
      <c r="QJL20" s="94"/>
      <c r="QJM20" s="94"/>
      <c r="QJN20" s="94"/>
      <c r="QJO20" s="94"/>
      <c r="QJP20" s="94"/>
      <c r="QJQ20" s="94"/>
      <c r="QJR20" s="94"/>
      <c r="QJS20" s="94"/>
      <c r="QJT20" s="94"/>
      <c r="QJU20" s="94"/>
      <c r="QJV20" s="94"/>
      <c r="QJW20" s="94"/>
      <c r="QJX20" s="94"/>
      <c r="QJY20" s="94"/>
      <c r="QJZ20" s="94"/>
      <c r="QKA20" s="94"/>
      <c r="QKB20" s="94"/>
      <c r="QKC20" s="94"/>
      <c r="QKD20" s="94"/>
      <c r="QKE20" s="94"/>
      <c r="QKF20" s="94"/>
      <c r="QKG20" s="94"/>
      <c r="QKH20" s="94"/>
      <c r="QKI20" s="94"/>
      <c r="QKJ20" s="94"/>
      <c r="QKK20" s="94"/>
      <c r="QKL20" s="94"/>
      <c r="QKM20" s="94"/>
      <c r="QKN20" s="94"/>
      <c r="QKO20" s="94"/>
      <c r="QKP20" s="94"/>
      <c r="QKQ20" s="94"/>
      <c r="QKR20" s="94"/>
      <c r="QKS20" s="94"/>
      <c r="QKT20" s="94"/>
      <c r="QKU20" s="94"/>
      <c r="QKV20" s="94"/>
      <c r="QKW20" s="94"/>
      <c r="QKX20" s="94"/>
      <c r="QKY20" s="94"/>
      <c r="QKZ20" s="94"/>
      <c r="QLA20" s="94"/>
      <c r="QLB20" s="94"/>
      <c r="QLC20" s="94"/>
      <c r="QLD20" s="94"/>
      <c r="QLE20" s="94"/>
      <c r="QLF20" s="94"/>
      <c r="QLG20" s="94"/>
      <c r="QLH20" s="94"/>
      <c r="QLI20" s="94"/>
      <c r="QLJ20" s="94"/>
      <c r="QLK20" s="94"/>
      <c r="QLL20" s="94"/>
      <c r="QLM20" s="94"/>
      <c r="QLN20" s="94"/>
      <c r="QLO20" s="94"/>
      <c r="QLP20" s="94"/>
      <c r="QLQ20" s="94"/>
      <c r="QLR20" s="94"/>
      <c r="QLS20" s="94"/>
      <c r="QLT20" s="94"/>
      <c r="QLU20" s="94"/>
      <c r="QLV20" s="94"/>
      <c r="QLW20" s="94"/>
      <c r="QLX20" s="94"/>
      <c r="QLY20" s="94"/>
      <c r="QLZ20" s="94"/>
      <c r="QMA20" s="94"/>
      <c r="QMB20" s="94"/>
      <c r="QMC20" s="94"/>
      <c r="QMD20" s="94"/>
      <c r="QME20" s="94"/>
      <c r="QMF20" s="94"/>
      <c r="QMG20" s="94"/>
      <c r="QMH20" s="94"/>
      <c r="QMI20" s="94"/>
      <c r="QMJ20" s="94"/>
      <c r="QMK20" s="94"/>
      <c r="QML20" s="94"/>
      <c r="QMM20" s="94"/>
      <c r="QMN20" s="94"/>
      <c r="QMO20" s="94"/>
      <c r="QMP20" s="94"/>
      <c r="QMQ20" s="94"/>
      <c r="QMR20" s="94"/>
      <c r="QMS20" s="94"/>
      <c r="QMT20" s="94"/>
      <c r="QMU20" s="94"/>
      <c r="QMV20" s="94"/>
      <c r="QMW20" s="94"/>
      <c r="QMX20" s="94"/>
      <c r="QMY20" s="94"/>
      <c r="QMZ20" s="94"/>
      <c r="QNA20" s="94"/>
      <c r="QNB20" s="94"/>
      <c r="QNC20" s="94"/>
      <c r="QND20" s="94"/>
      <c r="QNE20" s="94"/>
      <c r="QNF20" s="94"/>
      <c r="QNG20" s="94"/>
      <c r="QNH20" s="94"/>
      <c r="QNI20" s="94"/>
      <c r="QNJ20" s="94"/>
      <c r="QNK20" s="94"/>
      <c r="QNL20" s="94"/>
      <c r="QNM20" s="94"/>
      <c r="QNN20" s="94"/>
      <c r="QNO20" s="94"/>
      <c r="QNP20" s="94"/>
      <c r="QNQ20" s="94"/>
      <c r="QNR20" s="94"/>
      <c r="QNS20" s="94"/>
      <c r="QNT20" s="94"/>
      <c r="QNU20" s="94"/>
      <c r="QNV20" s="94"/>
      <c r="QNW20" s="94"/>
      <c r="QNX20" s="94"/>
      <c r="QNY20" s="94"/>
      <c r="QNZ20" s="94"/>
      <c r="QOA20" s="94"/>
      <c r="QOB20" s="94"/>
      <c r="QOC20" s="94"/>
      <c r="QOD20" s="94"/>
      <c r="QOE20" s="94"/>
      <c r="QOF20" s="94"/>
      <c r="QOG20" s="94"/>
      <c r="QOH20" s="94"/>
      <c r="QOI20" s="94"/>
      <c r="QOJ20" s="94"/>
      <c r="QOK20" s="94"/>
      <c r="QOL20" s="94"/>
      <c r="QOM20" s="94"/>
      <c r="QON20" s="94"/>
      <c r="QOO20" s="94"/>
      <c r="QOP20" s="94"/>
      <c r="QOQ20" s="94"/>
      <c r="QOR20" s="94"/>
      <c r="QOS20" s="94"/>
      <c r="QOT20" s="94"/>
      <c r="QOU20" s="94"/>
      <c r="QOV20" s="94"/>
      <c r="QOW20" s="94"/>
      <c r="QOX20" s="94"/>
      <c r="QOY20" s="94"/>
      <c r="QOZ20" s="94"/>
      <c r="QPA20" s="94"/>
      <c r="QPB20" s="94"/>
      <c r="QPC20" s="94"/>
      <c r="QPD20" s="94"/>
      <c r="QPE20" s="94"/>
      <c r="QPF20" s="94"/>
      <c r="QPG20" s="94"/>
      <c r="QPH20" s="94"/>
      <c r="QPI20" s="94"/>
      <c r="QPJ20" s="94"/>
      <c r="QPK20" s="94"/>
      <c r="QPL20" s="94"/>
      <c r="QPM20" s="94"/>
      <c r="QPN20" s="94"/>
      <c r="QPO20" s="94"/>
      <c r="QPP20" s="94"/>
      <c r="QPQ20" s="94"/>
      <c r="QPR20" s="94"/>
      <c r="QPS20" s="94"/>
      <c r="QPT20" s="94"/>
      <c r="QPU20" s="94"/>
      <c r="QPV20" s="94"/>
      <c r="QPW20" s="94"/>
      <c r="QPX20" s="94"/>
      <c r="QPY20" s="94"/>
      <c r="QPZ20" s="94"/>
      <c r="QQA20" s="94"/>
      <c r="QQB20" s="94"/>
      <c r="QQC20" s="94"/>
      <c r="QQD20" s="94"/>
      <c r="QQE20" s="94"/>
      <c r="QQF20" s="94"/>
      <c r="QQG20" s="94"/>
      <c r="QQH20" s="94"/>
      <c r="QQI20" s="94"/>
      <c r="QQJ20" s="94"/>
      <c r="QQK20" s="94"/>
      <c r="QQL20" s="94"/>
      <c r="QQM20" s="94"/>
      <c r="QQN20" s="94"/>
      <c r="QQO20" s="94"/>
      <c r="QQP20" s="94"/>
      <c r="QQQ20" s="94"/>
      <c r="QQR20" s="94"/>
      <c r="QQS20" s="94"/>
      <c r="QQT20" s="94"/>
      <c r="QQU20" s="94"/>
      <c r="QQV20" s="94"/>
      <c r="QQW20" s="94"/>
      <c r="QQX20" s="94"/>
      <c r="QQY20" s="94"/>
      <c r="QQZ20" s="94"/>
      <c r="QRA20" s="94"/>
      <c r="QRB20" s="94"/>
      <c r="QRC20" s="94"/>
      <c r="QRD20" s="94"/>
      <c r="QRE20" s="94"/>
      <c r="QRF20" s="94"/>
      <c r="QRG20" s="94"/>
      <c r="QRH20" s="94"/>
      <c r="QRI20" s="94"/>
      <c r="QRJ20" s="94"/>
      <c r="QRK20" s="94"/>
      <c r="QRL20" s="94"/>
      <c r="QRM20" s="94"/>
      <c r="QRN20" s="94"/>
      <c r="QRO20" s="94"/>
      <c r="QRP20" s="94"/>
      <c r="QRQ20" s="94"/>
      <c r="QRR20" s="94"/>
      <c r="QRS20" s="94"/>
      <c r="QRT20" s="94"/>
      <c r="QRU20" s="94"/>
      <c r="QRV20" s="94"/>
      <c r="QRW20" s="94"/>
      <c r="QRX20" s="94"/>
      <c r="QRY20" s="94"/>
      <c r="QRZ20" s="94"/>
      <c r="QSA20" s="94"/>
      <c r="QSB20" s="94"/>
      <c r="QSC20" s="94"/>
      <c r="QSD20" s="94"/>
      <c r="QSE20" s="94"/>
      <c r="QSF20" s="94"/>
      <c r="QSG20" s="94"/>
      <c r="QSH20" s="94"/>
      <c r="QSI20" s="94"/>
      <c r="QSJ20" s="94"/>
      <c r="QSK20" s="94"/>
      <c r="QSL20" s="94"/>
      <c r="QSM20" s="94"/>
      <c r="QSN20" s="94"/>
      <c r="QSO20" s="94"/>
      <c r="QSP20" s="94"/>
      <c r="QSQ20" s="94"/>
      <c r="QSR20" s="94"/>
      <c r="QSS20" s="94"/>
      <c r="QST20" s="94"/>
      <c r="QSU20" s="94"/>
      <c r="QSV20" s="94"/>
      <c r="QSW20" s="94"/>
      <c r="QSX20" s="94"/>
      <c r="QSY20" s="94"/>
      <c r="QSZ20" s="94"/>
      <c r="QTA20" s="94"/>
      <c r="QTB20" s="94"/>
      <c r="QTC20" s="94"/>
      <c r="QTD20" s="94"/>
      <c r="QTE20" s="94"/>
      <c r="QTF20" s="94"/>
      <c r="QTG20" s="94"/>
      <c r="QTH20" s="94"/>
      <c r="QTI20" s="94"/>
      <c r="QTJ20" s="94"/>
      <c r="QTK20" s="94"/>
      <c r="QTL20" s="94"/>
      <c r="QTM20" s="94"/>
      <c r="QTN20" s="94"/>
      <c r="QTO20" s="94"/>
      <c r="QTP20" s="94"/>
      <c r="QTQ20" s="94"/>
      <c r="QTR20" s="94"/>
      <c r="QTS20" s="94"/>
      <c r="QTT20" s="94"/>
      <c r="QTU20" s="94"/>
      <c r="QTV20" s="94"/>
      <c r="QTW20" s="94"/>
      <c r="QTX20" s="94"/>
      <c r="QTY20" s="94"/>
      <c r="QTZ20" s="94"/>
      <c r="QUA20" s="94"/>
      <c r="QUB20" s="94"/>
      <c r="QUC20" s="94"/>
      <c r="QUD20" s="94"/>
      <c r="QUE20" s="94"/>
      <c r="QUF20" s="94"/>
      <c r="QUG20" s="94"/>
      <c r="QUH20" s="94"/>
      <c r="QUI20" s="94"/>
      <c r="QUJ20" s="94"/>
      <c r="QUK20" s="94"/>
      <c r="QUL20" s="94"/>
      <c r="QUM20" s="94"/>
      <c r="QUN20" s="94"/>
      <c r="QUO20" s="94"/>
      <c r="QUP20" s="94"/>
      <c r="QUQ20" s="94"/>
      <c r="QUR20" s="94"/>
      <c r="QUS20" s="94"/>
      <c r="QUT20" s="94"/>
      <c r="QUU20" s="94"/>
      <c r="QUV20" s="94"/>
      <c r="QUW20" s="94"/>
      <c r="QUX20" s="94"/>
      <c r="QUY20" s="94"/>
      <c r="QUZ20" s="94"/>
      <c r="QVA20" s="94"/>
      <c r="QVB20" s="94"/>
      <c r="QVC20" s="94"/>
      <c r="QVD20" s="94"/>
      <c r="QVE20" s="94"/>
      <c r="QVF20" s="94"/>
      <c r="QVG20" s="94"/>
      <c r="QVH20" s="94"/>
      <c r="QVI20" s="94"/>
      <c r="QVJ20" s="94"/>
      <c r="QVK20" s="94"/>
      <c r="QVL20" s="94"/>
      <c r="QVM20" s="94"/>
      <c r="QVN20" s="94"/>
      <c r="QVO20" s="94"/>
      <c r="QVP20" s="94"/>
      <c r="QVQ20" s="94"/>
      <c r="QVR20" s="94"/>
      <c r="QVS20" s="94"/>
      <c r="QVT20" s="94"/>
      <c r="QVU20" s="94"/>
      <c r="QVV20" s="94"/>
      <c r="QVW20" s="94"/>
      <c r="QVX20" s="94"/>
      <c r="QVY20" s="94"/>
      <c r="QVZ20" s="94"/>
      <c r="QWA20" s="94"/>
      <c r="QWB20" s="94"/>
      <c r="QWC20" s="94"/>
      <c r="QWD20" s="94"/>
      <c r="QWE20" s="94"/>
      <c r="QWF20" s="94"/>
      <c r="QWG20" s="94"/>
      <c r="QWH20" s="94"/>
      <c r="QWI20" s="94"/>
      <c r="QWJ20" s="94"/>
      <c r="QWK20" s="94"/>
      <c r="QWL20" s="94"/>
      <c r="QWM20" s="94"/>
      <c r="QWN20" s="94"/>
      <c r="QWO20" s="94"/>
      <c r="QWP20" s="94"/>
      <c r="QWQ20" s="94"/>
      <c r="QWR20" s="94"/>
      <c r="QWS20" s="94"/>
      <c r="QWT20" s="94"/>
      <c r="QWU20" s="94"/>
      <c r="QWV20" s="94"/>
      <c r="QWW20" s="94"/>
      <c r="QWX20" s="94"/>
      <c r="QWY20" s="94"/>
      <c r="QWZ20" s="94"/>
      <c r="QXA20" s="94"/>
      <c r="QXB20" s="94"/>
      <c r="QXC20" s="94"/>
      <c r="QXD20" s="94"/>
      <c r="QXE20" s="94"/>
      <c r="QXF20" s="94"/>
      <c r="QXG20" s="94"/>
      <c r="QXH20" s="94"/>
      <c r="QXI20" s="94"/>
      <c r="QXJ20" s="94"/>
      <c r="QXK20" s="94"/>
      <c r="QXL20" s="94"/>
      <c r="QXM20" s="94"/>
      <c r="QXN20" s="94"/>
      <c r="QXO20" s="94"/>
      <c r="QXP20" s="94"/>
      <c r="QXQ20" s="94"/>
      <c r="QXR20" s="94"/>
      <c r="QXS20" s="94"/>
      <c r="QXT20" s="94"/>
      <c r="QXU20" s="94"/>
      <c r="QXV20" s="94"/>
      <c r="QXW20" s="94"/>
      <c r="QXX20" s="94"/>
      <c r="QXY20" s="94"/>
      <c r="QXZ20" s="94"/>
      <c r="QYA20" s="94"/>
      <c r="QYB20" s="94"/>
      <c r="QYC20" s="94"/>
      <c r="QYD20" s="94"/>
      <c r="QYE20" s="94"/>
      <c r="QYF20" s="94"/>
      <c r="QYG20" s="94"/>
      <c r="QYH20" s="94"/>
      <c r="QYI20" s="94"/>
      <c r="QYJ20" s="94"/>
      <c r="QYK20" s="94"/>
      <c r="QYL20" s="94"/>
      <c r="QYM20" s="94"/>
      <c r="QYN20" s="94"/>
      <c r="QYO20" s="94"/>
      <c r="QYP20" s="94"/>
      <c r="QYQ20" s="94"/>
      <c r="QYR20" s="94"/>
      <c r="QYS20" s="94"/>
      <c r="QYT20" s="94"/>
      <c r="QYU20" s="94"/>
      <c r="QYV20" s="94"/>
      <c r="QYW20" s="94"/>
      <c r="QYX20" s="94"/>
      <c r="QYY20" s="94"/>
      <c r="QYZ20" s="94"/>
      <c r="QZA20" s="94"/>
      <c r="QZB20" s="94"/>
      <c r="QZC20" s="94"/>
      <c r="QZD20" s="94"/>
      <c r="QZE20" s="94"/>
      <c r="QZF20" s="94"/>
      <c r="QZG20" s="94"/>
      <c r="QZH20" s="94"/>
      <c r="QZI20" s="94"/>
      <c r="QZJ20" s="94"/>
      <c r="QZK20" s="94"/>
      <c r="QZL20" s="94"/>
      <c r="QZM20" s="94"/>
      <c r="QZN20" s="94"/>
      <c r="QZO20" s="94"/>
      <c r="QZP20" s="94"/>
      <c r="QZQ20" s="94"/>
      <c r="QZR20" s="94"/>
      <c r="QZS20" s="94"/>
      <c r="QZT20" s="94"/>
      <c r="QZU20" s="94"/>
      <c r="QZV20" s="94"/>
      <c r="QZW20" s="94"/>
      <c r="QZX20" s="94"/>
      <c r="QZY20" s="94"/>
      <c r="QZZ20" s="94"/>
      <c r="RAA20" s="94"/>
      <c r="RAB20" s="94"/>
      <c r="RAC20" s="94"/>
      <c r="RAD20" s="94"/>
      <c r="RAE20" s="94"/>
      <c r="RAF20" s="94"/>
      <c r="RAG20" s="94"/>
      <c r="RAH20" s="94"/>
      <c r="RAI20" s="94"/>
      <c r="RAJ20" s="94"/>
      <c r="RAK20" s="94"/>
      <c r="RAL20" s="94"/>
      <c r="RAM20" s="94"/>
      <c r="RAN20" s="94"/>
      <c r="RAO20" s="94"/>
      <c r="RAP20" s="94"/>
      <c r="RAQ20" s="94"/>
      <c r="RAR20" s="94"/>
      <c r="RAS20" s="94"/>
      <c r="RAT20" s="94"/>
      <c r="RAU20" s="94"/>
      <c r="RAV20" s="94"/>
      <c r="RAW20" s="94"/>
      <c r="RAX20" s="94"/>
      <c r="RAY20" s="94"/>
      <c r="RAZ20" s="94"/>
      <c r="RBA20" s="94"/>
      <c r="RBB20" s="94"/>
      <c r="RBC20" s="94"/>
      <c r="RBD20" s="94"/>
      <c r="RBE20" s="94"/>
      <c r="RBF20" s="94"/>
      <c r="RBG20" s="94"/>
      <c r="RBH20" s="94"/>
      <c r="RBI20" s="94"/>
      <c r="RBJ20" s="94"/>
      <c r="RBK20" s="94"/>
      <c r="RBL20" s="94"/>
      <c r="RBM20" s="94"/>
      <c r="RBN20" s="94"/>
      <c r="RBO20" s="94"/>
      <c r="RBP20" s="94"/>
      <c r="RBQ20" s="94"/>
      <c r="RBR20" s="94"/>
      <c r="RBS20" s="94"/>
      <c r="RBT20" s="94"/>
      <c r="RBU20" s="94"/>
      <c r="RBV20" s="94"/>
      <c r="RBW20" s="94"/>
      <c r="RBX20" s="94"/>
      <c r="RBY20" s="94"/>
      <c r="RBZ20" s="94"/>
      <c r="RCA20" s="94"/>
      <c r="RCB20" s="94"/>
      <c r="RCC20" s="94"/>
      <c r="RCD20" s="94"/>
      <c r="RCE20" s="94"/>
      <c r="RCF20" s="94"/>
      <c r="RCG20" s="94"/>
      <c r="RCH20" s="94"/>
      <c r="RCI20" s="94"/>
      <c r="RCJ20" s="94"/>
      <c r="RCK20" s="94"/>
      <c r="RCL20" s="94"/>
      <c r="RCM20" s="94"/>
      <c r="RCN20" s="94"/>
      <c r="RCO20" s="94"/>
      <c r="RCP20" s="94"/>
      <c r="RCQ20" s="94"/>
      <c r="RCR20" s="94"/>
      <c r="RCS20" s="94"/>
      <c r="RCT20" s="94"/>
      <c r="RCU20" s="94"/>
      <c r="RCV20" s="94"/>
      <c r="RCW20" s="94"/>
      <c r="RCX20" s="94"/>
      <c r="RCY20" s="94"/>
      <c r="RCZ20" s="94"/>
      <c r="RDA20" s="94"/>
      <c r="RDB20" s="94"/>
      <c r="RDC20" s="94"/>
      <c r="RDD20" s="94"/>
      <c r="RDE20" s="94"/>
      <c r="RDF20" s="94"/>
      <c r="RDG20" s="94"/>
      <c r="RDH20" s="94"/>
      <c r="RDI20" s="94"/>
      <c r="RDJ20" s="94"/>
      <c r="RDK20" s="94"/>
      <c r="RDL20" s="94"/>
      <c r="RDM20" s="94"/>
      <c r="RDN20" s="94"/>
      <c r="RDO20" s="94"/>
      <c r="RDP20" s="94"/>
      <c r="RDQ20" s="94"/>
      <c r="RDR20" s="94"/>
      <c r="RDS20" s="94"/>
      <c r="RDT20" s="94"/>
      <c r="RDU20" s="94"/>
      <c r="RDV20" s="94"/>
      <c r="RDW20" s="94"/>
      <c r="RDX20" s="94"/>
      <c r="RDY20" s="94"/>
      <c r="RDZ20" s="94"/>
      <c r="REA20" s="94"/>
      <c r="REB20" s="94"/>
      <c r="REC20" s="94"/>
      <c r="RED20" s="94"/>
      <c r="REE20" s="94"/>
      <c r="REF20" s="94"/>
      <c r="REG20" s="94"/>
      <c r="REH20" s="94"/>
      <c r="REI20" s="94"/>
      <c r="REJ20" s="94"/>
      <c r="REK20" s="94"/>
      <c r="REL20" s="94"/>
      <c r="REM20" s="94"/>
      <c r="REN20" s="94"/>
      <c r="REO20" s="94"/>
      <c r="REP20" s="94"/>
      <c r="REQ20" s="94"/>
      <c r="RER20" s="94"/>
      <c r="RES20" s="94"/>
      <c r="RET20" s="94"/>
      <c r="REU20" s="94"/>
      <c r="REV20" s="94"/>
      <c r="REW20" s="94"/>
      <c r="REX20" s="94"/>
      <c r="REY20" s="94"/>
      <c r="REZ20" s="94"/>
      <c r="RFA20" s="94"/>
      <c r="RFB20" s="94"/>
      <c r="RFC20" s="94"/>
      <c r="RFD20" s="94"/>
      <c r="RFE20" s="94"/>
      <c r="RFF20" s="94"/>
      <c r="RFG20" s="94"/>
      <c r="RFH20" s="94"/>
      <c r="RFI20" s="94"/>
      <c r="RFJ20" s="94"/>
      <c r="RFK20" s="94"/>
      <c r="RFL20" s="94"/>
      <c r="RFM20" s="94"/>
      <c r="RFN20" s="94"/>
      <c r="RFO20" s="94"/>
      <c r="RFP20" s="94"/>
      <c r="RFQ20" s="94"/>
      <c r="RFR20" s="94"/>
      <c r="RFS20" s="94"/>
      <c r="RFT20" s="94"/>
      <c r="RFU20" s="94"/>
      <c r="RFV20" s="94"/>
      <c r="RFW20" s="94"/>
      <c r="RFX20" s="94"/>
      <c r="RFY20" s="94"/>
      <c r="RFZ20" s="94"/>
      <c r="RGA20" s="94"/>
      <c r="RGB20" s="94"/>
      <c r="RGC20" s="94"/>
      <c r="RGD20" s="94"/>
      <c r="RGE20" s="94"/>
      <c r="RGF20" s="94"/>
      <c r="RGG20" s="94"/>
      <c r="RGH20" s="94"/>
      <c r="RGI20" s="94"/>
      <c r="RGJ20" s="94"/>
      <c r="RGK20" s="94"/>
      <c r="RGL20" s="94"/>
      <c r="RGM20" s="94"/>
      <c r="RGN20" s="94"/>
      <c r="RGO20" s="94"/>
      <c r="RGP20" s="94"/>
      <c r="RGQ20" s="94"/>
      <c r="RGR20" s="94"/>
      <c r="RGS20" s="94"/>
      <c r="RGT20" s="94"/>
      <c r="RGU20" s="94"/>
      <c r="RGV20" s="94"/>
      <c r="RGW20" s="94"/>
      <c r="RGX20" s="94"/>
      <c r="RGY20" s="94"/>
      <c r="RGZ20" s="94"/>
      <c r="RHA20" s="94"/>
      <c r="RHB20" s="94"/>
      <c r="RHC20" s="94"/>
      <c r="RHD20" s="94"/>
      <c r="RHE20" s="94"/>
      <c r="RHF20" s="94"/>
      <c r="RHG20" s="94"/>
      <c r="RHH20" s="94"/>
      <c r="RHI20" s="94"/>
      <c r="RHJ20" s="94"/>
      <c r="RHK20" s="94"/>
      <c r="RHL20" s="94"/>
      <c r="RHM20" s="94"/>
      <c r="RHN20" s="94"/>
      <c r="RHO20" s="94"/>
      <c r="RHP20" s="94"/>
      <c r="RHQ20" s="94"/>
      <c r="RHR20" s="94"/>
      <c r="RHS20" s="94"/>
      <c r="RHT20" s="94"/>
      <c r="RHU20" s="94"/>
      <c r="RHV20" s="94"/>
      <c r="RHW20" s="94"/>
      <c r="RHX20" s="94"/>
      <c r="RHY20" s="94"/>
      <c r="RHZ20" s="94"/>
      <c r="RIA20" s="94"/>
      <c r="RIB20" s="94"/>
      <c r="RIC20" s="94"/>
      <c r="RID20" s="94"/>
      <c r="RIE20" s="94"/>
      <c r="RIF20" s="94"/>
      <c r="RIG20" s="94"/>
      <c r="RIH20" s="94"/>
      <c r="RII20" s="94"/>
      <c r="RIJ20" s="94"/>
      <c r="RIK20" s="94"/>
      <c r="RIL20" s="94"/>
      <c r="RIM20" s="94"/>
      <c r="RIN20" s="94"/>
      <c r="RIO20" s="94"/>
      <c r="RIP20" s="94"/>
      <c r="RIQ20" s="94"/>
      <c r="RIR20" s="94"/>
      <c r="RIS20" s="94"/>
      <c r="RIT20" s="94"/>
      <c r="RIU20" s="94"/>
      <c r="RIV20" s="94"/>
      <c r="RIW20" s="94"/>
      <c r="RIX20" s="94"/>
      <c r="RIY20" s="94"/>
      <c r="RIZ20" s="94"/>
      <c r="RJA20" s="94"/>
      <c r="RJB20" s="94"/>
      <c r="RJC20" s="94"/>
      <c r="RJD20" s="94"/>
      <c r="RJE20" s="94"/>
      <c r="RJF20" s="94"/>
      <c r="RJG20" s="94"/>
      <c r="RJH20" s="94"/>
      <c r="RJI20" s="94"/>
      <c r="RJJ20" s="94"/>
      <c r="RJK20" s="94"/>
      <c r="RJL20" s="94"/>
      <c r="RJM20" s="94"/>
      <c r="RJN20" s="94"/>
      <c r="RJO20" s="94"/>
      <c r="RJP20" s="94"/>
      <c r="RJQ20" s="94"/>
      <c r="RJR20" s="94"/>
      <c r="RJS20" s="94"/>
      <c r="RJT20" s="94"/>
      <c r="RJU20" s="94"/>
      <c r="RJV20" s="94"/>
      <c r="RJW20" s="94"/>
      <c r="RJX20" s="94"/>
      <c r="RJY20" s="94"/>
      <c r="RJZ20" s="94"/>
      <c r="RKA20" s="94"/>
      <c r="RKB20" s="94"/>
      <c r="RKC20" s="94"/>
      <c r="RKD20" s="94"/>
      <c r="RKE20" s="94"/>
      <c r="RKF20" s="94"/>
      <c r="RKG20" s="94"/>
      <c r="RKH20" s="94"/>
      <c r="RKI20" s="94"/>
      <c r="RKJ20" s="94"/>
      <c r="RKK20" s="94"/>
      <c r="RKL20" s="94"/>
      <c r="RKM20" s="94"/>
      <c r="RKN20" s="94"/>
      <c r="RKO20" s="94"/>
      <c r="RKP20" s="94"/>
      <c r="RKQ20" s="94"/>
      <c r="RKR20" s="94"/>
      <c r="RKS20" s="94"/>
      <c r="RKT20" s="94"/>
      <c r="RKU20" s="94"/>
      <c r="RKV20" s="94"/>
      <c r="RKW20" s="94"/>
      <c r="RKX20" s="94"/>
      <c r="RKY20" s="94"/>
      <c r="RKZ20" s="94"/>
      <c r="RLA20" s="94"/>
      <c r="RLB20" s="94"/>
      <c r="RLC20" s="94"/>
      <c r="RLD20" s="94"/>
      <c r="RLE20" s="94"/>
      <c r="RLF20" s="94"/>
      <c r="RLG20" s="94"/>
      <c r="RLH20" s="94"/>
      <c r="RLI20" s="94"/>
      <c r="RLJ20" s="94"/>
      <c r="RLK20" s="94"/>
      <c r="RLL20" s="94"/>
      <c r="RLM20" s="94"/>
      <c r="RLN20" s="94"/>
      <c r="RLO20" s="94"/>
      <c r="RLP20" s="94"/>
      <c r="RLQ20" s="94"/>
      <c r="RLR20" s="94"/>
      <c r="RLS20" s="94"/>
      <c r="RLT20" s="94"/>
      <c r="RLU20" s="94"/>
      <c r="RLV20" s="94"/>
      <c r="RLW20" s="94"/>
      <c r="RLX20" s="94"/>
      <c r="RLY20" s="94"/>
      <c r="RLZ20" s="94"/>
      <c r="RMA20" s="94"/>
      <c r="RMB20" s="94"/>
      <c r="RMC20" s="94"/>
      <c r="RMD20" s="94"/>
      <c r="RME20" s="94"/>
      <c r="RMF20" s="94"/>
      <c r="RMG20" s="94"/>
      <c r="RMH20" s="94"/>
      <c r="RMI20" s="94"/>
      <c r="RMJ20" s="94"/>
      <c r="RMK20" s="94"/>
      <c r="RML20" s="94"/>
      <c r="RMM20" s="94"/>
      <c r="RMN20" s="94"/>
      <c r="RMO20" s="94"/>
      <c r="RMP20" s="94"/>
      <c r="RMQ20" s="94"/>
      <c r="RMR20" s="94"/>
      <c r="RMS20" s="94"/>
      <c r="RMT20" s="94"/>
      <c r="RMU20" s="94"/>
      <c r="RMV20" s="94"/>
      <c r="RMW20" s="94"/>
      <c r="RMX20" s="94"/>
      <c r="RMY20" s="94"/>
      <c r="RMZ20" s="94"/>
      <c r="RNA20" s="94"/>
      <c r="RNB20" s="94"/>
      <c r="RNC20" s="94"/>
      <c r="RND20" s="94"/>
      <c r="RNE20" s="94"/>
      <c r="RNF20" s="94"/>
      <c r="RNG20" s="94"/>
      <c r="RNH20" s="94"/>
      <c r="RNI20" s="94"/>
      <c r="RNJ20" s="94"/>
      <c r="RNK20" s="94"/>
      <c r="RNL20" s="94"/>
      <c r="RNM20" s="94"/>
      <c r="RNN20" s="94"/>
      <c r="RNO20" s="94"/>
      <c r="RNP20" s="94"/>
      <c r="RNQ20" s="94"/>
      <c r="RNR20" s="94"/>
      <c r="RNS20" s="94"/>
      <c r="RNT20" s="94"/>
      <c r="RNU20" s="94"/>
      <c r="RNV20" s="94"/>
      <c r="RNW20" s="94"/>
      <c r="RNX20" s="94"/>
      <c r="RNY20" s="94"/>
      <c r="RNZ20" s="94"/>
      <c r="ROA20" s="94"/>
      <c r="ROB20" s="94"/>
      <c r="ROC20" s="94"/>
      <c r="ROD20" s="94"/>
      <c r="ROE20" s="94"/>
      <c r="ROF20" s="94"/>
      <c r="ROG20" s="94"/>
      <c r="ROH20" s="94"/>
      <c r="ROI20" s="94"/>
      <c r="ROJ20" s="94"/>
      <c r="ROK20" s="94"/>
      <c r="ROL20" s="94"/>
      <c r="ROM20" s="94"/>
      <c r="RON20" s="94"/>
      <c r="ROO20" s="94"/>
      <c r="ROP20" s="94"/>
      <c r="ROQ20" s="94"/>
      <c r="ROR20" s="94"/>
      <c r="ROS20" s="94"/>
      <c r="ROT20" s="94"/>
      <c r="ROU20" s="94"/>
      <c r="ROV20" s="94"/>
      <c r="ROW20" s="94"/>
      <c r="ROX20" s="94"/>
      <c r="ROY20" s="94"/>
      <c r="ROZ20" s="94"/>
      <c r="RPA20" s="94"/>
      <c r="RPB20" s="94"/>
      <c r="RPC20" s="94"/>
      <c r="RPD20" s="94"/>
      <c r="RPE20" s="94"/>
      <c r="RPF20" s="94"/>
      <c r="RPG20" s="94"/>
      <c r="RPH20" s="94"/>
      <c r="RPI20" s="94"/>
      <c r="RPJ20" s="94"/>
      <c r="RPK20" s="94"/>
      <c r="RPL20" s="94"/>
      <c r="RPM20" s="94"/>
      <c r="RPN20" s="94"/>
      <c r="RPO20" s="94"/>
      <c r="RPP20" s="94"/>
      <c r="RPQ20" s="94"/>
      <c r="RPR20" s="94"/>
      <c r="RPS20" s="94"/>
      <c r="RPT20" s="94"/>
      <c r="RPU20" s="94"/>
      <c r="RPV20" s="94"/>
      <c r="RPW20" s="94"/>
      <c r="RPX20" s="94"/>
      <c r="RPY20" s="94"/>
      <c r="RPZ20" s="94"/>
      <c r="RQA20" s="94"/>
      <c r="RQB20" s="94"/>
      <c r="RQC20" s="94"/>
      <c r="RQD20" s="94"/>
      <c r="RQE20" s="94"/>
      <c r="RQF20" s="94"/>
      <c r="RQG20" s="94"/>
      <c r="RQH20" s="94"/>
      <c r="RQI20" s="94"/>
      <c r="RQJ20" s="94"/>
      <c r="RQK20" s="94"/>
      <c r="RQL20" s="94"/>
      <c r="RQM20" s="94"/>
      <c r="RQN20" s="94"/>
      <c r="RQO20" s="94"/>
      <c r="RQP20" s="94"/>
      <c r="RQQ20" s="94"/>
      <c r="RQR20" s="94"/>
      <c r="RQS20" s="94"/>
      <c r="RQT20" s="94"/>
      <c r="RQU20" s="94"/>
      <c r="RQV20" s="94"/>
      <c r="RQW20" s="94"/>
      <c r="RQX20" s="94"/>
      <c r="RQY20" s="94"/>
      <c r="RQZ20" s="94"/>
      <c r="RRA20" s="94"/>
      <c r="RRB20" s="94"/>
      <c r="RRC20" s="94"/>
      <c r="RRD20" s="94"/>
      <c r="RRE20" s="94"/>
      <c r="RRF20" s="94"/>
      <c r="RRG20" s="94"/>
      <c r="RRH20" s="94"/>
      <c r="RRI20" s="94"/>
      <c r="RRJ20" s="94"/>
      <c r="RRK20" s="94"/>
      <c r="RRL20" s="94"/>
      <c r="RRM20" s="94"/>
      <c r="RRN20" s="94"/>
      <c r="RRO20" s="94"/>
      <c r="RRP20" s="94"/>
      <c r="RRQ20" s="94"/>
      <c r="RRR20" s="94"/>
      <c r="RRS20" s="94"/>
      <c r="RRT20" s="94"/>
      <c r="RRU20" s="94"/>
      <c r="RRV20" s="94"/>
      <c r="RRW20" s="94"/>
      <c r="RRX20" s="94"/>
      <c r="RRY20" s="94"/>
      <c r="RRZ20" s="94"/>
      <c r="RSA20" s="94"/>
      <c r="RSB20" s="94"/>
      <c r="RSC20" s="94"/>
      <c r="RSD20" s="94"/>
      <c r="RSE20" s="94"/>
      <c r="RSF20" s="94"/>
      <c r="RSG20" s="94"/>
      <c r="RSH20" s="94"/>
      <c r="RSI20" s="94"/>
      <c r="RSJ20" s="94"/>
      <c r="RSK20" s="94"/>
      <c r="RSL20" s="94"/>
      <c r="RSM20" s="94"/>
      <c r="RSN20" s="94"/>
      <c r="RSO20" s="94"/>
      <c r="RSP20" s="94"/>
      <c r="RSQ20" s="94"/>
      <c r="RSR20" s="94"/>
      <c r="RSS20" s="94"/>
      <c r="RST20" s="94"/>
      <c r="RSU20" s="94"/>
      <c r="RSV20" s="94"/>
      <c r="RSW20" s="94"/>
      <c r="RSX20" s="94"/>
      <c r="RSY20" s="94"/>
      <c r="RSZ20" s="94"/>
      <c r="RTA20" s="94"/>
      <c r="RTB20" s="94"/>
      <c r="RTC20" s="94"/>
      <c r="RTD20" s="94"/>
      <c r="RTE20" s="94"/>
      <c r="RTF20" s="94"/>
      <c r="RTG20" s="94"/>
      <c r="RTH20" s="94"/>
      <c r="RTI20" s="94"/>
      <c r="RTJ20" s="94"/>
      <c r="RTK20" s="94"/>
      <c r="RTL20" s="94"/>
      <c r="RTM20" s="94"/>
      <c r="RTN20" s="94"/>
      <c r="RTO20" s="94"/>
      <c r="RTP20" s="94"/>
      <c r="RTQ20" s="94"/>
      <c r="RTR20" s="94"/>
      <c r="RTS20" s="94"/>
      <c r="RTT20" s="94"/>
      <c r="RTU20" s="94"/>
      <c r="RTV20" s="94"/>
      <c r="RTW20" s="94"/>
      <c r="RTX20" s="94"/>
      <c r="RTY20" s="94"/>
      <c r="RTZ20" s="94"/>
      <c r="RUA20" s="94"/>
      <c r="RUB20" s="94"/>
      <c r="RUC20" s="94"/>
      <c r="RUD20" s="94"/>
      <c r="RUE20" s="94"/>
      <c r="RUF20" s="94"/>
      <c r="RUG20" s="94"/>
      <c r="RUH20" s="94"/>
      <c r="RUI20" s="94"/>
      <c r="RUJ20" s="94"/>
      <c r="RUK20" s="94"/>
      <c r="RUL20" s="94"/>
      <c r="RUM20" s="94"/>
      <c r="RUN20" s="94"/>
      <c r="RUO20" s="94"/>
      <c r="RUP20" s="94"/>
      <c r="RUQ20" s="94"/>
      <c r="RUR20" s="94"/>
      <c r="RUS20" s="94"/>
      <c r="RUT20" s="94"/>
      <c r="RUU20" s="94"/>
      <c r="RUV20" s="94"/>
      <c r="RUW20" s="94"/>
      <c r="RUX20" s="94"/>
      <c r="RUY20" s="94"/>
      <c r="RUZ20" s="94"/>
      <c r="RVA20" s="94"/>
      <c r="RVB20" s="94"/>
      <c r="RVC20" s="94"/>
      <c r="RVD20" s="94"/>
      <c r="RVE20" s="94"/>
      <c r="RVF20" s="94"/>
      <c r="RVG20" s="94"/>
      <c r="RVH20" s="94"/>
      <c r="RVI20" s="94"/>
      <c r="RVJ20" s="94"/>
      <c r="RVK20" s="94"/>
      <c r="RVL20" s="94"/>
      <c r="RVM20" s="94"/>
      <c r="RVN20" s="94"/>
      <c r="RVO20" s="94"/>
      <c r="RVP20" s="94"/>
      <c r="RVQ20" s="94"/>
      <c r="RVR20" s="94"/>
      <c r="RVS20" s="94"/>
      <c r="RVT20" s="94"/>
      <c r="RVU20" s="94"/>
      <c r="RVV20" s="94"/>
      <c r="RVW20" s="94"/>
      <c r="RVX20" s="94"/>
      <c r="RVY20" s="94"/>
      <c r="RVZ20" s="94"/>
      <c r="RWA20" s="94"/>
      <c r="RWB20" s="94"/>
      <c r="RWC20" s="94"/>
      <c r="RWD20" s="94"/>
      <c r="RWE20" s="94"/>
      <c r="RWF20" s="94"/>
      <c r="RWG20" s="94"/>
      <c r="RWH20" s="94"/>
      <c r="RWI20" s="94"/>
      <c r="RWJ20" s="94"/>
      <c r="RWK20" s="94"/>
      <c r="RWL20" s="94"/>
      <c r="RWM20" s="94"/>
      <c r="RWN20" s="94"/>
      <c r="RWO20" s="94"/>
      <c r="RWP20" s="94"/>
      <c r="RWQ20" s="94"/>
      <c r="RWR20" s="94"/>
      <c r="RWS20" s="94"/>
      <c r="RWT20" s="94"/>
      <c r="RWU20" s="94"/>
      <c r="RWV20" s="94"/>
      <c r="RWW20" s="94"/>
      <c r="RWX20" s="94"/>
      <c r="RWY20" s="94"/>
      <c r="RWZ20" s="94"/>
      <c r="RXA20" s="94"/>
      <c r="RXB20" s="94"/>
      <c r="RXC20" s="94"/>
      <c r="RXD20" s="94"/>
      <c r="RXE20" s="94"/>
      <c r="RXF20" s="94"/>
      <c r="RXG20" s="94"/>
      <c r="RXH20" s="94"/>
      <c r="RXI20" s="94"/>
      <c r="RXJ20" s="94"/>
      <c r="RXK20" s="94"/>
      <c r="RXL20" s="94"/>
      <c r="RXM20" s="94"/>
      <c r="RXN20" s="94"/>
      <c r="RXO20" s="94"/>
      <c r="RXP20" s="94"/>
      <c r="RXQ20" s="94"/>
      <c r="RXR20" s="94"/>
      <c r="RXS20" s="94"/>
      <c r="RXT20" s="94"/>
      <c r="RXU20" s="94"/>
      <c r="RXV20" s="94"/>
      <c r="RXW20" s="94"/>
      <c r="RXX20" s="94"/>
      <c r="RXY20" s="94"/>
      <c r="RXZ20" s="94"/>
      <c r="RYA20" s="94"/>
      <c r="RYB20" s="94"/>
      <c r="RYC20" s="94"/>
      <c r="RYD20" s="94"/>
      <c r="RYE20" s="94"/>
      <c r="RYF20" s="94"/>
      <c r="RYG20" s="94"/>
      <c r="RYH20" s="94"/>
      <c r="RYI20" s="94"/>
      <c r="RYJ20" s="94"/>
      <c r="RYK20" s="94"/>
      <c r="RYL20" s="94"/>
      <c r="RYM20" s="94"/>
      <c r="RYN20" s="94"/>
      <c r="RYO20" s="94"/>
      <c r="RYP20" s="94"/>
      <c r="RYQ20" s="94"/>
      <c r="RYR20" s="94"/>
      <c r="RYS20" s="94"/>
      <c r="RYT20" s="94"/>
      <c r="RYU20" s="94"/>
      <c r="RYV20" s="94"/>
      <c r="RYW20" s="94"/>
      <c r="RYX20" s="94"/>
      <c r="RYY20" s="94"/>
      <c r="RYZ20" s="94"/>
      <c r="RZA20" s="94"/>
      <c r="RZB20" s="94"/>
      <c r="RZC20" s="94"/>
      <c r="RZD20" s="94"/>
      <c r="RZE20" s="94"/>
      <c r="RZF20" s="94"/>
      <c r="RZG20" s="94"/>
      <c r="RZH20" s="94"/>
      <c r="RZI20" s="94"/>
      <c r="RZJ20" s="94"/>
      <c r="RZK20" s="94"/>
      <c r="RZL20" s="94"/>
      <c r="RZM20" s="94"/>
      <c r="RZN20" s="94"/>
      <c r="RZO20" s="94"/>
      <c r="RZP20" s="94"/>
      <c r="RZQ20" s="94"/>
      <c r="RZR20" s="94"/>
      <c r="RZS20" s="94"/>
      <c r="RZT20" s="94"/>
      <c r="RZU20" s="94"/>
      <c r="RZV20" s="94"/>
      <c r="RZW20" s="94"/>
      <c r="RZX20" s="94"/>
      <c r="RZY20" s="94"/>
      <c r="RZZ20" s="94"/>
      <c r="SAA20" s="94"/>
      <c r="SAB20" s="94"/>
      <c r="SAC20" s="94"/>
      <c r="SAD20" s="94"/>
      <c r="SAE20" s="94"/>
      <c r="SAF20" s="94"/>
      <c r="SAG20" s="94"/>
      <c r="SAH20" s="94"/>
      <c r="SAI20" s="94"/>
      <c r="SAJ20" s="94"/>
      <c r="SAK20" s="94"/>
      <c r="SAL20" s="94"/>
      <c r="SAM20" s="94"/>
      <c r="SAN20" s="94"/>
      <c r="SAO20" s="94"/>
      <c r="SAP20" s="94"/>
      <c r="SAQ20" s="94"/>
      <c r="SAR20" s="94"/>
      <c r="SAS20" s="94"/>
      <c r="SAT20" s="94"/>
      <c r="SAU20" s="94"/>
      <c r="SAV20" s="94"/>
      <c r="SAW20" s="94"/>
      <c r="SAX20" s="94"/>
      <c r="SAY20" s="94"/>
      <c r="SAZ20" s="94"/>
      <c r="SBA20" s="94"/>
      <c r="SBB20" s="94"/>
      <c r="SBC20" s="94"/>
      <c r="SBD20" s="94"/>
      <c r="SBE20" s="94"/>
      <c r="SBF20" s="94"/>
      <c r="SBG20" s="94"/>
      <c r="SBH20" s="94"/>
      <c r="SBI20" s="94"/>
      <c r="SBJ20" s="94"/>
      <c r="SBK20" s="94"/>
      <c r="SBL20" s="94"/>
      <c r="SBM20" s="94"/>
      <c r="SBN20" s="94"/>
      <c r="SBO20" s="94"/>
      <c r="SBP20" s="94"/>
      <c r="SBQ20" s="94"/>
      <c r="SBR20" s="94"/>
      <c r="SBS20" s="94"/>
      <c r="SBT20" s="94"/>
      <c r="SBU20" s="94"/>
      <c r="SBV20" s="94"/>
      <c r="SBW20" s="94"/>
      <c r="SBX20" s="94"/>
      <c r="SBY20" s="94"/>
      <c r="SBZ20" s="94"/>
      <c r="SCA20" s="94"/>
      <c r="SCB20" s="94"/>
      <c r="SCC20" s="94"/>
      <c r="SCD20" s="94"/>
      <c r="SCE20" s="94"/>
      <c r="SCF20" s="94"/>
      <c r="SCG20" s="94"/>
      <c r="SCH20" s="94"/>
      <c r="SCI20" s="94"/>
      <c r="SCJ20" s="94"/>
      <c r="SCK20" s="94"/>
      <c r="SCL20" s="94"/>
      <c r="SCM20" s="94"/>
      <c r="SCN20" s="94"/>
      <c r="SCO20" s="94"/>
      <c r="SCP20" s="94"/>
      <c r="SCQ20" s="94"/>
      <c r="SCR20" s="94"/>
      <c r="SCS20" s="94"/>
      <c r="SCT20" s="94"/>
      <c r="SCU20" s="94"/>
      <c r="SCV20" s="94"/>
      <c r="SCW20" s="94"/>
      <c r="SCX20" s="94"/>
      <c r="SCY20" s="94"/>
      <c r="SCZ20" s="94"/>
      <c r="SDA20" s="94"/>
      <c r="SDB20" s="94"/>
      <c r="SDC20" s="94"/>
      <c r="SDD20" s="94"/>
      <c r="SDE20" s="94"/>
      <c r="SDF20" s="94"/>
      <c r="SDG20" s="94"/>
      <c r="SDH20" s="94"/>
      <c r="SDI20" s="94"/>
      <c r="SDJ20" s="94"/>
      <c r="SDK20" s="94"/>
      <c r="SDL20" s="94"/>
      <c r="SDM20" s="94"/>
      <c r="SDN20" s="94"/>
      <c r="SDO20" s="94"/>
      <c r="SDP20" s="94"/>
      <c r="SDQ20" s="94"/>
      <c r="SDR20" s="94"/>
      <c r="SDS20" s="94"/>
      <c r="SDT20" s="94"/>
      <c r="SDU20" s="94"/>
      <c r="SDV20" s="94"/>
      <c r="SDW20" s="94"/>
      <c r="SDX20" s="94"/>
      <c r="SDY20" s="94"/>
      <c r="SDZ20" s="94"/>
      <c r="SEA20" s="94"/>
      <c r="SEB20" s="94"/>
      <c r="SEC20" s="94"/>
      <c r="SED20" s="94"/>
      <c r="SEE20" s="94"/>
      <c r="SEF20" s="94"/>
      <c r="SEG20" s="94"/>
      <c r="SEH20" s="94"/>
      <c r="SEI20" s="94"/>
      <c r="SEJ20" s="94"/>
      <c r="SEK20" s="94"/>
      <c r="SEL20" s="94"/>
      <c r="SEM20" s="94"/>
      <c r="SEN20" s="94"/>
      <c r="SEO20" s="94"/>
      <c r="SEP20" s="94"/>
      <c r="SEQ20" s="94"/>
      <c r="SER20" s="94"/>
      <c r="SES20" s="94"/>
      <c r="SET20" s="94"/>
      <c r="SEU20" s="94"/>
      <c r="SEV20" s="94"/>
      <c r="SEW20" s="94"/>
      <c r="SEX20" s="94"/>
      <c r="SEY20" s="94"/>
      <c r="SEZ20" s="94"/>
      <c r="SFA20" s="94"/>
      <c r="SFB20" s="94"/>
      <c r="SFC20" s="94"/>
      <c r="SFD20" s="94"/>
      <c r="SFE20" s="94"/>
      <c r="SFF20" s="94"/>
      <c r="SFG20" s="94"/>
      <c r="SFH20" s="94"/>
      <c r="SFI20" s="94"/>
      <c r="SFJ20" s="94"/>
      <c r="SFK20" s="94"/>
      <c r="SFL20" s="94"/>
      <c r="SFM20" s="94"/>
      <c r="SFN20" s="94"/>
      <c r="SFO20" s="94"/>
      <c r="SFP20" s="94"/>
      <c r="SFQ20" s="94"/>
      <c r="SFR20" s="94"/>
      <c r="SFS20" s="94"/>
      <c r="SFT20" s="94"/>
      <c r="SFU20" s="94"/>
      <c r="SFV20" s="94"/>
      <c r="SFW20" s="94"/>
      <c r="SFX20" s="94"/>
      <c r="SFY20" s="94"/>
      <c r="SFZ20" s="94"/>
      <c r="SGA20" s="94"/>
      <c r="SGB20" s="94"/>
      <c r="SGC20" s="94"/>
      <c r="SGD20" s="94"/>
      <c r="SGE20" s="94"/>
      <c r="SGF20" s="94"/>
      <c r="SGG20" s="94"/>
      <c r="SGH20" s="94"/>
      <c r="SGI20" s="94"/>
      <c r="SGJ20" s="94"/>
      <c r="SGK20" s="94"/>
      <c r="SGL20" s="94"/>
      <c r="SGM20" s="94"/>
      <c r="SGN20" s="94"/>
      <c r="SGO20" s="94"/>
      <c r="SGP20" s="94"/>
      <c r="SGQ20" s="94"/>
      <c r="SGR20" s="94"/>
      <c r="SGS20" s="94"/>
      <c r="SGT20" s="94"/>
      <c r="SGU20" s="94"/>
      <c r="SGV20" s="94"/>
      <c r="SGW20" s="94"/>
      <c r="SGX20" s="94"/>
      <c r="SGY20" s="94"/>
      <c r="SGZ20" s="94"/>
      <c r="SHA20" s="94"/>
      <c r="SHB20" s="94"/>
      <c r="SHC20" s="94"/>
      <c r="SHD20" s="94"/>
      <c r="SHE20" s="94"/>
      <c r="SHF20" s="94"/>
      <c r="SHG20" s="94"/>
      <c r="SHH20" s="94"/>
      <c r="SHI20" s="94"/>
      <c r="SHJ20" s="94"/>
      <c r="SHK20" s="94"/>
      <c r="SHL20" s="94"/>
      <c r="SHM20" s="94"/>
      <c r="SHN20" s="94"/>
      <c r="SHO20" s="94"/>
      <c r="SHP20" s="94"/>
      <c r="SHQ20" s="94"/>
      <c r="SHR20" s="94"/>
      <c r="SHS20" s="94"/>
      <c r="SHT20" s="94"/>
      <c r="SHU20" s="94"/>
      <c r="SHV20" s="94"/>
      <c r="SHW20" s="94"/>
      <c r="SHX20" s="94"/>
      <c r="SHY20" s="94"/>
      <c r="SHZ20" s="94"/>
      <c r="SIA20" s="94"/>
      <c r="SIB20" s="94"/>
      <c r="SIC20" s="94"/>
      <c r="SID20" s="94"/>
      <c r="SIE20" s="94"/>
      <c r="SIF20" s="94"/>
      <c r="SIG20" s="94"/>
      <c r="SIH20" s="94"/>
      <c r="SII20" s="94"/>
      <c r="SIJ20" s="94"/>
      <c r="SIK20" s="94"/>
      <c r="SIL20" s="94"/>
      <c r="SIM20" s="94"/>
      <c r="SIN20" s="94"/>
      <c r="SIO20" s="94"/>
      <c r="SIP20" s="94"/>
      <c r="SIQ20" s="94"/>
      <c r="SIR20" s="94"/>
      <c r="SIS20" s="94"/>
      <c r="SIT20" s="94"/>
      <c r="SIU20" s="94"/>
      <c r="SIV20" s="94"/>
      <c r="SIW20" s="94"/>
      <c r="SIX20" s="94"/>
      <c r="SIY20" s="94"/>
      <c r="SIZ20" s="94"/>
      <c r="SJA20" s="94"/>
      <c r="SJB20" s="94"/>
      <c r="SJC20" s="94"/>
      <c r="SJD20" s="94"/>
      <c r="SJE20" s="94"/>
      <c r="SJF20" s="94"/>
      <c r="SJG20" s="94"/>
      <c r="SJH20" s="94"/>
      <c r="SJI20" s="94"/>
      <c r="SJJ20" s="94"/>
      <c r="SJK20" s="94"/>
      <c r="SJL20" s="94"/>
      <c r="SJM20" s="94"/>
      <c r="SJN20" s="94"/>
      <c r="SJO20" s="94"/>
      <c r="SJP20" s="94"/>
      <c r="SJQ20" s="94"/>
      <c r="SJR20" s="94"/>
      <c r="SJS20" s="94"/>
      <c r="SJT20" s="94"/>
      <c r="SJU20" s="94"/>
      <c r="SJV20" s="94"/>
      <c r="SJW20" s="94"/>
      <c r="SJX20" s="94"/>
      <c r="SJY20" s="94"/>
      <c r="SJZ20" s="94"/>
      <c r="SKA20" s="94"/>
      <c r="SKB20" s="94"/>
      <c r="SKC20" s="94"/>
      <c r="SKD20" s="94"/>
      <c r="SKE20" s="94"/>
      <c r="SKF20" s="94"/>
      <c r="SKG20" s="94"/>
      <c r="SKH20" s="94"/>
      <c r="SKI20" s="94"/>
      <c r="SKJ20" s="94"/>
      <c r="SKK20" s="94"/>
      <c r="SKL20" s="94"/>
      <c r="SKM20" s="94"/>
      <c r="SKN20" s="94"/>
      <c r="SKO20" s="94"/>
      <c r="SKP20" s="94"/>
      <c r="SKQ20" s="94"/>
      <c r="SKR20" s="94"/>
      <c r="SKS20" s="94"/>
      <c r="SKT20" s="94"/>
      <c r="SKU20" s="94"/>
      <c r="SKV20" s="94"/>
      <c r="SKW20" s="94"/>
      <c r="SKX20" s="94"/>
      <c r="SKY20" s="94"/>
      <c r="SKZ20" s="94"/>
      <c r="SLA20" s="94"/>
      <c r="SLB20" s="94"/>
      <c r="SLC20" s="94"/>
      <c r="SLD20" s="94"/>
      <c r="SLE20" s="94"/>
      <c r="SLF20" s="94"/>
      <c r="SLG20" s="94"/>
      <c r="SLH20" s="94"/>
      <c r="SLI20" s="94"/>
      <c r="SLJ20" s="94"/>
      <c r="SLK20" s="94"/>
      <c r="SLL20" s="94"/>
      <c r="SLM20" s="94"/>
      <c r="SLN20" s="94"/>
      <c r="SLO20" s="94"/>
      <c r="SLP20" s="94"/>
      <c r="SLQ20" s="94"/>
      <c r="SLR20" s="94"/>
      <c r="SLS20" s="94"/>
      <c r="SLT20" s="94"/>
      <c r="SLU20" s="94"/>
      <c r="SLV20" s="94"/>
      <c r="SLW20" s="94"/>
      <c r="SLX20" s="94"/>
      <c r="SLY20" s="94"/>
      <c r="SLZ20" s="94"/>
      <c r="SMA20" s="94"/>
      <c r="SMB20" s="94"/>
      <c r="SMC20" s="94"/>
      <c r="SMD20" s="94"/>
      <c r="SME20" s="94"/>
      <c r="SMF20" s="94"/>
      <c r="SMG20" s="94"/>
      <c r="SMH20" s="94"/>
      <c r="SMI20" s="94"/>
      <c r="SMJ20" s="94"/>
      <c r="SMK20" s="94"/>
      <c r="SML20" s="94"/>
      <c r="SMM20" s="94"/>
      <c r="SMN20" s="94"/>
      <c r="SMO20" s="94"/>
      <c r="SMP20" s="94"/>
      <c r="SMQ20" s="94"/>
      <c r="SMR20" s="94"/>
      <c r="SMS20" s="94"/>
      <c r="SMT20" s="94"/>
      <c r="SMU20" s="94"/>
      <c r="SMV20" s="94"/>
      <c r="SMW20" s="94"/>
      <c r="SMX20" s="94"/>
      <c r="SMY20" s="94"/>
      <c r="SMZ20" s="94"/>
      <c r="SNA20" s="94"/>
      <c r="SNB20" s="94"/>
      <c r="SNC20" s="94"/>
      <c r="SND20" s="94"/>
      <c r="SNE20" s="94"/>
      <c r="SNF20" s="94"/>
      <c r="SNG20" s="94"/>
      <c r="SNH20" s="94"/>
      <c r="SNI20" s="94"/>
      <c r="SNJ20" s="94"/>
      <c r="SNK20" s="94"/>
      <c r="SNL20" s="94"/>
      <c r="SNM20" s="94"/>
      <c r="SNN20" s="94"/>
      <c r="SNO20" s="94"/>
      <c r="SNP20" s="94"/>
      <c r="SNQ20" s="94"/>
      <c r="SNR20" s="94"/>
      <c r="SNS20" s="94"/>
      <c r="SNT20" s="94"/>
      <c r="SNU20" s="94"/>
      <c r="SNV20" s="94"/>
      <c r="SNW20" s="94"/>
      <c r="SNX20" s="94"/>
      <c r="SNY20" s="94"/>
      <c r="SNZ20" s="94"/>
      <c r="SOA20" s="94"/>
      <c r="SOB20" s="94"/>
      <c r="SOC20" s="94"/>
      <c r="SOD20" s="94"/>
      <c r="SOE20" s="94"/>
      <c r="SOF20" s="94"/>
      <c r="SOG20" s="94"/>
      <c r="SOH20" s="94"/>
      <c r="SOI20" s="94"/>
      <c r="SOJ20" s="94"/>
      <c r="SOK20" s="94"/>
      <c r="SOL20" s="94"/>
      <c r="SOM20" s="94"/>
      <c r="SON20" s="94"/>
      <c r="SOO20" s="94"/>
      <c r="SOP20" s="94"/>
      <c r="SOQ20" s="94"/>
      <c r="SOR20" s="94"/>
      <c r="SOS20" s="94"/>
      <c r="SOT20" s="94"/>
      <c r="SOU20" s="94"/>
      <c r="SOV20" s="94"/>
      <c r="SOW20" s="94"/>
      <c r="SOX20" s="94"/>
      <c r="SOY20" s="94"/>
      <c r="SOZ20" s="94"/>
      <c r="SPA20" s="94"/>
      <c r="SPB20" s="94"/>
      <c r="SPC20" s="94"/>
      <c r="SPD20" s="94"/>
      <c r="SPE20" s="94"/>
      <c r="SPF20" s="94"/>
      <c r="SPG20" s="94"/>
      <c r="SPH20" s="94"/>
      <c r="SPI20" s="94"/>
      <c r="SPJ20" s="94"/>
      <c r="SPK20" s="94"/>
      <c r="SPL20" s="94"/>
      <c r="SPM20" s="94"/>
      <c r="SPN20" s="94"/>
      <c r="SPO20" s="94"/>
      <c r="SPP20" s="94"/>
      <c r="SPQ20" s="94"/>
      <c r="SPR20" s="94"/>
      <c r="SPS20" s="94"/>
      <c r="SPT20" s="94"/>
      <c r="SPU20" s="94"/>
      <c r="SPV20" s="94"/>
      <c r="SPW20" s="94"/>
      <c r="SPX20" s="94"/>
      <c r="SPY20" s="94"/>
      <c r="SPZ20" s="94"/>
      <c r="SQA20" s="94"/>
      <c r="SQB20" s="94"/>
      <c r="SQC20" s="94"/>
      <c r="SQD20" s="94"/>
      <c r="SQE20" s="94"/>
      <c r="SQF20" s="94"/>
      <c r="SQG20" s="94"/>
      <c r="SQH20" s="94"/>
      <c r="SQI20" s="94"/>
      <c r="SQJ20" s="94"/>
      <c r="SQK20" s="94"/>
      <c r="SQL20" s="94"/>
      <c r="SQM20" s="94"/>
      <c r="SQN20" s="94"/>
      <c r="SQO20" s="94"/>
      <c r="SQP20" s="94"/>
      <c r="SQQ20" s="94"/>
      <c r="SQR20" s="94"/>
      <c r="SQS20" s="94"/>
      <c r="SQT20" s="94"/>
      <c r="SQU20" s="94"/>
      <c r="SQV20" s="94"/>
      <c r="SQW20" s="94"/>
      <c r="SQX20" s="94"/>
      <c r="SQY20" s="94"/>
      <c r="SQZ20" s="94"/>
      <c r="SRA20" s="94"/>
      <c r="SRB20" s="94"/>
      <c r="SRC20" s="94"/>
      <c r="SRD20" s="94"/>
      <c r="SRE20" s="94"/>
      <c r="SRF20" s="94"/>
      <c r="SRG20" s="94"/>
      <c r="SRH20" s="94"/>
      <c r="SRI20" s="94"/>
      <c r="SRJ20" s="94"/>
      <c r="SRK20" s="94"/>
      <c r="SRL20" s="94"/>
      <c r="SRM20" s="94"/>
      <c r="SRN20" s="94"/>
      <c r="SRO20" s="94"/>
      <c r="SRP20" s="94"/>
      <c r="SRQ20" s="94"/>
      <c r="SRR20" s="94"/>
      <c r="SRS20" s="94"/>
      <c r="SRT20" s="94"/>
      <c r="SRU20" s="94"/>
      <c r="SRV20" s="94"/>
      <c r="SRW20" s="94"/>
      <c r="SRX20" s="94"/>
      <c r="SRY20" s="94"/>
      <c r="SRZ20" s="94"/>
      <c r="SSA20" s="94"/>
      <c r="SSB20" s="94"/>
      <c r="SSC20" s="94"/>
      <c r="SSD20" s="94"/>
      <c r="SSE20" s="94"/>
      <c r="SSF20" s="94"/>
      <c r="SSG20" s="94"/>
      <c r="SSH20" s="94"/>
      <c r="SSI20" s="94"/>
      <c r="SSJ20" s="94"/>
      <c r="SSK20" s="94"/>
      <c r="SSL20" s="94"/>
      <c r="SSM20" s="94"/>
      <c r="SSN20" s="94"/>
      <c r="SSO20" s="94"/>
      <c r="SSP20" s="94"/>
      <c r="SSQ20" s="94"/>
      <c r="SSR20" s="94"/>
      <c r="SSS20" s="94"/>
      <c r="SST20" s="94"/>
      <c r="SSU20" s="94"/>
      <c r="SSV20" s="94"/>
      <c r="SSW20" s="94"/>
      <c r="SSX20" s="94"/>
      <c r="SSY20" s="94"/>
      <c r="SSZ20" s="94"/>
      <c r="STA20" s="94"/>
      <c r="STB20" s="94"/>
      <c r="STC20" s="94"/>
      <c r="STD20" s="94"/>
      <c r="STE20" s="94"/>
      <c r="STF20" s="94"/>
      <c r="STG20" s="94"/>
      <c r="STH20" s="94"/>
      <c r="STI20" s="94"/>
      <c r="STJ20" s="94"/>
      <c r="STK20" s="94"/>
      <c r="STL20" s="94"/>
      <c r="STM20" s="94"/>
      <c r="STN20" s="94"/>
      <c r="STO20" s="94"/>
      <c r="STP20" s="94"/>
      <c r="STQ20" s="94"/>
      <c r="STR20" s="94"/>
      <c r="STS20" s="94"/>
      <c r="STT20" s="94"/>
      <c r="STU20" s="94"/>
      <c r="STV20" s="94"/>
      <c r="STW20" s="94"/>
      <c r="STX20" s="94"/>
      <c r="STY20" s="94"/>
      <c r="STZ20" s="94"/>
      <c r="SUA20" s="94"/>
      <c r="SUB20" s="94"/>
      <c r="SUC20" s="94"/>
      <c r="SUD20" s="94"/>
      <c r="SUE20" s="94"/>
      <c r="SUF20" s="94"/>
      <c r="SUG20" s="94"/>
      <c r="SUH20" s="94"/>
      <c r="SUI20" s="94"/>
      <c r="SUJ20" s="94"/>
      <c r="SUK20" s="94"/>
      <c r="SUL20" s="94"/>
      <c r="SUM20" s="94"/>
      <c r="SUN20" s="94"/>
      <c r="SUO20" s="94"/>
      <c r="SUP20" s="94"/>
      <c r="SUQ20" s="94"/>
      <c r="SUR20" s="94"/>
      <c r="SUS20" s="94"/>
      <c r="SUT20" s="94"/>
      <c r="SUU20" s="94"/>
      <c r="SUV20" s="94"/>
      <c r="SUW20" s="94"/>
      <c r="SUX20" s="94"/>
      <c r="SUY20" s="94"/>
      <c r="SUZ20" s="94"/>
      <c r="SVA20" s="94"/>
      <c r="SVB20" s="94"/>
      <c r="SVC20" s="94"/>
      <c r="SVD20" s="94"/>
      <c r="SVE20" s="94"/>
      <c r="SVF20" s="94"/>
      <c r="SVG20" s="94"/>
      <c r="SVH20" s="94"/>
      <c r="SVI20" s="94"/>
      <c r="SVJ20" s="94"/>
      <c r="SVK20" s="94"/>
      <c r="SVL20" s="94"/>
      <c r="SVM20" s="94"/>
      <c r="SVN20" s="94"/>
      <c r="SVO20" s="94"/>
      <c r="SVP20" s="94"/>
      <c r="SVQ20" s="94"/>
      <c r="SVR20" s="94"/>
      <c r="SVS20" s="94"/>
      <c r="SVT20" s="94"/>
      <c r="SVU20" s="94"/>
      <c r="SVV20" s="94"/>
      <c r="SVW20" s="94"/>
      <c r="SVX20" s="94"/>
      <c r="SVY20" s="94"/>
      <c r="SVZ20" s="94"/>
      <c r="SWA20" s="94"/>
      <c r="SWB20" s="94"/>
      <c r="SWC20" s="94"/>
      <c r="SWD20" s="94"/>
      <c r="SWE20" s="94"/>
      <c r="SWF20" s="94"/>
      <c r="SWG20" s="94"/>
      <c r="SWH20" s="94"/>
      <c r="SWI20" s="94"/>
      <c r="SWJ20" s="94"/>
      <c r="SWK20" s="94"/>
      <c r="SWL20" s="94"/>
      <c r="SWM20" s="94"/>
      <c r="SWN20" s="94"/>
      <c r="SWO20" s="94"/>
      <c r="SWP20" s="94"/>
      <c r="SWQ20" s="94"/>
      <c r="SWR20" s="94"/>
      <c r="SWS20" s="94"/>
      <c r="SWT20" s="94"/>
      <c r="SWU20" s="94"/>
      <c r="SWV20" s="94"/>
      <c r="SWW20" s="94"/>
      <c r="SWX20" s="94"/>
      <c r="SWY20" s="94"/>
      <c r="SWZ20" s="94"/>
      <c r="SXA20" s="94"/>
      <c r="SXB20" s="94"/>
      <c r="SXC20" s="94"/>
      <c r="SXD20" s="94"/>
      <c r="SXE20" s="94"/>
      <c r="SXF20" s="94"/>
      <c r="SXG20" s="94"/>
      <c r="SXH20" s="94"/>
      <c r="SXI20" s="94"/>
      <c r="SXJ20" s="94"/>
      <c r="SXK20" s="94"/>
      <c r="SXL20" s="94"/>
      <c r="SXM20" s="94"/>
      <c r="SXN20" s="94"/>
      <c r="SXO20" s="94"/>
      <c r="SXP20" s="94"/>
      <c r="SXQ20" s="94"/>
      <c r="SXR20" s="94"/>
      <c r="SXS20" s="94"/>
      <c r="SXT20" s="94"/>
      <c r="SXU20" s="94"/>
      <c r="SXV20" s="94"/>
      <c r="SXW20" s="94"/>
      <c r="SXX20" s="94"/>
      <c r="SXY20" s="94"/>
      <c r="SXZ20" s="94"/>
      <c r="SYA20" s="94"/>
      <c r="SYB20" s="94"/>
      <c r="SYC20" s="94"/>
      <c r="SYD20" s="94"/>
      <c r="SYE20" s="94"/>
      <c r="SYF20" s="94"/>
      <c r="SYG20" s="94"/>
      <c r="SYH20" s="94"/>
      <c r="SYI20" s="94"/>
      <c r="SYJ20" s="94"/>
      <c r="SYK20" s="94"/>
      <c r="SYL20" s="94"/>
      <c r="SYM20" s="94"/>
      <c r="SYN20" s="94"/>
      <c r="SYO20" s="94"/>
      <c r="SYP20" s="94"/>
      <c r="SYQ20" s="94"/>
      <c r="SYR20" s="94"/>
      <c r="SYS20" s="94"/>
      <c r="SYT20" s="94"/>
      <c r="SYU20" s="94"/>
      <c r="SYV20" s="94"/>
      <c r="SYW20" s="94"/>
      <c r="SYX20" s="94"/>
      <c r="SYY20" s="94"/>
      <c r="SYZ20" s="94"/>
      <c r="SZA20" s="94"/>
      <c r="SZB20" s="94"/>
      <c r="SZC20" s="94"/>
      <c r="SZD20" s="94"/>
      <c r="SZE20" s="94"/>
      <c r="SZF20" s="94"/>
      <c r="SZG20" s="94"/>
      <c r="SZH20" s="94"/>
      <c r="SZI20" s="94"/>
      <c r="SZJ20" s="94"/>
      <c r="SZK20" s="94"/>
      <c r="SZL20" s="94"/>
      <c r="SZM20" s="94"/>
      <c r="SZN20" s="94"/>
      <c r="SZO20" s="94"/>
      <c r="SZP20" s="94"/>
      <c r="SZQ20" s="94"/>
      <c r="SZR20" s="94"/>
      <c r="SZS20" s="94"/>
      <c r="SZT20" s="94"/>
      <c r="SZU20" s="94"/>
      <c r="SZV20" s="94"/>
      <c r="SZW20" s="94"/>
      <c r="SZX20" s="94"/>
      <c r="SZY20" s="94"/>
      <c r="SZZ20" s="94"/>
      <c r="TAA20" s="94"/>
      <c r="TAB20" s="94"/>
      <c r="TAC20" s="94"/>
      <c r="TAD20" s="94"/>
      <c r="TAE20" s="94"/>
      <c r="TAF20" s="94"/>
      <c r="TAG20" s="94"/>
      <c r="TAH20" s="94"/>
      <c r="TAI20" s="94"/>
      <c r="TAJ20" s="94"/>
      <c r="TAK20" s="94"/>
      <c r="TAL20" s="94"/>
      <c r="TAM20" s="94"/>
      <c r="TAN20" s="94"/>
      <c r="TAO20" s="94"/>
      <c r="TAP20" s="94"/>
      <c r="TAQ20" s="94"/>
      <c r="TAR20" s="94"/>
      <c r="TAS20" s="94"/>
      <c r="TAT20" s="94"/>
      <c r="TAU20" s="94"/>
      <c r="TAV20" s="94"/>
      <c r="TAW20" s="94"/>
      <c r="TAX20" s="94"/>
      <c r="TAY20" s="94"/>
      <c r="TAZ20" s="94"/>
      <c r="TBA20" s="94"/>
      <c r="TBB20" s="94"/>
      <c r="TBC20" s="94"/>
      <c r="TBD20" s="94"/>
      <c r="TBE20" s="94"/>
      <c r="TBF20" s="94"/>
      <c r="TBG20" s="94"/>
      <c r="TBH20" s="94"/>
      <c r="TBI20" s="94"/>
      <c r="TBJ20" s="94"/>
      <c r="TBK20" s="94"/>
      <c r="TBL20" s="94"/>
      <c r="TBM20" s="94"/>
      <c r="TBN20" s="94"/>
      <c r="TBO20" s="94"/>
      <c r="TBP20" s="94"/>
      <c r="TBQ20" s="94"/>
      <c r="TBR20" s="94"/>
      <c r="TBS20" s="94"/>
      <c r="TBT20" s="94"/>
      <c r="TBU20" s="94"/>
      <c r="TBV20" s="94"/>
      <c r="TBW20" s="94"/>
      <c r="TBX20" s="94"/>
      <c r="TBY20" s="94"/>
      <c r="TBZ20" s="94"/>
      <c r="TCA20" s="94"/>
      <c r="TCB20" s="94"/>
      <c r="TCC20" s="94"/>
      <c r="TCD20" s="94"/>
      <c r="TCE20" s="94"/>
      <c r="TCF20" s="94"/>
      <c r="TCG20" s="94"/>
      <c r="TCH20" s="94"/>
      <c r="TCI20" s="94"/>
      <c r="TCJ20" s="94"/>
      <c r="TCK20" s="94"/>
      <c r="TCL20" s="94"/>
      <c r="TCM20" s="94"/>
      <c r="TCN20" s="94"/>
      <c r="TCO20" s="94"/>
      <c r="TCP20" s="94"/>
      <c r="TCQ20" s="94"/>
      <c r="TCR20" s="94"/>
      <c r="TCS20" s="94"/>
      <c r="TCT20" s="94"/>
      <c r="TCU20" s="94"/>
      <c r="TCV20" s="94"/>
      <c r="TCW20" s="94"/>
      <c r="TCX20" s="94"/>
      <c r="TCY20" s="94"/>
      <c r="TCZ20" s="94"/>
      <c r="TDA20" s="94"/>
      <c r="TDB20" s="94"/>
      <c r="TDC20" s="94"/>
      <c r="TDD20" s="94"/>
      <c r="TDE20" s="94"/>
      <c r="TDF20" s="94"/>
      <c r="TDG20" s="94"/>
      <c r="TDH20" s="94"/>
      <c r="TDI20" s="94"/>
      <c r="TDJ20" s="94"/>
      <c r="TDK20" s="94"/>
      <c r="TDL20" s="94"/>
      <c r="TDM20" s="94"/>
      <c r="TDN20" s="94"/>
      <c r="TDO20" s="94"/>
      <c r="TDP20" s="94"/>
      <c r="TDQ20" s="94"/>
      <c r="TDR20" s="94"/>
      <c r="TDS20" s="94"/>
      <c r="TDT20" s="94"/>
      <c r="TDU20" s="94"/>
      <c r="TDV20" s="94"/>
      <c r="TDW20" s="94"/>
      <c r="TDX20" s="94"/>
      <c r="TDY20" s="94"/>
      <c r="TDZ20" s="94"/>
      <c r="TEA20" s="94"/>
      <c r="TEB20" s="94"/>
      <c r="TEC20" s="94"/>
      <c r="TED20" s="94"/>
      <c r="TEE20" s="94"/>
      <c r="TEF20" s="94"/>
      <c r="TEG20" s="94"/>
      <c r="TEH20" s="94"/>
      <c r="TEI20" s="94"/>
      <c r="TEJ20" s="94"/>
      <c r="TEK20" s="94"/>
      <c r="TEL20" s="94"/>
      <c r="TEM20" s="94"/>
      <c r="TEN20" s="94"/>
      <c r="TEO20" s="94"/>
      <c r="TEP20" s="94"/>
      <c r="TEQ20" s="94"/>
      <c r="TER20" s="94"/>
      <c r="TES20" s="94"/>
      <c r="TET20" s="94"/>
      <c r="TEU20" s="94"/>
      <c r="TEV20" s="94"/>
      <c r="TEW20" s="94"/>
      <c r="TEX20" s="94"/>
      <c r="TEY20" s="94"/>
      <c r="TEZ20" s="94"/>
      <c r="TFA20" s="94"/>
      <c r="TFB20" s="94"/>
      <c r="TFC20" s="94"/>
      <c r="TFD20" s="94"/>
      <c r="TFE20" s="94"/>
      <c r="TFF20" s="94"/>
      <c r="TFG20" s="94"/>
      <c r="TFH20" s="94"/>
      <c r="TFI20" s="94"/>
      <c r="TFJ20" s="94"/>
      <c r="TFK20" s="94"/>
      <c r="TFL20" s="94"/>
      <c r="TFM20" s="94"/>
      <c r="TFN20" s="94"/>
      <c r="TFO20" s="94"/>
      <c r="TFP20" s="94"/>
      <c r="TFQ20" s="94"/>
      <c r="TFR20" s="94"/>
      <c r="TFS20" s="94"/>
      <c r="TFT20" s="94"/>
      <c r="TFU20" s="94"/>
      <c r="TFV20" s="94"/>
      <c r="TFW20" s="94"/>
      <c r="TFX20" s="94"/>
      <c r="TFY20" s="94"/>
      <c r="TFZ20" s="94"/>
      <c r="TGA20" s="94"/>
      <c r="TGB20" s="94"/>
      <c r="TGC20" s="94"/>
      <c r="TGD20" s="94"/>
      <c r="TGE20" s="94"/>
      <c r="TGF20" s="94"/>
      <c r="TGG20" s="94"/>
      <c r="TGH20" s="94"/>
      <c r="TGI20" s="94"/>
      <c r="TGJ20" s="94"/>
      <c r="TGK20" s="94"/>
      <c r="TGL20" s="94"/>
      <c r="TGM20" s="94"/>
      <c r="TGN20" s="94"/>
      <c r="TGO20" s="94"/>
      <c r="TGP20" s="94"/>
      <c r="TGQ20" s="94"/>
      <c r="TGR20" s="94"/>
      <c r="TGS20" s="94"/>
      <c r="TGT20" s="94"/>
      <c r="TGU20" s="94"/>
      <c r="TGV20" s="94"/>
      <c r="TGW20" s="94"/>
      <c r="TGX20" s="94"/>
      <c r="TGY20" s="94"/>
      <c r="TGZ20" s="94"/>
      <c r="THA20" s="94"/>
      <c r="THB20" s="94"/>
      <c r="THC20" s="94"/>
      <c r="THD20" s="94"/>
      <c r="THE20" s="94"/>
      <c r="THF20" s="94"/>
      <c r="THG20" s="94"/>
      <c r="THH20" s="94"/>
      <c r="THI20" s="94"/>
      <c r="THJ20" s="94"/>
      <c r="THK20" s="94"/>
      <c r="THL20" s="94"/>
      <c r="THM20" s="94"/>
      <c r="THN20" s="94"/>
      <c r="THO20" s="94"/>
      <c r="THP20" s="94"/>
      <c r="THQ20" s="94"/>
      <c r="THR20" s="94"/>
      <c r="THS20" s="94"/>
      <c r="THT20" s="94"/>
      <c r="THU20" s="94"/>
      <c r="THV20" s="94"/>
      <c r="THW20" s="94"/>
      <c r="THX20" s="94"/>
      <c r="THY20" s="94"/>
      <c r="THZ20" s="94"/>
      <c r="TIA20" s="94"/>
      <c r="TIB20" s="94"/>
      <c r="TIC20" s="94"/>
      <c r="TID20" s="94"/>
      <c r="TIE20" s="94"/>
      <c r="TIF20" s="94"/>
      <c r="TIG20" s="94"/>
      <c r="TIH20" s="94"/>
      <c r="TII20" s="94"/>
      <c r="TIJ20" s="94"/>
      <c r="TIK20" s="94"/>
      <c r="TIL20" s="94"/>
      <c r="TIM20" s="94"/>
      <c r="TIN20" s="94"/>
      <c r="TIO20" s="94"/>
      <c r="TIP20" s="94"/>
      <c r="TIQ20" s="94"/>
      <c r="TIR20" s="94"/>
      <c r="TIS20" s="94"/>
      <c r="TIT20" s="94"/>
      <c r="TIU20" s="94"/>
      <c r="TIV20" s="94"/>
      <c r="TIW20" s="94"/>
      <c r="TIX20" s="94"/>
      <c r="TIY20" s="94"/>
      <c r="TIZ20" s="94"/>
      <c r="TJA20" s="94"/>
      <c r="TJB20" s="94"/>
      <c r="TJC20" s="94"/>
      <c r="TJD20" s="94"/>
      <c r="TJE20" s="94"/>
      <c r="TJF20" s="94"/>
      <c r="TJG20" s="94"/>
      <c r="TJH20" s="94"/>
      <c r="TJI20" s="94"/>
      <c r="TJJ20" s="94"/>
      <c r="TJK20" s="94"/>
      <c r="TJL20" s="94"/>
      <c r="TJM20" s="94"/>
      <c r="TJN20" s="94"/>
      <c r="TJO20" s="94"/>
      <c r="TJP20" s="94"/>
      <c r="TJQ20" s="94"/>
      <c r="TJR20" s="94"/>
      <c r="TJS20" s="94"/>
      <c r="TJT20" s="94"/>
      <c r="TJU20" s="94"/>
      <c r="TJV20" s="94"/>
      <c r="TJW20" s="94"/>
      <c r="TJX20" s="94"/>
      <c r="TJY20" s="94"/>
      <c r="TJZ20" s="94"/>
      <c r="TKA20" s="94"/>
      <c r="TKB20" s="94"/>
      <c r="TKC20" s="94"/>
      <c r="TKD20" s="94"/>
      <c r="TKE20" s="94"/>
      <c r="TKF20" s="94"/>
      <c r="TKG20" s="94"/>
      <c r="TKH20" s="94"/>
      <c r="TKI20" s="94"/>
      <c r="TKJ20" s="94"/>
      <c r="TKK20" s="94"/>
      <c r="TKL20" s="94"/>
      <c r="TKM20" s="94"/>
      <c r="TKN20" s="94"/>
      <c r="TKO20" s="94"/>
      <c r="TKP20" s="94"/>
      <c r="TKQ20" s="94"/>
      <c r="TKR20" s="94"/>
      <c r="TKS20" s="94"/>
      <c r="TKT20" s="94"/>
      <c r="TKU20" s="94"/>
      <c r="TKV20" s="94"/>
      <c r="TKW20" s="94"/>
      <c r="TKX20" s="94"/>
      <c r="TKY20" s="94"/>
      <c r="TKZ20" s="94"/>
      <c r="TLA20" s="94"/>
      <c r="TLB20" s="94"/>
      <c r="TLC20" s="94"/>
      <c r="TLD20" s="94"/>
      <c r="TLE20" s="94"/>
      <c r="TLF20" s="94"/>
      <c r="TLG20" s="94"/>
      <c r="TLH20" s="94"/>
      <c r="TLI20" s="94"/>
      <c r="TLJ20" s="94"/>
      <c r="TLK20" s="94"/>
      <c r="TLL20" s="94"/>
      <c r="TLM20" s="94"/>
      <c r="TLN20" s="94"/>
      <c r="TLO20" s="94"/>
      <c r="TLP20" s="94"/>
      <c r="TLQ20" s="94"/>
      <c r="TLR20" s="94"/>
      <c r="TLS20" s="94"/>
      <c r="TLT20" s="94"/>
      <c r="TLU20" s="94"/>
      <c r="TLV20" s="94"/>
      <c r="TLW20" s="94"/>
      <c r="TLX20" s="94"/>
      <c r="TLY20" s="94"/>
      <c r="TLZ20" s="94"/>
      <c r="TMA20" s="94"/>
      <c r="TMB20" s="94"/>
      <c r="TMC20" s="94"/>
      <c r="TMD20" s="94"/>
      <c r="TME20" s="94"/>
      <c r="TMF20" s="94"/>
      <c r="TMG20" s="94"/>
      <c r="TMH20" s="94"/>
      <c r="TMI20" s="94"/>
      <c r="TMJ20" s="94"/>
      <c r="TMK20" s="94"/>
      <c r="TML20" s="94"/>
      <c r="TMM20" s="94"/>
      <c r="TMN20" s="94"/>
      <c r="TMO20" s="94"/>
      <c r="TMP20" s="94"/>
      <c r="TMQ20" s="94"/>
      <c r="TMR20" s="94"/>
      <c r="TMS20" s="94"/>
      <c r="TMT20" s="94"/>
      <c r="TMU20" s="94"/>
      <c r="TMV20" s="94"/>
      <c r="TMW20" s="94"/>
      <c r="TMX20" s="94"/>
      <c r="TMY20" s="94"/>
      <c r="TMZ20" s="94"/>
      <c r="TNA20" s="94"/>
      <c r="TNB20" s="94"/>
      <c r="TNC20" s="94"/>
      <c r="TND20" s="94"/>
      <c r="TNE20" s="94"/>
      <c r="TNF20" s="94"/>
      <c r="TNG20" s="94"/>
      <c r="TNH20" s="94"/>
      <c r="TNI20" s="94"/>
      <c r="TNJ20" s="94"/>
      <c r="TNK20" s="94"/>
      <c r="TNL20" s="94"/>
      <c r="TNM20" s="94"/>
      <c r="TNN20" s="94"/>
      <c r="TNO20" s="94"/>
      <c r="TNP20" s="94"/>
      <c r="TNQ20" s="94"/>
      <c r="TNR20" s="94"/>
      <c r="TNS20" s="94"/>
      <c r="TNT20" s="94"/>
      <c r="TNU20" s="94"/>
      <c r="TNV20" s="94"/>
      <c r="TNW20" s="94"/>
      <c r="TNX20" s="94"/>
      <c r="TNY20" s="94"/>
      <c r="TNZ20" s="94"/>
      <c r="TOA20" s="94"/>
      <c r="TOB20" s="94"/>
      <c r="TOC20" s="94"/>
      <c r="TOD20" s="94"/>
      <c r="TOE20" s="94"/>
      <c r="TOF20" s="94"/>
      <c r="TOG20" s="94"/>
      <c r="TOH20" s="94"/>
      <c r="TOI20" s="94"/>
      <c r="TOJ20" s="94"/>
      <c r="TOK20" s="94"/>
      <c r="TOL20" s="94"/>
      <c r="TOM20" s="94"/>
      <c r="TON20" s="94"/>
      <c r="TOO20" s="94"/>
      <c r="TOP20" s="94"/>
      <c r="TOQ20" s="94"/>
      <c r="TOR20" s="94"/>
      <c r="TOS20" s="94"/>
      <c r="TOT20" s="94"/>
      <c r="TOU20" s="94"/>
      <c r="TOV20" s="94"/>
      <c r="TOW20" s="94"/>
      <c r="TOX20" s="94"/>
      <c r="TOY20" s="94"/>
      <c r="TOZ20" s="94"/>
      <c r="TPA20" s="94"/>
      <c r="TPB20" s="94"/>
      <c r="TPC20" s="94"/>
      <c r="TPD20" s="94"/>
      <c r="TPE20" s="94"/>
      <c r="TPF20" s="94"/>
      <c r="TPG20" s="94"/>
      <c r="TPH20" s="94"/>
      <c r="TPI20" s="94"/>
      <c r="TPJ20" s="94"/>
      <c r="TPK20" s="94"/>
      <c r="TPL20" s="94"/>
      <c r="TPM20" s="94"/>
      <c r="TPN20" s="94"/>
      <c r="TPO20" s="94"/>
      <c r="TPP20" s="94"/>
      <c r="TPQ20" s="94"/>
      <c r="TPR20" s="94"/>
      <c r="TPS20" s="94"/>
      <c r="TPT20" s="94"/>
      <c r="TPU20" s="94"/>
      <c r="TPV20" s="94"/>
      <c r="TPW20" s="94"/>
      <c r="TPX20" s="94"/>
      <c r="TPY20" s="94"/>
      <c r="TPZ20" s="94"/>
      <c r="TQA20" s="94"/>
      <c r="TQB20" s="94"/>
      <c r="TQC20" s="94"/>
      <c r="TQD20" s="94"/>
      <c r="TQE20" s="94"/>
      <c r="TQF20" s="94"/>
      <c r="TQG20" s="94"/>
      <c r="TQH20" s="94"/>
      <c r="TQI20" s="94"/>
      <c r="TQJ20" s="94"/>
      <c r="TQK20" s="94"/>
      <c r="TQL20" s="94"/>
      <c r="TQM20" s="94"/>
      <c r="TQN20" s="94"/>
      <c r="TQO20" s="94"/>
      <c r="TQP20" s="94"/>
      <c r="TQQ20" s="94"/>
      <c r="TQR20" s="94"/>
      <c r="TQS20" s="94"/>
      <c r="TQT20" s="94"/>
      <c r="TQU20" s="94"/>
      <c r="TQV20" s="94"/>
      <c r="TQW20" s="94"/>
      <c r="TQX20" s="94"/>
      <c r="TQY20" s="94"/>
      <c r="TQZ20" s="94"/>
      <c r="TRA20" s="94"/>
      <c r="TRB20" s="94"/>
      <c r="TRC20" s="94"/>
      <c r="TRD20" s="94"/>
      <c r="TRE20" s="94"/>
      <c r="TRF20" s="94"/>
      <c r="TRG20" s="94"/>
      <c r="TRH20" s="94"/>
      <c r="TRI20" s="94"/>
      <c r="TRJ20" s="94"/>
      <c r="TRK20" s="94"/>
      <c r="TRL20" s="94"/>
      <c r="TRM20" s="94"/>
      <c r="TRN20" s="94"/>
      <c r="TRO20" s="94"/>
      <c r="TRP20" s="94"/>
      <c r="TRQ20" s="94"/>
      <c r="TRR20" s="94"/>
      <c r="TRS20" s="94"/>
      <c r="TRT20" s="94"/>
      <c r="TRU20" s="94"/>
      <c r="TRV20" s="94"/>
      <c r="TRW20" s="94"/>
      <c r="TRX20" s="94"/>
      <c r="TRY20" s="94"/>
      <c r="TRZ20" s="94"/>
      <c r="TSA20" s="94"/>
      <c r="TSB20" s="94"/>
      <c r="TSC20" s="94"/>
      <c r="TSD20" s="94"/>
      <c r="TSE20" s="94"/>
      <c r="TSF20" s="94"/>
      <c r="TSG20" s="94"/>
      <c r="TSH20" s="94"/>
      <c r="TSI20" s="94"/>
      <c r="TSJ20" s="94"/>
      <c r="TSK20" s="94"/>
      <c r="TSL20" s="94"/>
      <c r="TSM20" s="94"/>
      <c r="TSN20" s="94"/>
      <c r="TSO20" s="94"/>
      <c r="TSP20" s="94"/>
      <c r="TSQ20" s="94"/>
      <c r="TSR20" s="94"/>
      <c r="TSS20" s="94"/>
      <c r="TST20" s="94"/>
      <c r="TSU20" s="94"/>
      <c r="TSV20" s="94"/>
      <c r="TSW20" s="94"/>
      <c r="TSX20" s="94"/>
      <c r="TSY20" s="94"/>
      <c r="TSZ20" s="94"/>
      <c r="TTA20" s="94"/>
      <c r="TTB20" s="94"/>
      <c r="TTC20" s="94"/>
      <c r="TTD20" s="94"/>
      <c r="TTE20" s="94"/>
      <c r="TTF20" s="94"/>
      <c r="TTG20" s="94"/>
      <c r="TTH20" s="94"/>
      <c r="TTI20" s="94"/>
      <c r="TTJ20" s="94"/>
      <c r="TTK20" s="94"/>
      <c r="TTL20" s="94"/>
      <c r="TTM20" s="94"/>
      <c r="TTN20" s="94"/>
      <c r="TTO20" s="94"/>
      <c r="TTP20" s="94"/>
      <c r="TTQ20" s="94"/>
      <c r="TTR20" s="94"/>
      <c r="TTS20" s="94"/>
      <c r="TTT20" s="94"/>
      <c r="TTU20" s="94"/>
      <c r="TTV20" s="94"/>
      <c r="TTW20" s="94"/>
      <c r="TTX20" s="94"/>
      <c r="TTY20" s="94"/>
      <c r="TTZ20" s="94"/>
      <c r="TUA20" s="94"/>
      <c r="TUB20" s="94"/>
      <c r="TUC20" s="94"/>
      <c r="TUD20" s="94"/>
      <c r="TUE20" s="94"/>
      <c r="TUF20" s="94"/>
      <c r="TUG20" s="94"/>
      <c r="TUH20" s="94"/>
      <c r="TUI20" s="94"/>
      <c r="TUJ20" s="94"/>
      <c r="TUK20" s="94"/>
      <c r="TUL20" s="94"/>
      <c r="TUM20" s="94"/>
      <c r="TUN20" s="94"/>
      <c r="TUO20" s="94"/>
      <c r="TUP20" s="94"/>
      <c r="TUQ20" s="94"/>
      <c r="TUR20" s="94"/>
      <c r="TUS20" s="94"/>
      <c r="TUT20" s="94"/>
      <c r="TUU20" s="94"/>
      <c r="TUV20" s="94"/>
      <c r="TUW20" s="94"/>
      <c r="TUX20" s="94"/>
      <c r="TUY20" s="94"/>
      <c r="TUZ20" s="94"/>
      <c r="TVA20" s="94"/>
      <c r="TVB20" s="94"/>
      <c r="TVC20" s="94"/>
      <c r="TVD20" s="94"/>
      <c r="TVE20" s="94"/>
      <c r="TVF20" s="94"/>
      <c r="TVG20" s="94"/>
      <c r="TVH20" s="94"/>
      <c r="TVI20" s="94"/>
      <c r="TVJ20" s="94"/>
      <c r="TVK20" s="94"/>
      <c r="TVL20" s="94"/>
      <c r="TVM20" s="94"/>
      <c r="TVN20" s="94"/>
      <c r="TVO20" s="94"/>
      <c r="TVP20" s="94"/>
      <c r="TVQ20" s="94"/>
      <c r="TVR20" s="94"/>
      <c r="TVS20" s="94"/>
      <c r="TVT20" s="94"/>
      <c r="TVU20" s="94"/>
      <c r="TVV20" s="94"/>
      <c r="TVW20" s="94"/>
      <c r="TVX20" s="94"/>
      <c r="TVY20" s="94"/>
      <c r="TVZ20" s="94"/>
      <c r="TWA20" s="94"/>
      <c r="TWB20" s="94"/>
      <c r="TWC20" s="94"/>
      <c r="TWD20" s="94"/>
      <c r="TWE20" s="94"/>
      <c r="TWF20" s="94"/>
      <c r="TWG20" s="94"/>
      <c r="TWH20" s="94"/>
      <c r="TWI20" s="94"/>
      <c r="TWJ20" s="94"/>
      <c r="TWK20" s="94"/>
      <c r="TWL20" s="94"/>
      <c r="TWM20" s="94"/>
      <c r="TWN20" s="94"/>
      <c r="TWO20" s="94"/>
      <c r="TWP20" s="94"/>
      <c r="TWQ20" s="94"/>
      <c r="TWR20" s="94"/>
      <c r="TWS20" s="94"/>
      <c r="TWT20" s="94"/>
      <c r="TWU20" s="94"/>
      <c r="TWV20" s="94"/>
      <c r="TWW20" s="94"/>
      <c r="TWX20" s="94"/>
      <c r="TWY20" s="94"/>
      <c r="TWZ20" s="94"/>
      <c r="TXA20" s="94"/>
      <c r="TXB20" s="94"/>
      <c r="TXC20" s="94"/>
      <c r="TXD20" s="94"/>
      <c r="TXE20" s="94"/>
      <c r="TXF20" s="94"/>
      <c r="TXG20" s="94"/>
      <c r="TXH20" s="94"/>
      <c r="TXI20" s="94"/>
      <c r="TXJ20" s="94"/>
      <c r="TXK20" s="94"/>
      <c r="TXL20" s="94"/>
      <c r="TXM20" s="94"/>
      <c r="TXN20" s="94"/>
      <c r="TXO20" s="94"/>
      <c r="TXP20" s="94"/>
      <c r="TXQ20" s="94"/>
      <c r="TXR20" s="94"/>
      <c r="TXS20" s="94"/>
      <c r="TXT20" s="94"/>
      <c r="TXU20" s="94"/>
      <c r="TXV20" s="94"/>
      <c r="TXW20" s="94"/>
      <c r="TXX20" s="94"/>
      <c r="TXY20" s="94"/>
      <c r="TXZ20" s="94"/>
      <c r="TYA20" s="94"/>
      <c r="TYB20" s="94"/>
      <c r="TYC20" s="94"/>
      <c r="TYD20" s="94"/>
      <c r="TYE20" s="94"/>
      <c r="TYF20" s="94"/>
      <c r="TYG20" s="94"/>
      <c r="TYH20" s="94"/>
      <c r="TYI20" s="94"/>
      <c r="TYJ20" s="94"/>
      <c r="TYK20" s="94"/>
      <c r="TYL20" s="94"/>
      <c r="TYM20" s="94"/>
      <c r="TYN20" s="94"/>
      <c r="TYO20" s="94"/>
      <c r="TYP20" s="94"/>
      <c r="TYQ20" s="94"/>
      <c r="TYR20" s="94"/>
      <c r="TYS20" s="94"/>
      <c r="TYT20" s="94"/>
      <c r="TYU20" s="94"/>
      <c r="TYV20" s="94"/>
      <c r="TYW20" s="94"/>
      <c r="TYX20" s="94"/>
      <c r="TYY20" s="94"/>
      <c r="TYZ20" s="94"/>
      <c r="TZA20" s="94"/>
      <c r="TZB20" s="94"/>
      <c r="TZC20" s="94"/>
      <c r="TZD20" s="94"/>
      <c r="TZE20" s="94"/>
      <c r="TZF20" s="94"/>
      <c r="TZG20" s="94"/>
      <c r="TZH20" s="94"/>
      <c r="TZI20" s="94"/>
      <c r="TZJ20" s="94"/>
      <c r="TZK20" s="94"/>
      <c r="TZL20" s="94"/>
      <c r="TZM20" s="94"/>
      <c r="TZN20" s="94"/>
      <c r="TZO20" s="94"/>
      <c r="TZP20" s="94"/>
      <c r="TZQ20" s="94"/>
      <c r="TZR20" s="94"/>
      <c r="TZS20" s="94"/>
      <c r="TZT20" s="94"/>
      <c r="TZU20" s="94"/>
      <c r="TZV20" s="94"/>
      <c r="TZW20" s="94"/>
      <c r="TZX20" s="94"/>
      <c r="TZY20" s="94"/>
      <c r="TZZ20" s="94"/>
      <c r="UAA20" s="94"/>
      <c r="UAB20" s="94"/>
      <c r="UAC20" s="94"/>
      <c r="UAD20" s="94"/>
      <c r="UAE20" s="94"/>
      <c r="UAF20" s="94"/>
      <c r="UAG20" s="94"/>
      <c r="UAH20" s="94"/>
      <c r="UAI20" s="94"/>
      <c r="UAJ20" s="94"/>
      <c r="UAK20" s="94"/>
      <c r="UAL20" s="94"/>
      <c r="UAM20" s="94"/>
      <c r="UAN20" s="94"/>
      <c r="UAO20" s="94"/>
      <c r="UAP20" s="94"/>
      <c r="UAQ20" s="94"/>
      <c r="UAR20" s="94"/>
      <c r="UAS20" s="94"/>
      <c r="UAT20" s="94"/>
      <c r="UAU20" s="94"/>
      <c r="UAV20" s="94"/>
      <c r="UAW20" s="94"/>
      <c r="UAX20" s="94"/>
      <c r="UAY20" s="94"/>
      <c r="UAZ20" s="94"/>
      <c r="UBA20" s="94"/>
      <c r="UBB20" s="94"/>
      <c r="UBC20" s="94"/>
      <c r="UBD20" s="94"/>
      <c r="UBE20" s="94"/>
      <c r="UBF20" s="94"/>
      <c r="UBG20" s="94"/>
      <c r="UBH20" s="94"/>
      <c r="UBI20" s="94"/>
      <c r="UBJ20" s="94"/>
      <c r="UBK20" s="94"/>
      <c r="UBL20" s="94"/>
      <c r="UBM20" s="94"/>
      <c r="UBN20" s="94"/>
      <c r="UBO20" s="94"/>
      <c r="UBP20" s="94"/>
      <c r="UBQ20" s="94"/>
      <c r="UBR20" s="94"/>
      <c r="UBS20" s="94"/>
      <c r="UBT20" s="94"/>
      <c r="UBU20" s="94"/>
      <c r="UBV20" s="94"/>
      <c r="UBW20" s="94"/>
      <c r="UBX20" s="94"/>
      <c r="UBY20" s="94"/>
      <c r="UBZ20" s="94"/>
      <c r="UCA20" s="94"/>
      <c r="UCB20" s="94"/>
      <c r="UCC20" s="94"/>
      <c r="UCD20" s="94"/>
      <c r="UCE20" s="94"/>
      <c r="UCF20" s="94"/>
      <c r="UCG20" s="94"/>
      <c r="UCH20" s="94"/>
      <c r="UCI20" s="94"/>
      <c r="UCJ20" s="94"/>
      <c r="UCK20" s="94"/>
      <c r="UCL20" s="94"/>
      <c r="UCM20" s="94"/>
      <c r="UCN20" s="94"/>
      <c r="UCO20" s="94"/>
      <c r="UCP20" s="94"/>
      <c r="UCQ20" s="94"/>
      <c r="UCR20" s="94"/>
      <c r="UCS20" s="94"/>
      <c r="UCT20" s="94"/>
      <c r="UCU20" s="94"/>
      <c r="UCV20" s="94"/>
      <c r="UCW20" s="94"/>
      <c r="UCX20" s="94"/>
      <c r="UCY20" s="94"/>
      <c r="UCZ20" s="94"/>
      <c r="UDA20" s="94"/>
      <c r="UDB20" s="94"/>
      <c r="UDC20" s="94"/>
      <c r="UDD20" s="94"/>
      <c r="UDE20" s="94"/>
      <c r="UDF20" s="94"/>
      <c r="UDG20" s="94"/>
      <c r="UDH20" s="94"/>
      <c r="UDI20" s="94"/>
      <c r="UDJ20" s="94"/>
      <c r="UDK20" s="94"/>
      <c r="UDL20" s="94"/>
      <c r="UDM20" s="94"/>
      <c r="UDN20" s="94"/>
      <c r="UDO20" s="94"/>
      <c r="UDP20" s="94"/>
      <c r="UDQ20" s="94"/>
      <c r="UDR20" s="94"/>
      <c r="UDS20" s="94"/>
      <c r="UDT20" s="94"/>
      <c r="UDU20" s="94"/>
      <c r="UDV20" s="94"/>
      <c r="UDW20" s="94"/>
      <c r="UDX20" s="94"/>
      <c r="UDY20" s="94"/>
      <c r="UDZ20" s="94"/>
      <c r="UEA20" s="94"/>
      <c r="UEB20" s="94"/>
      <c r="UEC20" s="94"/>
      <c r="UED20" s="94"/>
      <c r="UEE20" s="94"/>
      <c r="UEF20" s="94"/>
      <c r="UEG20" s="94"/>
      <c r="UEH20" s="94"/>
      <c r="UEI20" s="94"/>
      <c r="UEJ20" s="94"/>
      <c r="UEK20" s="94"/>
      <c r="UEL20" s="94"/>
      <c r="UEM20" s="94"/>
      <c r="UEN20" s="94"/>
      <c r="UEO20" s="94"/>
      <c r="UEP20" s="94"/>
      <c r="UEQ20" s="94"/>
      <c r="UER20" s="94"/>
      <c r="UES20" s="94"/>
      <c r="UET20" s="94"/>
      <c r="UEU20" s="94"/>
      <c r="UEV20" s="94"/>
      <c r="UEW20" s="94"/>
      <c r="UEX20" s="94"/>
      <c r="UEY20" s="94"/>
      <c r="UEZ20" s="94"/>
      <c r="UFA20" s="94"/>
      <c r="UFB20" s="94"/>
      <c r="UFC20" s="94"/>
      <c r="UFD20" s="94"/>
      <c r="UFE20" s="94"/>
      <c r="UFF20" s="94"/>
      <c r="UFG20" s="94"/>
      <c r="UFH20" s="94"/>
      <c r="UFI20" s="94"/>
      <c r="UFJ20" s="94"/>
      <c r="UFK20" s="94"/>
      <c r="UFL20" s="94"/>
      <c r="UFM20" s="94"/>
      <c r="UFN20" s="94"/>
      <c r="UFO20" s="94"/>
      <c r="UFP20" s="94"/>
      <c r="UFQ20" s="94"/>
      <c r="UFR20" s="94"/>
      <c r="UFS20" s="94"/>
      <c r="UFT20" s="94"/>
      <c r="UFU20" s="94"/>
      <c r="UFV20" s="94"/>
      <c r="UFW20" s="94"/>
      <c r="UFX20" s="94"/>
      <c r="UFY20" s="94"/>
      <c r="UFZ20" s="94"/>
      <c r="UGA20" s="94"/>
      <c r="UGB20" s="94"/>
      <c r="UGC20" s="94"/>
      <c r="UGD20" s="94"/>
      <c r="UGE20" s="94"/>
      <c r="UGF20" s="94"/>
      <c r="UGG20" s="94"/>
      <c r="UGH20" s="94"/>
      <c r="UGI20" s="94"/>
      <c r="UGJ20" s="94"/>
      <c r="UGK20" s="94"/>
      <c r="UGL20" s="94"/>
      <c r="UGM20" s="94"/>
      <c r="UGN20" s="94"/>
      <c r="UGO20" s="94"/>
      <c r="UGP20" s="94"/>
      <c r="UGQ20" s="94"/>
      <c r="UGR20" s="94"/>
      <c r="UGS20" s="94"/>
      <c r="UGT20" s="94"/>
      <c r="UGU20" s="94"/>
      <c r="UGV20" s="94"/>
      <c r="UGW20" s="94"/>
      <c r="UGX20" s="94"/>
      <c r="UGY20" s="94"/>
      <c r="UGZ20" s="94"/>
      <c r="UHA20" s="94"/>
      <c r="UHB20" s="94"/>
      <c r="UHC20" s="94"/>
      <c r="UHD20" s="94"/>
      <c r="UHE20" s="94"/>
      <c r="UHF20" s="94"/>
      <c r="UHG20" s="94"/>
      <c r="UHH20" s="94"/>
      <c r="UHI20" s="94"/>
      <c r="UHJ20" s="94"/>
      <c r="UHK20" s="94"/>
      <c r="UHL20" s="94"/>
      <c r="UHM20" s="94"/>
      <c r="UHN20" s="94"/>
      <c r="UHO20" s="94"/>
      <c r="UHP20" s="94"/>
      <c r="UHQ20" s="94"/>
      <c r="UHR20" s="94"/>
      <c r="UHS20" s="94"/>
      <c r="UHT20" s="94"/>
      <c r="UHU20" s="94"/>
      <c r="UHV20" s="94"/>
      <c r="UHW20" s="94"/>
      <c r="UHX20" s="94"/>
      <c r="UHY20" s="94"/>
      <c r="UHZ20" s="94"/>
      <c r="UIA20" s="94"/>
      <c r="UIB20" s="94"/>
      <c r="UIC20" s="94"/>
      <c r="UID20" s="94"/>
      <c r="UIE20" s="94"/>
      <c r="UIF20" s="94"/>
      <c r="UIG20" s="94"/>
      <c r="UIH20" s="94"/>
      <c r="UII20" s="94"/>
      <c r="UIJ20" s="94"/>
      <c r="UIK20" s="94"/>
      <c r="UIL20" s="94"/>
      <c r="UIM20" s="94"/>
      <c r="UIN20" s="94"/>
      <c r="UIO20" s="94"/>
      <c r="UIP20" s="94"/>
      <c r="UIQ20" s="94"/>
      <c r="UIR20" s="94"/>
      <c r="UIS20" s="94"/>
      <c r="UIT20" s="94"/>
      <c r="UIU20" s="94"/>
      <c r="UIV20" s="94"/>
      <c r="UIW20" s="94"/>
      <c r="UIX20" s="94"/>
      <c r="UIY20" s="94"/>
      <c r="UIZ20" s="94"/>
      <c r="UJA20" s="94"/>
      <c r="UJB20" s="94"/>
      <c r="UJC20" s="94"/>
      <c r="UJD20" s="94"/>
      <c r="UJE20" s="94"/>
      <c r="UJF20" s="94"/>
      <c r="UJG20" s="94"/>
      <c r="UJH20" s="94"/>
      <c r="UJI20" s="94"/>
      <c r="UJJ20" s="94"/>
      <c r="UJK20" s="94"/>
      <c r="UJL20" s="94"/>
      <c r="UJM20" s="94"/>
      <c r="UJN20" s="94"/>
      <c r="UJO20" s="94"/>
      <c r="UJP20" s="94"/>
      <c r="UJQ20" s="94"/>
      <c r="UJR20" s="94"/>
      <c r="UJS20" s="94"/>
      <c r="UJT20" s="94"/>
      <c r="UJU20" s="94"/>
      <c r="UJV20" s="94"/>
      <c r="UJW20" s="94"/>
      <c r="UJX20" s="94"/>
      <c r="UJY20" s="94"/>
      <c r="UJZ20" s="94"/>
      <c r="UKA20" s="94"/>
      <c r="UKB20" s="94"/>
      <c r="UKC20" s="94"/>
      <c r="UKD20" s="94"/>
      <c r="UKE20" s="94"/>
      <c r="UKF20" s="94"/>
      <c r="UKG20" s="94"/>
      <c r="UKH20" s="94"/>
      <c r="UKI20" s="94"/>
      <c r="UKJ20" s="94"/>
      <c r="UKK20" s="94"/>
      <c r="UKL20" s="94"/>
      <c r="UKM20" s="94"/>
      <c r="UKN20" s="94"/>
      <c r="UKO20" s="94"/>
      <c r="UKP20" s="94"/>
      <c r="UKQ20" s="94"/>
      <c r="UKR20" s="94"/>
      <c r="UKS20" s="94"/>
      <c r="UKT20" s="94"/>
      <c r="UKU20" s="94"/>
      <c r="UKV20" s="94"/>
      <c r="UKW20" s="94"/>
      <c r="UKX20" s="94"/>
      <c r="UKY20" s="94"/>
      <c r="UKZ20" s="94"/>
      <c r="ULA20" s="94"/>
      <c r="ULB20" s="94"/>
      <c r="ULC20" s="94"/>
      <c r="ULD20" s="94"/>
      <c r="ULE20" s="94"/>
      <c r="ULF20" s="94"/>
      <c r="ULG20" s="94"/>
      <c r="ULH20" s="94"/>
      <c r="ULI20" s="94"/>
      <c r="ULJ20" s="94"/>
      <c r="ULK20" s="94"/>
      <c r="ULL20" s="94"/>
      <c r="ULM20" s="94"/>
      <c r="ULN20" s="94"/>
      <c r="ULO20" s="94"/>
      <c r="ULP20" s="94"/>
      <c r="ULQ20" s="94"/>
      <c r="ULR20" s="94"/>
      <c r="ULS20" s="94"/>
      <c r="ULT20" s="94"/>
      <c r="ULU20" s="94"/>
      <c r="ULV20" s="94"/>
      <c r="ULW20" s="94"/>
      <c r="ULX20" s="94"/>
      <c r="ULY20" s="94"/>
      <c r="ULZ20" s="94"/>
      <c r="UMA20" s="94"/>
      <c r="UMB20" s="94"/>
      <c r="UMC20" s="94"/>
      <c r="UMD20" s="94"/>
      <c r="UME20" s="94"/>
      <c r="UMF20" s="94"/>
      <c r="UMG20" s="94"/>
      <c r="UMH20" s="94"/>
      <c r="UMI20" s="94"/>
      <c r="UMJ20" s="94"/>
      <c r="UMK20" s="94"/>
      <c r="UML20" s="94"/>
      <c r="UMM20" s="94"/>
      <c r="UMN20" s="94"/>
      <c r="UMO20" s="94"/>
      <c r="UMP20" s="94"/>
      <c r="UMQ20" s="94"/>
      <c r="UMR20" s="94"/>
      <c r="UMS20" s="94"/>
      <c r="UMT20" s="94"/>
      <c r="UMU20" s="94"/>
      <c r="UMV20" s="94"/>
      <c r="UMW20" s="94"/>
      <c r="UMX20" s="94"/>
      <c r="UMY20" s="94"/>
      <c r="UMZ20" s="94"/>
      <c r="UNA20" s="94"/>
      <c r="UNB20" s="94"/>
      <c r="UNC20" s="94"/>
      <c r="UND20" s="94"/>
      <c r="UNE20" s="94"/>
      <c r="UNF20" s="94"/>
      <c r="UNG20" s="94"/>
      <c r="UNH20" s="94"/>
      <c r="UNI20" s="94"/>
      <c r="UNJ20" s="94"/>
      <c r="UNK20" s="94"/>
      <c r="UNL20" s="94"/>
      <c r="UNM20" s="94"/>
      <c r="UNN20" s="94"/>
      <c r="UNO20" s="94"/>
      <c r="UNP20" s="94"/>
      <c r="UNQ20" s="94"/>
      <c r="UNR20" s="94"/>
      <c r="UNS20" s="94"/>
      <c r="UNT20" s="94"/>
      <c r="UNU20" s="94"/>
      <c r="UNV20" s="94"/>
      <c r="UNW20" s="94"/>
      <c r="UNX20" s="94"/>
      <c r="UNY20" s="94"/>
      <c r="UNZ20" s="94"/>
      <c r="UOA20" s="94"/>
      <c r="UOB20" s="94"/>
      <c r="UOC20" s="94"/>
      <c r="UOD20" s="94"/>
      <c r="UOE20" s="94"/>
      <c r="UOF20" s="94"/>
      <c r="UOG20" s="94"/>
      <c r="UOH20" s="94"/>
      <c r="UOI20" s="94"/>
      <c r="UOJ20" s="94"/>
      <c r="UOK20" s="94"/>
      <c r="UOL20" s="94"/>
      <c r="UOM20" s="94"/>
      <c r="UON20" s="94"/>
      <c r="UOO20" s="94"/>
      <c r="UOP20" s="94"/>
      <c r="UOQ20" s="94"/>
      <c r="UOR20" s="94"/>
      <c r="UOS20" s="94"/>
      <c r="UOT20" s="94"/>
      <c r="UOU20" s="94"/>
      <c r="UOV20" s="94"/>
      <c r="UOW20" s="94"/>
      <c r="UOX20" s="94"/>
      <c r="UOY20" s="94"/>
      <c r="UOZ20" s="94"/>
      <c r="UPA20" s="94"/>
      <c r="UPB20" s="94"/>
      <c r="UPC20" s="94"/>
      <c r="UPD20" s="94"/>
      <c r="UPE20" s="94"/>
      <c r="UPF20" s="94"/>
      <c r="UPG20" s="94"/>
      <c r="UPH20" s="94"/>
      <c r="UPI20" s="94"/>
      <c r="UPJ20" s="94"/>
      <c r="UPK20" s="94"/>
      <c r="UPL20" s="94"/>
      <c r="UPM20" s="94"/>
      <c r="UPN20" s="94"/>
      <c r="UPO20" s="94"/>
      <c r="UPP20" s="94"/>
      <c r="UPQ20" s="94"/>
      <c r="UPR20" s="94"/>
      <c r="UPS20" s="94"/>
      <c r="UPT20" s="94"/>
      <c r="UPU20" s="94"/>
      <c r="UPV20" s="94"/>
      <c r="UPW20" s="94"/>
      <c r="UPX20" s="94"/>
      <c r="UPY20" s="94"/>
      <c r="UPZ20" s="94"/>
      <c r="UQA20" s="94"/>
      <c r="UQB20" s="94"/>
      <c r="UQC20" s="94"/>
      <c r="UQD20" s="94"/>
      <c r="UQE20" s="94"/>
      <c r="UQF20" s="94"/>
      <c r="UQG20" s="94"/>
      <c r="UQH20" s="94"/>
      <c r="UQI20" s="94"/>
      <c r="UQJ20" s="94"/>
      <c r="UQK20" s="94"/>
      <c r="UQL20" s="94"/>
      <c r="UQM20" s="94"/>
      <c r="UQN20" s="94"/>
      <c r="UQO20" s="94"/>
      <c r="UQP20" s="94"/>
      <c r="UQQ20" s="94"/>
      <c r="UQR20" s="94"/>
      <c r="UQS20" s="94"/>
      <c r="UQT20" s="94"/>
      <c r="UQU20" s="94"/>
      <c r="UQV20" s="94"/>
      <c r="UQW20" s="94"/>
      <c r="UQX20" s="94"/>
      <c r="UQY20" s="94"/>
      <c r="UQZ20" s="94"/>
      <c r="URA20" s="94"/>
      <c r="URB20" s="94"/>
      <c r="URC20" s="94"/>
      <c r="URD20" s="94"/>
      <c r="URE20" s="94"/>
      <c r="URF20" s="94"/>
      <c r="URG20" s="94"/>
      <c r="URH20" s="94"/>
      <c r="URI20" s="94"/>
      <c r="URJ20" s="94"/>
      <c r="URK20" s="94"/>
      <c r="URL20" s="94"/>
      <c r="URM20" s="94"/>
      <c r="URN20" s="94"/>
      <c r="URO20" s="94"/>
      <c r="URP20" s="94"/>
      <c r="URQ20" s="94"/>
      <c r="URR20" s="94"/>
      <c r="URS20" s="94"/>
      <c r="URT20" s="94"/>
      <c r="URU20" s="94"/>
      <c r="URV20" s="94"/>
      <c r="URW20" s="94"/>
      <c r="URX20" s="94"/>
      <c r="URY20" s="94"/>
      <c r="URZ20" s="94"/>
      <c r="USA20" s="94"/>
      <c r="USB20" s="94"/>
      <c r="USC20" s="94"/>
      <c r="USD20" s="94"/>
      <c r="USE20" s="94"/>
      <c r="USF20" s="94"/>
      <c r="USG20" s="94"/>
      <c r="USH20" s="94"/>
      <c r="USI20" s="94"/>
      <c r="USJ20" s="94"/>
      <c r="USK20" s="94"/>
      <c r="USL20" s="94"/>
      <c r="USM20" s="94"/>
      <c r="USN20" s="94"/>
      <c r="USO20" s="94"/>
      <c r="USP20" s="94"/>
      <c r="USQ20" s="94"/>
      <c r="USR20" s="94"/>
      <c r="USS20" s="94"/>
      <c r="UST20" s="94"/>
      <c r="USU20" s="94"/>
      <c r="USV20" s="94"/>
      <c r="USW20" s="94"/>
      <c r="USX20" s="94"/>
      <c r="USY20" s="94"/>
      <c r="USZ20" s="94"/>
      <c r="UTA20" s="94"/>
      <c r="UTB20" s="94"/>
      <c r="UTC20" s="94"/>
      <c r="UTD20" s="94"/>
      <c r="UTE20" s="94"/>
      <c r="UTF20" s="94"/>
      <c r="UTG20" s="94"/>
      <c r="UTH20" s="94"/>
      <c r="UTI20" s="94"/>
      <c r="UTJ20" s="94"/>
      <c r="UTK20" s="94"/>
      <c r="UTL20" s="94"/>
      <c r="UTM20" s="94"/>
      <c r="UTN20" s="94"/>
      <c r="UTO20" s="94"/>
      <c r="UTP20" s="94"/>
      <c r="UTQ20" s="94"/>
      <c r="UTR20" s="94"/>
      <c r="UTS20" s="94"/>
      <c r="UTT20" s="94"/>
      <c r="UTU20" s="94"/>
      <c r="UTV20" s="94"/>
      <c r="UTW20" s="94"/>
      <c r="UTX20" s="94"/>
      <c r="UTY20" s="94"/>
      <c r="UTZ20" s="94"/>
      <c r="UUA20" s="94"/>
      <c r="UUB20" s="94"/>
      <c r="UUC20" s="94"/>
      <c r="UUD20" s="94"/>
      <c r="UUE20" s="94"/>
      <c r="UUF20" s="94"/>
      <c r="UUG20" s="94"/>
      <c r="UUH20" s="94"/>
      <c r="UUI20" s="94"/>
      <c r="UUJ20" s="94"/>
      <c r="UUK20" s="94"/>
      <c r="UUL20" s="94"/>
      <c r="UUM20" s="94"/>
      <c r="UUN20" s="94"/>
      <c r="UUO20" s="94"/>
      <c r="UUP20" s="94"/>
      <c r="UUQ20" s="94"/>
      <c r="UUR20" s="94"/>
      <c r="UUS20" s="94"/>
      <c r="UUT20" s="94"/>
      <c r="UUU20" s="94"/>
      <c r="UUV20" s="94"/>
      <c r="UUW20" s="94"/>
      <c r="UUX20" s="94"/>
      <c r="UUY20" s="94"/>
      <c r="UUZ20" s="94"/>
      <c r="UVA20" s="94"/>
      <c r="UVB20" s="94"/>
      <c r="UVC20" s="94"/>
      <c r="UVD20" s="94"/>
      <c r="UVE20" s="94"/>
      <c r="UVF20" s="94"/>
      <c r="UVG20" s="94"/>
      <c r="UVH20" s="94"/>
      <c r="UVI20" s="94"/>
      <c r="UVJ20" s="94"/>
      <c r="UVK20" s="94"/>
      <c r="UVL20" s="94"/>
      <c r="UVM20" s="94"/>
      <c r="UVN20" s="94"/>
      <c r="UVO20" s="94"/>
      <c r="UVP20" s="94"/>
      <c r="UVQ20" s="94"/>
      <c r="UVR20" s="94"/>
      <c r="UVS20" s="94"/>
      <c r="UVT20" s="94"/>
      <c r="UVU20" s="94"/>
      <c r="UVV20" s="94"/>
      <c r="UVW20" s="94"/>
      <c r="UVX20" s="94"/>
      <c r="UVY20" s="94"/>
      <c r="UVZ20" s="94"/>
      <c r="UWA20" s="94"/>
      <c r="UWB20" s="94"/>
      <c r="UWC20" s="94"/>
      <c r="UWD20" s="94"/>
      <c r="UWE20" s="94"/>
      <c r="UWF20" s="94"/>
      <c r="UWG20" s="94"/>
      <c r="UWH20" s="94"/>
      <c r="UWI20" s="94"/>
      <c r="UWJ20" s="94"/>
      <c r="UWK20" s="94"/>
      <c r="UWL20" s="94"/>
      <c r="UWM20" s="94"/>
      <c r="UWN20" s="94"/>
      <c r="UWO20" s="94"/>
      <c r="UWP20" s="94"/>
      <c r="UWQ20" s="94"/>
      <c r="UWR20" s="94"/>
      <c r="UWS20" s="94"/>
      <c r="UWT20" s="94"/>
      <c r="UWU20" s="94"/>
      <c r="UWV20" s="94"/>
      <c r="UWW20" s="94"/>
      <c r="UWX20" s="94"/>
      <c r="UWY20" s="94"/>
      <c r="UWZ20" s="94"/>
      <c r="UXA20" s="94"/>
      <c r="UXB20" s="94"/>
      <c r="UXC20" s="94"/>
      <c r="UXD20" s="94"/>
      <c r="UXE20" s="94"/>
      <c r="UXF20" s="94"/>
      <c r="UXG20" s="94"/>
      <c r="UXH20" s="94"/>
      <c r="UXI20" s="94"/>
      <c r="UXJ20" s="94"/>
      <c r="UXK20" s="94"/>
      <c r="UXL20" s="94"/>
      <c r="UXM20" s="94"/>
      <c r="UXN20" s="94"/>
      <c r="UXO20" s="94"/>
      <c r="UXP20" s="94"/>
      <c r="UXQ20" s="94"/>
      <c r="UXR20" s="94"/>
      <c r="UXS20" s="94"/>
      <c r="UXT20" s="94"/>
      <c r="UXU20" s="94"/>
      <c r="UXV20" s="94"/>
      <c r="UXW20" s="94"/>
      <c r="UXX20" s="94"/>
      <c r="UXY20" s="94"/>
      <c r="UXZ20" s="94"/>
      <c r="UYA20" s="94"/>
      <c r="UYB20" s="94"/>
      <c r="UYC20" s="94"/>
      <c r="UYD20" s="94"/>
      <c r="UYE20" s="94"/>
      <c r="UYF20" s="94"/>
      <c r="UYG20" s="94"/>
      <c r="UYH20" s="94"/>
      <c r="UYI20" s="94"/>
      <c r="UYJ20" s="94"/>
      <c r="UYK20" s="94"/>
      <c r="UYL20" s="94"/>
      <c r="UYM20" s="94"/>
      <c r="UYN20" s="94"/>
      <c r="UYO20" s="94"/>
      <c r="UYP20" s="94"/>
      <c r="UYQ20" s="94"/>
      <c r="UYR20" s="94"/>
      <c r="UYS20" s="94"/>
      <c r="UYT20" s="94"/>
      <c r="UYU20" s="94"/>
      <c r="UYV20" s="94"/>
      <c r="UYW20" s="94"/>
      <c r="UYX20" s="94"/>
      <c r="UYY20" s="94"/>
      <c r="UYZ20" s="94"/>
      <c r="UZA20" s="94"/>
      <c r="UZB20" s="94"/>
      <c r="UZC20" s="94"/>
      <c r="UZD20" s="94"/>
      <c r="UZE20" s="94"/>
      <c r="UZF20" s="94"/>
      <c r="UZG20" s="94"/>
      <c r="UZH20" s="94"/>
      <c r="UZI20" s="94"/>
      <c r="UZJ20" s="94"/>
      <c r="UZK20" s="94"/>
      <c r="UZL20" s="94"/>
      <c r="UZM20" s="94"/>
      <c r="UZN20" s="94"/>
      <c r="UZO20" s="94"/>
      <c r="UZP20" s="94"/>
      <c r="UZQ20" s="94"/>
      <c r="UZR20" s="94"/>
      <c r="UZS20" s="94"/>
      <c r="UZT20" s="94"/>
      <c r="UZU20" s="94"/>
      <c r="UZV20" s="94"/>
      <c r="UZW20" s="94"/>
      <c r="UZX20" s="94"/>
      <c r="UZY20" s="94"/>
      <c r="UZZ20" s="94"/>
      <c r="VAA20" s="94"/>
      <c r="VAB20" s="94"/>
      <c r="VAC20" s="94"/>
      <c r="VAD20" s="94"/>
      <c r="VAE20" s="94"/>
      <c r="VAF20" s="94"/>
      <c r="VAG20" s="94"/>
      <c r="VAH20" s="94"/>
      <c r="VAI20" s="94"/>
      <c r="VAJ20" s="94"/>
      <c r="VAK20" s="94"/>
      <c r="VAL20" s="94"/>
      <c r="VAM20" s="94"/>
      <c r="VAN20" s="94"/>
      <c r="VAO20" s="94"/>
      <c r="VAP20" s="94"/>
      <c r="VAQ20" s="94"/>
      <c r="VAR20" s="94"/>
      <c r="VAS20" s="94"/>
      <c r="VAT20" s="94"/>
      <c r="VAU20" s="94"/>
      <c r="VAV20" s="94"/>
      <c r="VAW20" s="94"/>
      <c r="VAX20" s="94"/>
      <c r="VAY20" s="94"/>
      <c r="VAZ20" s="94"/>
      <c r="VBA20" s="94"/>
      <c r="VBB20" s="94"/>
      <c r="VBC20" s="94"/>
      <c r="VBD20" s="94"/>
      <c r="VBE20" s="94"/>
      <c r="VBF20" s="94"/>
      <c r="VBG20" s="94"/>
      <c r="VBH20" s="94"/>
      <c r="VBI20" s="94"/>
      <c r="VBJ20" s="94"/>
      <c r="VBK20" s="94"/>
      <c r="VBL20" s="94"/>
      <c r="VBM20" s="94"/>
      <c r="VBN20" s="94"/>
      <c r="VBO20" s="94"/>
      <c r="VBP20" s="94"/>
      <c r="VBQ20" s="94"/>
      <c r="VBR20" s="94"/>
      <c r="VBS20" s="94"/>
      <c r="VBT20" s="94"/>
      <c r="VBU20" s="94"/>
      <c r="VBV20" s="94"/>
      <c r="VBW20" s="94"/>
      <c r="VBX20" s="94"/>
      <c r="VBY20" s="94"/>
      <c r="VBZ20" s="94"/>
      <c r="VCA20" s="94"/>
      <c r="VCB20" s="94"/>
      <c r="VCC20" s="94"/>
      <c r="VCD20" s="94"/>
      <c r="VCE20" s="94"/>
      <c r="VCF20" s="94"/>
      <c r="VCG20" s="94"/>
      <c r="VCH20" s="94"/>
      <c r="VCI20" s="94"/>
      <c r="VCJ20" s="94"/>
      <c r="VCK20" s="94"/>
      <c r="VCL20" s="94"/>
      <c r="VCM20" s="94"/>
      <c r="VCN20" s="94"/>
      <c r="VCO20" s="94"/>
      <c r="VCP20" s="94"/>
      <c r="VCQ20" s="94"/>
      <c r="VCR20" s="94"/>
      <c r="VCS20" s="94"/>
      <c r="VCT20" s="94"/>
      <c r="VCU20" s="94"/>
      <c r="VCV20" s="94"/>
      <c r="VCW20" s="94"/>
      <c r="VCX20" s="94"/>
      <c r="VCY20" s="94"/>
      <c r="VCZ20" s="94"/>
      <c r="VDA20" s="94"/>
      <c r="VDB20" s="94"/>
      <c r="VDC20" s="94"/>
      <c r="VDD20" s="94"/>
      <c r="VDE20" s="94"/>
      <c r="VDF20" s="94"/>
      <c r="VDG20" s="94"/>
      <c r="VDH20" s="94"/>
      <c r="VDI20" s="94"/>
      <c r="VDJ20" s="94"/>
      <c r="VDK20" s="94"/>
      <c r="VDL20" s="94"/>
      <c r="VDM20" s="94"/>
      <c r="VDN20" s="94"/>
      <c r="VDO20" s="94"/>
      <c r="VDP20" s="94"/>
      <c r="VDQ20" s="94"/>
      <c r="VDR20" s="94"/>
      <c r="VDS20" s="94"/>
      <c r="VDT20" s="94"/>
      <c r="VDU20" s="94"/>
      <c r="VDV20" s="94"/>
      <c r="VDW20" s="94"/>
      <c r="VDX20" s="94"/>
      <c r="VDY20" s="94"/>
      <c r="VDZ20" s="94"/>
      <c r="VEA20" s="94"/>
      <c r="VEB20" s="94"/>
      <c r="VEC20" s="94"/>
      <c r="VED20" s="94"/>
      <c r="VEE20" s="94"/>
      <c r="VEF20" s="94"/>
      <c r="VEG20" s="94"/>
      <c r="VEH20" s="94"/>
      <c r="VEI20" s="94"/>
      <c r="VEJ20" s="94"/>
      <c r="VEK20" s="94"/>
      <c r="VEL20" s="94"/>
      <c r="VEM20" s="94"/>
      <c r="VEN20" s="94"/>
      <c r="VEO20" s="94"/>
      <c r="VEP20" s="94"/>
      <c r="VEQ20" s="94"/>
      <c r="VER20" s="94"/>
      <c r="VES20" s="94"/>
      <c r="VET20" s="94"/>
      <c r="VEU20" s="94"/>
      <c r="VEV20" s="94"/>
      <c r="VEW20" s="94"/>
      <c r="VEX20" s="94"/>
      <c r="VEY20" s="94"/>
      <c r="VEZ20" s="94"/>
      <c r="VFA20" s="94"/>
      <c r="VFB20" s="94"/>
      <c r="VFC20" s="94"/>
      <c r="VFD20" s="94"/>
      <c r="VFE20" s="94"/>
      <c r="VFF20" s="94"/>
      <c r="VFG20" s="94"/>
      <c r="VFH20" s="94"/>
      <c r="VFI20" s="94"/>
      <c r="VFJ20" s="94"/>
      <c r="VFK20" s="94"/>
      <c r="VFL20" s="94"/>
      <c r="VFM20" s="94"/>
      <c r="VFN20" s="94"/>
      <c r="VFO20" s="94"/>
      <c r="VFP20" s="94"/>
      <c r="VFQ20" s="94"/>
      <c r="VFR20" s="94"/>
      <c r="VFS20" s="94"/>
      <c r="VFT20" s="94"/>
      <c r="VFU20" s="94"/>
      <c r="VFV20" s="94"/>
      <c r="VFW20" s="94"/>
      <c r="VFX20" s="94"/>
      <c r="VFY20" s="94"/>
      <c r="VFZ20" s="94"/>
      <c r="VGA20" s="94"/>
      <c r="VGB20" s="94"/>
      <c r="VGC20" s="94"/>
      <c r="VGD20" s="94"/>
      <c r="VGE20" s="94"/>
      <c r="VGF20" s="94"/>
      <c r="VGG20" s="94"/>
      <c r="VGH20" s="94"/>
      <c r="VGI20" s="94"/>
      <c r="VGJ20" s="94"/>
      <c r="VGK20" s="94"/>
      <c r="VGL20" s="94"/>
      <c r="VGM20" s="94"/>
      <c r="VGN20" s="94"/>
      <c r="VGO20" s="94"/>
      <c r="VGP20" s="94"/>
      <c r="VGQ20" s="94"/>
      <c r="VGR20" s="94"/>
      <c r="VGS20" s="94"/>
      <c r="VGT20" s="94"/>
      <c r="VGU20" s="94"/>
      <c r="VGV20" s="94"/>
      <c r="VGW20" s="94"/>
      <c r="VGX20" s="94"/>
      <c r="VGY20" s="94"/>
      <c r="VGZ20" s="94"/>
      <c r="VHA20" s="94"/>
      <c r="VHB20" s="94"/>
      <c r="VHC20" s="94"/>
      <c r="VHD20" s="94"/>
      <c r="VHE20" s="94"/>
      <c r="VHF20" s="94"/>
      <c r="VHG20" s="94"/>
      <c r="VHH20" s="94"/>
      <c r="VHI20" s="94"/>
      <c r="VHJ20" s="94"/>
      <c r="VHK20" s="94"/>
      <c r="VHL20" s="94"/>
      <c r="VHM20" s="94"/>
      <c r="VHN20" s="94"/>
      <c r="VHO20" s="94"/>
      <c r="VHP20" s="94"/>
      <c r="VHQ20" s="94"/>
      <c r="VHR20" s="94"/>
      <c r="VHS20" s="94"/>
      <c r="VHT20" s="94"/>
      <c r="VHU20" s="94"/>
      <c r="VHV20" s="94"/>
      <c r="VHW20" s="94"/>
      <c r="VHX20" s="94"/>
      <c r="VHY20" s="94"/>
      <c r="VHZ20" s="94"/>
      <c r="VIA20" s="94"/>
      <c r="VIB20" s="94"/>
      <c r="VIC20" s="94"/>
      <c r="VID20" s="94"/>
      <c r="VIE20" s="94"/>
      <c r="VIF20" s="94"/>
      <c r="VIG20" s="94"/>
      <c r="VIH20" s="94"/>
      <c r="VII20" s="94"/>
      <c r="VIJ20" s="94"/>
      <c r="VIK20" s="94"/>
      <c r="VIL20" s="94"/>
      <c r="VIM20" s="94"/>
      <c r="VIN20" s="94"/>
      <c r="VIO20" s="94"/>
      <c r="VIP20" s="94"/>
      <c r="VIQ20" s="94"/>
      <c r="VIR20" s="94"/>
      <c r="VIS20" s="94"/>
      <c r="VIT20" s="94"/>
      <c r="VIU20" s="94"/>
      <c r="VIV20" s="94"/>
      <c r="VIW20" s="94"/>
      <c r="VIX20" s="94"/>
      <c r="VIY20" s="94"/>
      <c r="VIZ20" s="94"/>
      <c r="VJA20" s="94"/>
      <c r="VJB20" s="94"/>
      <c r="VJC20" s="94"/>
      <c r="VJD20" s="94"/>
      <c r="VJE20" s="94"/>
      <c r="VJF20" s="94"/>
      <c r="VJG20" s="94"/>
      <c r="VJH20" s="94"/>
      <c r="VJI20" s="94"/>
      <c r="VJJ20" s="94"/>
      <c r="VJK20" s="94"/>
      <c r="VJL20" s="94"/>
      <c r="VJM20" s="94"/>
      <c r="VJN20" s="94"/>
      <c r="VJO20" s="94"/>
      <c r="VJP20" s="94"/>
      <c r="VJQ20" s="94"/>
      <c r="VJR20" s="94"/>
      <c r="VJS20" s="94"/>
      <c r="VJT20" s="94"/>
      <c r="VJU20" s="94"/>
      <c r="VJV20" s="94"/>
      <c r="VJW20" s="94"/>
      <c r="VJX20" s="94"/>
      <c r="VJY20" s="94"/>
      <c r="VJZ20" s="94"/>
      <c r="VKA20" s="94"/>
      <c r="VKB20" s="94"/>
      <c r="VKC20" s="94"/>
      <c r="VKD20" s="94"/>
      <c r="VKE20" s="94"/>
      <c r="VKF20" s="94"/>
      <c r="VKG20" s="94"/>
      <c r="VKH20" s="94"/>
      <c r="VKI20" s="94"/>
      <c r="VKJ20" s="94"/>
      <c r="VKK20" s="94"/>
      <c r="VKL20" s="94"/>
      <c r="VKM20" s="94"/>
      <c r="VKN20" s="94"/>
      <c r="VKO20" s="94"/>
      <c r="VKP20" s="94"/>
      <c r="VKQ20" s="94"/>
      <c r="VKR20" s="94"/>
      <c r="VKS20" s="94"/>
      <c r="VKT20" s="94"/>
      <c r="VKU20" s="94"/>
      <c r="VKV20" s="94"/>
      <c r="VKW20" s="94"/>
      <c r="VKX20" s="94"/>
      <c r="VKY20" s="94"/>
      <c r="VKZ20" s="94"/>
      <c r="VLA20" s="94"/>
      <c r="VLB20" s="94"/>
      <c r="VLC20" s="94"/>
      <c r="VLD20" s="94"/>
      <c r="VLE20" s="94"/>
      <c r="VLF20" s="94"/>
      <c r="VLG20" s="94"/>
      <c r="VLH20" s="94"/>
      <c r="VLI20" s="94"/>
      <c r="VLJ20" s="94"/>
      <c r="VLK20" s="94"/>
      <c r="VLL20" s="94"/>
      <c r="VLM20" s="94"/>
      <c r="VLN20" s="94"/>
      <c r="VLO20" s="94"/>
      <c r="VLP20" s="94"/>
      <c r="VLQ20" s="94"/>
      <c r="VLR20" s="94"/>
      <c r="VLS20" s="94"/>
      <c r="VLT20" s="94"/>
      <c r="VLU20" s="94"/>
      <c r="VLV20" s="94"/>
      <c r="VLW20" s="94"/>
      <c r="VLX20" s="94"/>
      <c r="VLY20" s="94"/>
      <c r="VLZ20" s="94"/>
      <c r="VMA20" s="94"/>
      <c r="VMB20" s="94"/>
      <c r="VMC20" s="94"/>
      <c r="VMD20" s="94"/>
      <c r="VME20" s="94"/>
      <c r="VMF20" s="94"/>
      <c r="VMG20" s="94"/>
      <c r="VMH20" s="94"/>
      <c r="VMI20" s="94"/>
      <c r="VMJ20" s="94"/>
      <c r="VMK20" s="94"/>
      <c r="VML20" s="94"/>
      <c r="VMM20" s="94"/>
      <c r="VMN20" s="94"/>
      <c r="VMO20" s="94"/>
      <c r="VMP20" s="94"/>
      <c r="VMQ20" s="94"/>
      <c r="VMR20" s="94"/>
      <c r="VMS20" s="94"/>
      <c r="VMT20" s="94"/>
      <c r="VMU20" s="94"/>
      <c r="VMV20" s="94"/>
      <c r="VMW20" s="94"/>
      <c r="VMX20" s="94"/>
      <c r="VMY20" s="94"/>
      <c r="VMZ20" s="94"/>
      <c r="VNA20" s="94"/>
      <c r="VNB20" s="94"/>
      <c r="VNC20" s="94"/>
      <c r="VND20" s="94"/>
      <c r="VNE20" s="94"/>
      <c r="VNF20" s="94"/>
      <c r="VNG20" s="94"/>
      <c r="VNH20" s="94"/>
      <c r="VNI20" s="94"/>
      <c r="VNJ20" s="94"/>
      <c r="VNK20" s="94"/>
      <c r="VNL20" s="94"/>
      <c r="VNM20" s="94"/>
      <c r="VNN20" s="94"/>
      <c r="VNO20" s="94"/>
      <c r="VNP20" s="94"/>
      <c r="VNQ20" s="94"/>
      <c r="VNR20" s="94"/>
      <c r="VNS20" s="94"/>
      <c r="VNT20" s="94"/>
      <c r="VNU20" s="94"/>
      <c r="VNV20" s="94"/>
      <c r="VNW20" s="94"/>
      <c r="VNX20" s="94"/>
      <c r="VNY20" s="94"/>
      <c r="VNZ20" s="94"/>
      <c r="VOA20" s="94"/>
      <c r="VOB20" s="94"/>
      <c r="VOC20" s="94"/>
      <c r="VOD20" s="94"/>
      <c r="VOE20" s="94"/>
      <c r="VOF20" s="94"/>
      <c r="VOG20" s="94"/>
      <c r="VOH20" s="94"/>
      <c r="VOI20" s="94"/>
      <c r="VOJ20" s="94"/>
      <c r="VOK20" s="94"/>
      <c r="VOL20" s="94"/>
      <c r="VOM20" s="94"/>
      <c r="VON20" s="94"/>
      <c r="VOO20" s="94"/>
      <c r="VOP20" s="94"/>
      <c r="VOQ20" s="94"/>
      <c r="VOR20" s="94"/>
      <c r="VOS20" s="94"/>
      <c r="VOT20" s="94"/>
      <c r="VOU20" s="94"/>
      <c r="VOV20" s="94"/>
      <c r="VOW20" s="94"/>
      <c r="VOX20" s="94"/>
      <c r="VOY20" s="94"/>
      <c r="VOZ20" s="94"/>
      <c r="VPA20" s="94"/>
      <c r="VPB20" s="94"/>
      <c r="VPC20" s="94"/>
      <c r="VPD20" s="94"/>
      <c r="VPE20" s="94"/>
      <c r="VPF20" s="94"/>
      <c r="VPG20" s="94"/>
      <c r="VPH20" s="94"/>
      <c r="VPI20" s="94"/>
      <c r="VPJ20" s="94"/>
      <c r="VPK20" s="94"/>
      <c r="VPL20" s="94"/>
      <c r="VPM20" s="94"/>
      <c r="VPN20" s="94"/>
      <c r="VPO20" s="94"/>
      <c r="VPP20" s="94"/>
      <c r="VPQ20" s="94"/>
      <c r="VPR20" s="94"/>
      <c r="VPS20" s="94"/>
      <c r="VPT20" s="94"/>
      <c r="VPU20" s="94"/>
      <c r="VPV20" s="94"/>
      <c r="VPW20" s="94"/>
      <c r="VPX20" s="94"/>
      <c r="VPY20" s="94"/>
      <c r="VPZ20" s="94"/>
      <c r="VQA20" s="94"/>
      <c r="VQB20" s="94"/>
      <c r="VQC20" s="94"/>
      <c r="VQD20" s="94"/>
      <c r="VQE20" s="94"/>
      <c r="VQF20" s="94"/>
      <c r="VQG20" s="94"/>
      <c r="VQH20" s="94"/>
      <c r="VQI20" s="94"/>
      <c r="VQJ20" s="94"/>
      <c r="VQK20" s="94"/>
      <c r="VQL20" s="94"/>
      <c r="VQM20" s="94"/>
      <c r="VQN20" s="94"/>
      <c r="VQO20" s="94"/>
      <c r="VQP20" s="94"/>
      <c r="VQQ20" s="94"/>
      <c r="VQR20" s="94"/>
      <c r="VQS20" s="94"/>
      <c r="VQT20" s="94"/>
      <c r="VQU20" s="94"/>
      <c r="VQV20" s="94"/>
      <c r="VQW20" s="94"/>
      <c r="VQX20" s="94"/>
      <c r="VQY20" s="94"/>
      <c r="VQZ20" s="94"/>
      <c r="VRA20" s="94"/>
      <c r="VRB20" s="94"/>
      <c r="VRC20" s="94"/>
      <c r="VRD20" s="94"/>
      <c r="VRE20" s="94"/>
      <c r="VRF20" s="94"/>
      <c r="VRG20" s="94"/>
      <c r="VRH20" s="94"/>
      <c r="VRI20" s="94"/>
      <c r="VRJ20" s="94"/>
      <c r="VRK20" s="94"/>
      <c r="VRL20" s="94"/>
      <c r="VRM20" s="94"/>
      <c r="VRN20" s="94"/>
      <c r="VRO20" s="94"/>
      <c r="VRP20" s="94"/>
      <c r="VRQ20" s="94"/>
      <c r="VRR20" s="94"/>
      <c r="VRS20" s="94"/>
      <c r="VRT20" s="94"/>
      <c r="VRU20" s="94"/>
      <c r="VRV20" s="94"/>
      <c r="VRW20" s="94"/>
      <c r="VRX20" s="94"/>
      <c r="VRY20" s="94"/>
      <c r="VRZ20" s="94"/>
      <c r="VSA20" s="94"/>
      <c r="VSB20" s="94"/>
      <c r="VSC20" s="94"/>
      <c r="VSD20" s="94"/>
      <c r="VSE20" s="94"/>
      <c r="VSF20" s="94"/>
      <c r="VSG20" s="94"/>
      <c r="VSH20" s="94"/>
      <c r="VSI20" s="94"/>
      <c r="VSJ20" s="94"/>
      <c r="VSK20" s="94"/>
      <c r="VSL20" s="94"/>
      <c r="VSM20" s="94"/>
      <c r="VSN20" s="94"/>
      <c r="VSO20" s="94"/>
      <c r="VSP20" s="94"/>
      <c r="VSQ20" s="94"/>
      <c r="VSR20" s="94"/>
      <c r="VSS20" s="94"/>
      <c r="VST20" s="94"/>
      <c r="VSU20" s="94"/>
      <c r="VSV20" s="94"/>
      <c r="VSW20" s="94"/>
      <c r="VSX20" s="94"/>
      <c r="VSY20" s="94"/>
      <c r="VSZ20" s="94"/>
      <c r="VTA20" s="94"/>
      <c r="VTB20" s="94"/>
      <c r="VTC20" s="94"/>
      <c r="VTD20" s="94"/>
      <c r="VTE20" s="94"/>
      <c r="VTF20" s="94"/>
      <c r="VTG20" s="94"/>
      <c r="VTH20" s="94"/>
      <c r="VTI20" s="94"/>
      <c r="VTJ20" s="94"/>
      <c r="VTK20" s="94"/>
      <c r="VTL20" s="94"/>
      <c r="VTM20" s="94"/>
      <c r="VTN20" s="94"/>
      <c r="VTO20" s="94"/>
      <c r="VTP20" s="94"/>
      <c r="VTQ20" s="94"/>
      <c r="VTR20" s="94"/>
      <c r="VTS20" s="94"/>
      <c r="VTT20" s="94"/>
      <c r="VTU20" s="94"/>
      <c r="VTV20" s="94"/>
      <c r="VTW20" s="94"/>
      <c r="VTX20" s="94"/>
      <c r="VTY20" s="94"/>
      <c r="VTZ20" s="94"/>
      <c r="VUA20" s="94"/>
      <c r="VUB20" s="94"/>
      <c r="VUC20" s="94"/>
      <c r="VUD20" s="94"/>
      <c r="VUE20" s="94"/>
      <c r="VUF20" s="94"/>
      <c r="VUG20" s="94"/>
      <c r="VUH20" s="94"/>
      <c r="VUI20" s="94"/>
      <c r="VUJ20" s="94"/>
      <c r="VUK20" s="94"/>
      <c r="VUL20" s="94"/>
      <c r="VUM20" s="94"/>
      <c r="VUN20" s="94"/>
      <c r="VUO20" s="94"/>
      <c r="VUP20" s="94"/>
      <c r="VUQ20" s="94"/>
      <c r="VUR20" s="94"/>
      <c r="VUS20" s="94"/>
      <c r="VUT20" s="94"/>
      <c r="VUU20" s="94"/>
      <c r="VUV20" s="94"/>
      <c r="VUW20" s="94"/>
      <c r="VUX20" s="94"/>
      <c r="VUY20" s="94"/>
      <c r="VUZ20" s="94"/>
      <c r="VVA20" s="94"/>
      <c r="VVB20" s="94"/>
      <c r="VVC20" s="94"/>
      <c r="VVD20" s="94"/>
      <c r="VVE20" s="94"/>
      <c r="VVF20" s="94"/>
      <c r="VVG20" s="94"/>
      <c r="VVH20" s="94"/>
      <c r="VVI20" s="94"/>
      <c r="VVJ20" s="94"/>
      <c r="VVK20" s="94"/>
      <c r="VVL20" s="94"/>
      <c r="VVM20" s="94"/>
      <c r="VVN20" s="94"/>
      <c r="VVO20" s="94"/>
      <c r="VVP20" s="94"/>
      <c r="VVQ20" s="94"/>
      <c r="VVR20" s="94"/>
      <c r="VVS20" s="94"/>
      <c r="VVT20" s="94"/>
      <c r="VVU20" s="94"/>
      <c r="VVV20" s="94"/>
      <c r="VVW20" s="94"/>
      <c r="VVX20" s="94"/>
      <c r="VVY20" s="94"/>
      <c r="VVZ20" s="94"/>
      <c r="VWA20" s="94"/>
      <c r="VWB20" s="94"/>
      <c r="VWC20" s="94"/>
      <c r="VWD20" s="94"/>
      <c r="VWE20" s="94"/>
      <c r="VWF20" s="94"/>
      <c r="VWG20" s="94"/>
      <c r="VWH20" s="94"/>
      <c r="VWI20" s="94"/>
      <c r="VWJ20" s="94"/>
      <c r="VWK20" s="94"/>
      <c r="VWL20" s="94"/>
      <c r="VWM20" s="94"/>
      <c r="VWN20" s="94"/>
      <c r="VWO20" s="94"/>
      <c r="VWP20" s="94"/>
      <c r="VWQ20" s="94"/>
      <c r="VWR20" s="94"/>
      <c r="VWS20" s="94"/>
      <c r="VWT20" s="94"/>
      <c r="VWU20" s="94"/>
      <c r="VWV20" s="94"/>
      <c r="VWW20" s="94"/>
      <c r="VWX20" s="94"/>
      <c r="VWY20" s="94"/>
      <c r="VWZ20" s="94"/>
      <c r="VXA20" s="94"/>
      <c r="VXB20" s="94"/>
      <c r="VXC20" s="94"/>
      <c r="VXD20" s="94"/>
      <c r="VXE20" s="94"/>
      <c r="VXF20" s="94"/>
      <c r="VXG20" s="94"/>
      <c r="VXH20" s="94"/>
      <c r="VXI20" s="94"/>
      <c r="VXJ20" s="94"/>
      <c r="VXK20" s="94"/>
      <c r="VXL20" s="94"/>
      <c r="VXM20" s="94"/>
      <c r="VXN20" s="94"/>
      <c r="VXO20" s="94"/>
      <c r="VXP20" s="94"/>
      <c r="VXQ20" s="94"/>
      <c r="VXR20" s="94"/>
      <c r="VXS20" s="94"/>
      <c r="VXT20" s="94"/>
      <c r="VXU20" s="94"/>
      <c r="VXV20" s="94"/>
      <c r="VXW20" s="94"/>
      <c r="VXX20" s="94"/>
      <c r="VXY20" s="94"/>
      <c r="VXZ20" s="94"/>
      <c r="VYA20" s="94"/>
      <c r="VYB20" s="94"/>
      <c r="VYC20" s="94"/>
      <c r="VYD20" s="94"/>
      <c r="VYE20" s="94"/>
      <c r="VYF20" s="94"/>
      <c r="VYG20" s="94"/>
      <c r="VYH20" s="94"/>
      <c r="VYI20" s="94"/>
      <c r="VYJ20" s="94"/>
      <c r="VYK20" s="94"/>
      <c r="VYL20" s="94"/>
      <c r="VYM20" s="94"/>
      <c r="VYN20" s="94"/>
      <c r="VYO20" s="94"/>
      <c r="VYP20" s="94"/>
      <c r="VYQ20" s="94"/>
      <c r="VYR20" s="94"/>
      <c r="VYS20" s="94"/>
      <c r="VYT20" s="94"/>
      <c r="VYU20" s="94"/>
      <c r="VYV20" s="94"/>
      <c r="VYW20" s="94"/>
      <c r="VYX20" s="94"/>
      <c r="VYY20" s="94"/>
      <c r="VYZ20" s="94"/>
      <c r="VZA20" s="94"/>
      <c r="VZB20" s="94"/>
      <c r="VZC20" s="94"/>
      <c r="VZD20" s="94"/>
      <c r="VZE20" s="94"/>
      <c r="VZF20" s="94"/>
      <c r="VZG20" s="94"/>
      <c r="VZH20" s="94"/>
      <c r="VZI20" s="94"/>
      <c r="VZJ20" s="94"/>
      <c r="VZK20" s="94"/>
      <c r="VZL20" s="94"/>
      <c r="VZM20" s="94"/>
      <c r="VZN20" s="94"/>
      <c r="VZO20" s="94"/>
      <c r="VZP20" s="94"/>
      <c r="VZQ20" s="94"/>
      <c r="VZR20" s="94"/>
      <c r="VZS20" s="94"/>
      <c r="VZT20" s="94"/>
      <c r="VZU20" s="94"/>
      <c r="VZV20" s="94"/>
      <c r="VZW20" s="94"/>
      <c r="VZX20" s="94"/>
      <c r="VZY20" s="94"/>
      <c r="VZZ20" s="94"/>
      <c r="WAA20" s="94"/>
      <c r="WAB20" s="94"/>
      <c r="WAC20" s="94"/>
      <c r="WAD20" s="94"/>
      <c r="WAE20" s="94"/>
      <c r="WAF20" s="94"/>
      <c r="WAG20" s="94"/>
      <c r="WAH20" s="94"/>
      <c r="WAI20" s="94"/>
      <c r="WAJ20" s="94"/>
      <c r="WAK20" s="94"/>
      <c r="WAL20" s="94"/>
      <c r="WAM20" s="94"/>
      <c r="WAN20" s="94"/>
      <c r="WAO20" s="94"/>
      <c r="WAP20" s="94"/>
      <c r="WAQ20" s="94"/>
      <c r="WAR20" s="94"/>
      <c r="WAS20" s="94"/>
      <c r="WAT20" s="94"/>
      <c r="WAU20" s="94"/>
      <c r="WAV20" s="94"/>
      <c r="WAW20" s="94"/>
      <c r="WAX20" s="94"/>
      <c r="WAY20" s="94"/>
      <c r="WAZ20" s="94"/>
      <c r="WBA20" s="94"/>
      <c r="WBB20" s="94"/>
      <c r="WBC20" s="94"/>
      <c r="WBD20" s="94"/>
      <c r="WBE20" s="94"/>
      <c r="WBF20" s="94"/>
      <c r="WBG20" s="94"/>
      <c r="WBH20" s="94"/>
      <c r="WBI20" s="94"/>
      <c r="WBJ20" s="94"/>
      <c r="WBK20" s="94"/>
      <c r="WBL20" s="94"/>
      <c r="WBM20" s="94"/>
      <c r="WBN20" s="94"/>
      <c r="WBO20" s="94"/>
      <c r="WBP20" s="94"/>
      <c r="WBQ20" s="94"/>
      <c r="WBR20" s="94"/>
      <c r="WBS20" s="94"/>
      <c r="WBT20" s="94"/>
      <c r="WBU20" s="94"/>
      <c r="WBV20" s="94"/>
      <c r="WBW20" s="94"/>
      <c r="WBX20" s="94"/>
      <c r="WBY20" s="94"/>
      <c r="WBZ20" s="94"/>
      <c r="WCA20" s="94"/>
      <c r="WCB20" s="94"/>
      <c r="WCC20" s="94"/>
      <c r="WCD20" s="94"/>
      <c r="WCE20" s="94"/>
      <c r="WCF20" s="94"/>
      <c r="WCG20" s="94"/>
      <c r="WCH20" s="94"/>
      <c r="WCI20" s="94"/>
      <c r="WCJ20" s="94"/>
      <c r="WCK20" s="94"/>
      <c r="WCL20" s="94"/>
      <c r="WCM20" s="94"/>
      <c r="WCN20" s="94"/>
      <c r="WCO20" s="94"/>
      <c r="WCP20" s="94"/>
      <c r="WCQ20" s="94"/>
      <c r="WCR20" s="94"/>
      <c r="WCS20" s="94"/>
      <c r="WCT20" s="94"/>
      <c r="WCU20" s="94"/>
      <c r="WCV20" s="94"/>
      <c r="WCW20" s="94"/>
      <c r="WCX20" s="94"/>
      <c r="WCY20" s="94"/>
      <c r="WCZ20" s="94"/>
      <c r="WDA20" s="94"/>
      <c r="WDB20" s="94"/>
      <c r="WDC20" s="94"/>
      <c r="WDD20" s="94"/>
      <c r="WDE20" s="94"/>
      <c r="WDF20" s="94"/>
      <c r="WDG20" s="94"/>
      <c r="WDH20" s="94"/>
      <c r="WDI20" s="94"/>
      <c r="WDJ20" s="94"/>
      <c r="WDK20" s="94"/>
      <c r="WDL20" s="94"/>
      <c r="WDM20" s="94"/>
      <c r="WDN20" s="94"/>
      <c r="WDO20" s="94"/>
      <c r="WDP20" s="94"/>
      <c r="WDQ20" s="94"/>
      <c r="WDR20" s="94"/>
      <c r="WDS20" s="94"/>
      <c r="WDT20" s="94"/>
      <c r="WDU20" s="94"/>
      <c r="WDV20" s="94"/>
      <c r="WDW20" s="94"/>
      <c r="WDX20" s="94"/>
      <c r="WDY20" s="94"/>
      <c r="WDZ20" s="94"/>
      <c r="WEA20" s="94"/>
      <c r="WEB20" s="94"/>
      <c r="WEC20" s="94"/>
      <c r="WED20" s="94"/>
      <c r="WEE20" s="94"/>
      <c r="WEF20" s="94"/>
      <c r="WEG20" s="94"/>
      <c r="WEH20" s="94"/>
      <c r="WEI20" s="94"/>
      <c r="WEJ20" s="94"/>
      <c r="WEK20" s="94"/>
      <c r="WEL20" s="94"/>
      <c r="WEM20" s="94"/>
      <c r="WEN20" s="94"/>
      <c r="WEO20" s="94"/>
      <c r="WEP20" s="94"/>
      <c r="WEQ20" s="94"/>
      <c r="WER20" s="94"/>
      <c r="WES20" s="94"/>
      <c r="WET20" s="94"/>
      <c r="WEU20" s="94"/>
      <c r="WEV20" s="94"/>
      <c r="WEW20" s="94"/>
      <c r="WEX20" s="94"/>
      <c r="WEY20" s="94"/>
      <c r="WEZ20" s="94"/>
      <c r="WFA20" s="94"/>
      <c r="WFB20" s="94"/>
      <c r="WFC20" s="94"/>
      <c r="WFD20" s="94"/>
      <c r="WFE20" s="94"/>
      <c r="WFF20" s="94"/>
      <c r="WFG20" s="94"/>
      <c r="WFH20" s="94"/>
      <c r="WFI20" s="94"/>
      <c r="WFJ20" s="94"/>
      <c r="WFK20" s="94"/>
      <c r="WFL20" s="94"/>
      <c r="WFM20" s="94"/>
      <c r="WFN20" s="94"/>
      <c r="WFO20" s="94"/>
      <c r="WFP20" s="94"/>
      <c r="WFQ20" s="94"/>
      <c r="WFR20" s="94"/>
      <c r="WFS20" s="94"/>
      <c r="WFT20" s="94"/>
      <c r="WFU20" s="94"/>
      <c r="WFV20" s="94"/>
      <c r="WFW20" s="94"/>
      <c r="WFX20" s="94"/>
      <c r="WFY20" s="94"/>
      <c r="WFZ20" s="94"/>
      <c r="WGA20" s="94"/>
      <c r="WGB20" s="94"/>
      <c r="WGC20" s="94"/>
      <c r="WGD20" s="94"/>
      <c r="WGE20" s="94"/>
      <c r="WGF20" s="94"/>
      <c r="WGG20" s="94"/>
      <c r="WGH20" s="94"/>
      <c r="WGI20" s="94"/>
      <c r="WGJ20" s="94"/>
      <c r="WGK20" s="94"/>
      <c r="WGL20" s="94"/>
      <c r="WGM20" s="94"/>
      <c r="WGN20" s="94"/>
      <c r="WGO20" s="94"/>
      <c r="WGP20" s="94"/>
      <c r="WGQ20" s="94"/>
      <c r="WGR20" s="94"/>
      <c r="WGS20" s="94"/>
      <c r="WGT20" s="94"/>
      <c r="WGU20" s="94"/>
      <c r="WGV20" s="94"/>
      <c r="WGW20" s="94"/>
      <c r="WGX20" s="94"/>
      <c r="WGY20" s="94"/>
      <c r="WGZ20" s="94"/>
      <c r="WHA20" s="94"/>
      <c r="WHB20" s="94"/>
      <c r="WHC20" s="94"/>
      <c r="WHD20" s="94"/>
      <c r="WHE20" s="94"/>
      <c r="WHF20" s="94"/>
      <c r="WHG20" s="94"/>
      <c r="WHH20" s="94"/>
      <c r="WHI20" s="94"/>
      <c r="WHJ20" s="94"/>
      <c r="WHK20" s="94"/>
      <c r="WHL20" s="94"/>
      <c r="WHM20" s="94"/>
      <c r="WHN20" s="94"/>
      <c r="WHO20" s="94"/>
      <c r="WHP20" s="94"/>
      <c r="WHQ20" s="94"/>
      <c r="WHR20" s="94"/>
      <c r="WHS20" s="94"/>
      <c r="WHT20" s="94"/>
      <c r="WHU20" s="94"/>
      <c r="WHV20" s="94"/>
      <c r="WHW20" s="94"/>
      <c r="WHX20" s="94"/>
      <c r="WHY20" s="94"/>
      <c r="WHZ20" s="94"/>
      <c r="WIA20" s="94"/>
      <c r="WIB20" s="94"/>
      <c r="WIC20" s="94"/>
      <c r="WID20" s="94"/>
      <c r="WIE20" s="94"/>
      <c r="WIF20" s="94"/>
      <c r="WIG20" s="94"/>
      <c r="WIH20" s="94"/>
      <c r="WII20" s="94"/>
      <c r="WIJ20" s="94"/>
      <c r="WIK20" s="94"/>
      <c r="WIL20" s="94"/>
      <c r="WIM20" s="94"/>
      <c r="WIN20" s="94"/>
      <c r="WIO20" s="94"/>
      <c r="WIP20" s="94"/>
      <c r="WIQ20" s="94"/>
      <c r="WIR20" s="94"/>
      <c r="WIS20" s="94"/>
      <c r="WIT20" s="94"/>
      <c r="WIU20" s="94"/>
      <c r="WIV20" s="94"/>
      <c r="WIW20" s="94"/>
      <c r="WIX20" s="94"/>
      <c r="WIY20" s="94"/>
      <c r="WIZ20" s="94"/>
      <c r="WJA20" s="94"/>
      <c r="WJB20" s="94"/>
      <c r="WJC20" s="94"/>
      <c r="WJD20" s="94"/>
      <c r="WJE20" s="94"/>
      <c r="WJF20" s="94"/>
      <c r="WJG20" s="94"/>
      <c r="WJH20" s="94"/>
      <c r="WJI20" s="94"/>
      <c r="WJJ20" s="94"/>
      <c r="WJK20" s="94"/>
      <c r="WJL20" s="94"/>
      <c r="WJM20" s="94"/>
      <c r="WJN20" s="94"/>
      <c r="WJO20" s="94"/>
      <c r="WJP20" s="94"/>
      <c r="WJQ20" s="94"/>
      <c r="WJR20" s="94"/>
      <c r="WJS20" s="94"/>
      <c r="WJT20" s="94"/>
      <c r="WJU20" s="94"/>
      <c r="WJV20" s="94"/>
      <c r="WJW20" s="94"/>
      <c r="WJX20" s="94"/>
      <c r="WJY20" s="94"/>
      <c r="WJZ20" s="94"/>
      <c r="WKA20" s="94"/>
      <c r="WKB20" s="94"/>
      <c r="WKC20" s="94"/>
      <c r="WKD20" s="94"/>
      <c r="WKE20" s="94"/>
      <c r="WKF20" s="94"/>
      <c r="WKG20" s="94"/>
      <c r="WKH20" s="94"/>
      <c r="WKI20" s="94"/>
      <c r="WKJ20" s="94"/>
      <c r="WKK20" s="94"/>
      <c r="WKL20" s="94"/>
      <c r="WKM20" s="94"/>
      <c r="WKN20" s="94"/>
      <c r="WKO20" s="94"/>
      <c r="WKP20" s="94"/>
      <c r="WKQ20" s="94"/>
      <c r="WKR20" s="94"/>
      <c r="WKS20" s="94"/>
      <c r="WKT20" s="94"/>
      <c r="WKU20" s="94"/>
      <c r="WKV20" s="94"/>
      <c r="WKW20" s="94"/>
      <c r="WKX20" s="94"/>
      <c r="WKY20" s="94"/>
      <c r="WKZ20" s="94"/>
      <c r="WLA20" s="94"/>
      <c r="WLB20" s="94"/>
      <c r="WLC20" s="94"/>
      <c r="WLD20" s="94"/>
      <c r="WLE20" s="94"/>
      <c r="WLF20" s="94"/>
      <c r="WLG20" s="94"/>
      <c r="WLH20" s="94"/>
      <c r="WLI20" s="94"/>
      <c r="WLJ20" s="94"/>
      <c r="WLK20" s="94"/>
      <c r="WLL20" s="94"/>
      <c r="WLM20" s="94"/>
      <c r="WLN20" s="94"/>
      <c r="WLO20" s="94"/>
      <c r="WLP20" s="94"/>
      <c r="WLQ20" s="94"/>
      <c r="WLR20" s="94"/>
      <c r="WLS20" s="94"/>
      <c r="WLT20" s="94"/>
      <c r="WLU20" s="94"/>
      <c r="WLV20" s="94"/>
      <c r="WLW20" s="94"/>
      <c r="WLX20" s="94"/>
      <c r="WLY20" s="94"/>
      <c r="WLZ20" s="94"/>
      <c r="WMA20" s="94"/>
      <c r="WMB20" s="94"/>
      <c r="WMC20" s="94"/>
      <c r="WMD20" s="94"/>
      <c r="WME20" s="94"/>
      <c r="WMF20" s="94"/>
      <c r="WMG20" s="94"/>
      <c r="WMH20" s="94"/>
      <c r="WMI20" s="94"/>
      <c r="WMJ20" s="94"/>
      <c r="WMK20" s="94"/>
      <c r="WML20" s="94"/>
      <c r="WMM20" s="94"/>
      <c r="WMN20" s="94"/>
      <c r="WMO20" s="94"/>
      <c r="WMP20" s="94"/>
      <c r="WMQ20" s="94"/>
      <c r="WMR20" s="94"/>
      <c r="WMS20" s="94"/>
      <c r="WMT20" s="94"/>
      <c r="WMU20" s="94"/>
      <c r="WMV20" s="94"/>
      <c r="WMW20" s="94"/>
      <c r="WMX20" s="94"/>
      <c r="WMY20" s="94"/>
      <c r="WMZ20" s="94"/>
      <c r="WNA20" s="94"/>
      <c r="WNB20" s="94"/>
      <c r="WNC20" s="94"/>
      <c r="WND20" s="94"/>
      <c r="WNE20" s="94"/>
      <c r="WNF20" s="94"/>
      <c r="WNG20" s="94"/>
      <c r="WNH20" s="94"/>
      <c r="WNI20" s="94"/>
      <c r="WNJ20" s="94"/>
      <c r="WNK20" s="94"/>
      <c r="WNL20" s="94"/>
      <c r="WNM20" s="94"/>
      <c r="WNN20" s="94"/>
      <c r="WNO20" s="94"/>
      <c r="WNP20" s="94"/>
      <c r="WNQ20" s="94"/>
      <c r="WNR20" s="94"/>
      <c r="WNS20" s="94"/>
      <c r="WNT20" s="94"/>
      <c r="WNU20" s="94"/>
      <c r="WNV20" s="94"/>
      <c r="WNW20" s="94"/>
      <c r="WNX20" s="94"/>
      <c r="WNY20" s="94"/>
      <c r="WNZ20" s="94"/>
      <c r="WOA20" s="94"/>
      <c r="WOB20" s="94"/>
      <c r="WOC20" s="94"/>
      <c r="WOD20" s="94"/>
      <c r="WOE20" s="94"/>
      <c r="WOF20" s="94"/>
      <c r="WOG20" s="94"/>
      <c r="WOH20" s="94"/>
      <c r="WOI20" s="94"/>
      <c r="WOJ20" s="94"/>
      <c r="WOK20" s="94"/>
      <c r="WOL20" s="94"/>
      <c r="WOM20" s="94"/>
      <c r="WON20" s="94"/>
      <c r="WOO20" s="94"/>
      <c r="WOP20" s="94"/>
      <c r="WOQ20" s="94"/>
      <c r="WOR20" s="94"/>
      <c r="WOS20" s="94"/>
      <c r="WOT20" s="94"/>
      <c r="WOU20" s="94"/>
      <c r="WOV20" s="94"/>
      <c r="WOW20" s="94"/>
      <c r="WOX20" s="94"/>
      <c r="WOY20" s="94"/>
      <c r="WOZ20" s="94"/>
      <c r="WPA20" s="94"/>
      <c r="WPB20" s="94"/>
      <c r="WPC20" s="94"/>
      <c r="WPD20" s="94"/>
      <c r="WPE20" s="94"/>
      <c r="WPF20" s="94"/>
      <c r="WPG20" s="94"/>
      <c r="WPH20" s="94"/>
      <c r="WPI20" s="94"/>
      <c r="WPJ20" s="94"/>
      <c r="WPK20" s="94"/>
      <c r="WPL20" s="94"/>
      <c r="WPM20" s="94"/>
      <c r="WPN20" s="94"/>
      <c r="WPO20" s="94"/>
      <c r="WPP20" s="94"/>
      <c r="WPQ20" s="94"/>
      <c r="WPR20" s="94"/>
      <c r="WPS20" s="94"/>
      <c r="WPT20" s="94"/>
      <c r="WPU20" s="94"/>
      <c r="WPV20" s="94"/>
      <c r="WPW20" s="94"/>
      <c r="WPX20" s="94"/>
      <c r="WPY20" s="94"/>
      <c r="WPZ20" s="94"/>
      <c r="WQA20" s="94"/>
      <c r="WQB20" s="94"/>
      <c r="WQC20" s="94"/>
      <c r="WQD20" s="94"/>
      <c r="WQE20" s="94"/>
      <c r="WQF20" s="94"/>
      <c r="WQG20" s="94"/>
      <c r="WQH20" s="94"/>
      <c r="WQI20" s="94"/>
      <c r="WQJ20" s="94"/>
      <c r="WQK20" s="94"/>
      <c r="WQL20" s="94"/>
      <c r="WQM20" s="94"/>
      <c r="WQN20" s="94"/>
      <c r="WQO20" s="94"/>
      <c r="WQP20" s="94"/>
      <c r="WQQ20" s="94"/>
      <c r="WQR20" s="94"/>
      <c r="WQS20" s="94"/>
      <c r="WQT20" s="94"/>
      <c r="WQU20" s="94"/>
      <c r="WQV20" s="94"/>
      <c r="WQW20" s="94"/>
      <c r="WQX20" s="94"/>
      <c r="WQY20" s="94"/>
      <c r="WQZ20" s="94"/>
      <c r="WRA20" s="94"/>
      <c r="WRB20" s="94"/>
      <c r="WRC20" s="94"/>
      <c r="WRD20" s="94"/>
      <c r="WRE20" s="94"/>
      <c r="WRF20" s="94"/>
      <c r="WRG20" s="94"/>
      <c r="WRH20" s="94"/>
      <c r="WRI20" s="94"/>
      <c r="WRJ20" s="94"/>
      <c r="WRK20" s="94"/>
      <c r="WRL20" s="94"/>
      <c r="WRM20" s="94"/>
      <c r="WRN20" s="94"/>
      <c r="WRO20" s="94"/>
      <c r="WRP20" s="94"/>
      <c r="WRQ20" s="94"/>
      <c r="WRR20" s="94"/>
      <c r="WRS20" s="94"/>
      <c r="WRT20" s="94"/>
      <c r="WRU20" s="94"/>
      <c r="WRV20" s="94"/>
      <c r="WRW20" s="94"/>
      <c r="WRX20" s="94"/>
      <c r="WRY20" s="94"/>
      <c r="WRZ20" s="94"/>
      <c r="WSA20" s="94"/>
      <c r="WSB20" s="94"/>
      <c r="WSC20" s="94"/>
      <c r="WSD20" s="94"/>
      <c r="WSE20" s="94"/>
      <c r="WSF20" s="94"/>
      <c r="WSG20" s="94"/>
      <c r="WSH20" s="94"/>
      <c r="WSI20" s="94"/>
      <c r="WSJ20" s="94"/>
      <c r="WSK20" s="94"/>
      <c r="WSL20" s="94"/>
      <c r="WSM20" s="94"/>
      <c r="WSN20" s="94"/>
      <c r="WSO20" s="94"/>
      <c r="WSP20" s="94"/>
      <c r="WSQ20" s="94"/>
      <c r="WSR20" s="94"/>
      <c r="WSS20" s="94"/>
      <c r="WST20" s="94"/>
      <c r="WSU20" s="94"/>
      <c r="WSV20" s="94"/>
      <c r="WSW20" s="94"/>
      <c r="WSX20" s="94"/>
      <c r="WSY20" s="94"/>
      <c r="WSZ20" s="94"/>
      <c r="WTA20" s="94"/>
      <c r="WTB20" s="94"/>
      <c r="WTC20" s="94"/>
      <c r="WTD20" s="94"/>
      <c r="WTE20" s="94"/>
      <c r="WTF20" s="94"/>
      <c r="WTG20" s="94"/>
      <c r="WTH20" s="94"/>
      <c r="WTI20" s="94"/>
      <c r="WTJ20" s="94"/>
      <c r="WTK20" s="94"/>
      <c r="WTL20" s="94"/>
      <c r="WTM20" s="94"/>
      <c r="WTN20" s="94"/>
      <c r="WTO20" s="94"/>
      <c r="WTP20" s="94"/>
      <c r="WTQ20" s="94"/>
      <c r="WTR20" s="94"/>
      <c r="WTS20" s="94"/>
      <c r="WTT20" s="94"/>
      <c r="WTU20" s="94"/>
      <c r="WTV20" s="94"/>
      <c r="WTW20" s="94"/>
      <c r="WTX20" s="94"/>
      <c r="WTY20" s="94"/>
      <c r="WTZ20" s="94"/>
      <c r="WUA20" s="94"/>
      <c r="WUB20" s="94"/>
      <c r="WUC20" s="94"/>
      <c r="WUD20" s="94"/>
      <c r="WUE20" s="94"/>
      <c r="WUF20" s="94"/>
      <c r="WUG20" s="94"/>
      <c r="WUH20" s="94"/>
      <c r="WUI20" s="94"/>
      <c r="WUJ20" s="94"/>
      <c r="WUK20" s="94"/>
      <c r="WUL20" s="94"/>
      <c r="WUM20" s="94"/>
      <c r="WUN20" s="94"/>
      <c r="WUO20" s="94"/>
      <c r="WUP20" s="94"/>
      <c r="WUQ20" s="94"/>
      <c r="WUR20" s="94"/>
      <c r="WUS20" s="94"/>
      <c r="WUT20" s="94"/>
      <c r="WUU20" s="94"/>
      <c r="WUV20" s="94"/>
      <c r="WUW20" s="94"/>
      <c r="WUX20" s="94"/>
      <c r="WUY20" s="94"/>
      <c r="WUZ20" s="94"/>
      <c r="WVA20" s="94"/>
      <c r="WVB20" s="94"/>
      <c r="WVC20" s="94"/>
      <c r="WVD20" s="94"/>
      <c r="WVE20" s="94"/>
      <c r="WVF20" s="94"/>
      <c r="WVG20" s="94"/>
      <c r="WVH20" s="94"/>
      <c r="WVI20" s="94"/>
      <c r="WVJ20" s="94"/>
      <c r="WVK20" s="94"/>
      <c r="WVL20" s="94"/>
      <c r="WVM20" s="94"/>
      <c r="WVN20" s="94"/>
      <c r="WVO20" s="94"/>
      <c r="WVP20" s="94"/>
      <c r="WVQ20" s="94"/>
      <c r="WVR20" s="94"/>
      <c r="WVS20" s="94"/>
      <c r="WVT20" s="94"/>
      <c r="WVU20" s="94"/>
      <c r="WVV20" s="94"/>
      <c r="WVW20" s="94"/>
      <c r="WVX20" s="94"/>
      <c r="WVY20" s="94"/>
      <c r="WVZ20" s="94"/>
      <c r="WWA20" s="94"/>
      <c r="WWB20" s="94"/>
      <c r="WWC20" s="94"/>
      <c r="WWD20" s="94"/>
      <c r="WWE20" s="94"/>
      <c r="WWF20" s="94"/>
      <c r="WWG20" s="94"/>
      <c r="WWH20" s="94"/>
      <c r="WWI20" s="94"/>
      <c r="WWJ20" s="94"/>
      <c r="WWK20" s="94"/>
      <c r="WWL20" s="94"/>
      <c r="WWM20" s="94"/>
      <c r="WWN20" s="94"/>
      <c r="WWO20" s="94"/>
      <c r="WWP20" s="94"/>
      <c r="WWQ20" s="94"/>
      <c r="WWR20" s="94"/>
      <c r="WWS20" s="94"/>
      <c r="WWT20" s="94"/>
      <c r="WWU20" s="94"/>
      <c r="WWV20" s="94"/>
      <c r="WWW20" s="94"/>
      <c r="WWX20" s="94"/>
      <c r="WWY20" s="94"/>
      <c r="WWZ20" s="94"/>
      <c r="WXA20" s="94"/>
      <c r="WXB20" s="94"/>
      <c r="WXC20" s="94"/>
      <c r="WXD20" s="94"/>
      <c r="WXE20" s="94"/>
      <c r="WXF20" s="94"/>
      <c r="WXG20" s="94"/>
      <c r="WXH20" s="94"/>
      <c r="WXI20" s="94"/>
      <c r="WXJ20" s="94"/>
      <c r="WXK20" s="94"/>
      <c r="WXL20" s="94"/>
      <c r="WXM20" s="94"/>
      <c r="WXN20" s="94"/>
      <c r="WXO20" s="94"/>
      <c r="WXP20" s="94"/>
      <c r="WXQ20" s="94"/>
      <c r="WXR20" s="94"/>
      <c r="WXS20" s="94"/>
      <c r="WXT20" s="94"/>
      <c r="WXU20" s="94"/>
      <c r="WXV20" s="94"/>
      <c r="WXW20" s="94"/>
      <c r="WXX20" s="94"/>
      <c r="WXY20" s="94"/>
      <c r="WXZ20" s="94"/>
      <c r="WYA20" s="94"/>
      <c r="WYB20" s="94"/>
      <c r="WYC20" s="94"/>
      <c r="WYD20" s="94"/>
      <c r="WYE20" s="94"/>
      <c r="WYF20" s="94"/>
      <c r="WYG20" s="94"/>
      <c r="WYH20" s="94"/>
      <c r="WYI20" s="94"/>
      <c r="WYJ20" s="94"/>
      <c r="WYK20" s="94"/>
      <c r="WYL20" s="94"/>
      <c r="WYM20" s="94"/>
      <c r="WYN20" s="94"/>
      <c r="WYO20" s="94"/>
      <c r="WYP20" s="94"/>
      <c r="WYQ20" s="94"/>
      <c r="WYR20" s="94"/>
      <c r="WYS20" s="94"/>
      <c r="WYT20" s="94"/>
      <c r="WYU20" s="94"/>
      <c r="WYV20" s="94"/>
      <c r="WYW20" s="94"/>
      <c r="WYX20" s="94"/>
      <c r="WYY20" s="94"/>
      <c r="WYZ20" s="94"/>
      <c r="WZA20" s="94"/>
      <c r="WZB20" s="94"/>
      <c r="WZC20" s="94"/>
      <c r="WZD20" s="94"/>
      <c r="WZE20" s="94"/>
      <c r="WZF20" s="94"/>
      <c r="WZG20" s="94"/>
      <c r="WZH20" s="94"/>
      <c r="WZI20" s="94"/>
      <c r="WZJ20" s="94"/>
      <c r="WZK20" s="94"/>
      <c r="WZL20" s="94"/>
      <c r="WZM20" s="94"/>
      <c r="WZN20" s="94"/>
      <c r="WZO20" s="94"/>
      <c r="WZP20" s="94"/>
      <c r="WZQ20" s="94"/>
      <c r="WZR20" s="94"/>
      <c r="WZS20" s="94"/>
      <c r="WZT20" s="94"/>
      <c r="WZU20" s="94"/>
      <c r="WZV20" s="94"/>
      <c r="WZW20" s="94"/>
      <c r="WZX20" s="94"/>
      <c r="WZY20" s="94"/>
      <c r="WZZ20" s="94"/>
      <c r="XAA20" s="94"/>
      <c r="XAB20" s="94"/>
      <c r="XAC20" s="94"/>
      <c r="XAD20" s="94"/>
      <c r="XAE20" s="94"/>
      <c r="XAF20" s="94"/>
      <c r="XAG20" s="94"/>
      <c r="XAH20" s="94"/>
      <c r="XAI20" s="94"/>
      <c r="XAJ20" s="94"/>
      <c r="XAK20" s="94"/>
      <c r="XAL20" s="94"/>
      <c r="XAM20" s="94"/>
      <c r="XAN20" s="94"/>
      <c r="XAO20" s="94"/>
      <c r="XAP20" s="94"/>
      <c r="XAQ20" s="94"/>
      <c r="XAR20" s="94"/>
      <c r="XAS20" s="94"/>
      <c r="XAT20" s="94"/>
      <c r="XAU20" s="94"/>
      <c r="XAV20" s="94"/>
      <c r="XAW20" s="94"/>
      <c r="XAX20" s="94"/>
      <c r="XAY20" s="94"/>
      <c r="XAZ20" s="94"/>
      <c r="XBA20" s="94"/>
      <c r="XBB20" s="94"/>
      <c r="XBC20" s="94"/>
      <c r="XBD20" s="94"/>
      <c r="XBE20" s="94"/>
      <c r="XBF20" s="94"/>
      <c r="XBG20" s="94"/>
      <c r="XBH20" s="94"/>
      <c r="XBI20" s="94"/>
      <c r="XBJ20" s="94"/>
      <c r="XBK20" s="94"/>
      <c r="XBL20" s="94"/>
      <c r="XBM20" s="94"/>
      <c r="XBN20" s="94"/>
      <c r="XBO20" s="94"/>
      <c r="XBP20" s="94"/>
      <c r="XBQ20" s="94"/>
      <c r="XBR20" s="94"/>
      <c r="XBS20" s="94"/>
      <c r="XBT20" s="94"/>
      <c r="XBU20" s="94"/>
      <c r="XBV20" s="94"/>
      <c r="XBW20" s="94"/>
      <c r="XBX20" s="94"/>
      <c r="XBY20" s="94"/>
      <c r="XBZ20" s="94"/>
      <c r="XCA20" s="94"/>
      <c r="XCB20" s="94"/>
      <c r="XCC20" s="94"/>
      <c r="XCD20" s="94"/>
      <c r="XCE20" s="94"/>
      <c r="XCF20" s="94"/>
      <c r="XCG20" s="94"/>
      <c r="XCH20" s="94"/>
      <c r="XCI20" s="94"/>
      <c r="XCJ20" s="94"/>
      <c r="XCK20" s="94"/>
      <c r="XCL20" s="94"/>
      <c r="XCM20" s="94"/>
      <c r="XCN20" s="94"/>
      <c r="XCO20" s="94"/>
      <c r="XCP20" s="94"/>
      <c r="XCQ20" s="94"/>
      <c r="XCR20" s="94"/>
      <c r="XCS20" s="94"/>
      <c r="XCT20" s="94"/>
      <c r="XCU20" s="94"/>
      <c r="XCV20" s="94"/>
      <c r="XCW20" s="94"/>
      <c r="XCX20" s="94"/>
      <c r="XCY20" s="94"/>
      <c r="XCZ20" s="94"/>
      <c r="XDA20" s="94"/>
      <c r="XDB20" s="94"/>
      <c r="XDC20" s="94"/>
      <c r="XDD20" s="94"/>
      <c r="XDE20" s="94"/>
      <c r="XDF20" s="94"/>
      <c r="XDG20" s="94"/>
      <c r="XDH20" s="94"/>
      <c r="XDI20" s="94"/>
      <c r="XDJ20" s="94"/>
      <c r="XDK20" s="94"/>
      <c r="XDL20" s="94"/>
      <c r="XDM20" s="94"/>
      <c r="XDN20" s="94"/>
      <c r="XDO20" s="94"/>
      <c r="XDP20" s="94"/>
      <c r="XDQ20" s="94"/>
      <c r="XDR20" s="94"/>
      <c r="XDS20" s="94"/>
      <c r="XDT20" s="94"/>
      <c r="XDU20" s="94"/>
      <c r="XDV20" s="94"/>
      <c r="XDW20" s="94"/>
      <c r="XDX20" s="94"/>
      <c r="XDY20" s="94"/>
      <c r="XDZ20" s="94"/>
      <c r="XEA20" s="94"/>
      <c r="XEB20" s="94"/>
      <c r="XEC20" s="94"/>
      <c r="XED20" s="94"/>
      <c r="XEE20" s="94"/>
      <c r="XEF20" s="94"/>
      <c r="XEG20" s="94"/>
      <c r="XEH20" s="94"/>
      <c r="XEI20" s="94"/>
      <c r="XEJ20" s="94"/>
      <c r="XEK20" s="94"/>
      <c r="XEL20" s="94"/>
      <c r="XEM20" s="94"/>
      <c r="XEN20" s="94"/>
      <c r="XEO20" s="94"/>
      <c r="XEP20" s="94"/>
      <c r="XEQ20" s="94"/>
      <c r="XER20" s="94"/>
      <c r="XES20" s="94"/>
      <c r="XET20" s="94"/>
      <c r="XEU20" s="94"/>
    </row>
    <row r="21" spans="1:16375" s="73" customFormat="1" ht="14.5" hidden="1" x14ac:dyDescent="0.35">
      <c r="A21" s="98" t="s">
        <v>536</v>
      </c>
      <c r="B21" s="97" t="s">
        <v>582</v>
      </c>
      <c r="C21" s="97" t="s">
        <v>546</v>
      </c>
      <c r="D21" s="97">
        <v>21</v>
      </c>
      <c r="E21" s="97" t="s">
        <v>576</v>
      </c>
      <c r="F21" s="97">
        <v>4</v>
      </c>
      <c r="G21" s="97" t="s">
        <v>532</v>
      </c>
      <c r="H21" s="97" t="s">
        <v>575</v>
      </c>
      <c r="I21" s="97" t="s">
        <v>562</v>
      </c>
      <c r="J21" s="97">
        <v>1</v>
      </c>
      <c r="K21" s="97" t="s">
        <v>567</v>
      </c>
      <c r="L21" s="97" t="s">
        <v>562</v>
      </c>
      <c r="M21" s="97">
        <v>2023</v>
      </c>
      <c r="N21" s="96">
        <v>16668</v>
      </c>
      <c r="O21" s="97">
        <v>25</v>
      </c>
      <c r="P21" s="97">
        <v>40</v>
      </c>
      <c r="Q21" s="97" t="s">
        <v>164</v>
      </c>
      <c r="R21" s="96">
        <v>0</v>
      </c>
      <c r="S21" s="96">
        <v>0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>
        <v>0</v>
      </c>
      <c r="AA21" s="96">
        <v>0</v>
      </c>
      <c r="AB21" s="96">
        <v>0</v>
      </c>
      <c r="AC21" s="96">
        <v>0</v>
      </c>
      <c r="AD21" s="96">
        <v>65.209999999999994</v>
      </c>
      <c r="AE21" s="96">
        <v>0</v>
      </c>
      <c r="AF21" s="96">
        <v>0</v>
      </c>
      <c r="AG21" s="96">
        <v>998.23</v>
      </c>
      <c r="AH21" s="96">
        <v>1790.39</v>
      </c>
      <c r="AI21" s="96">
        <v>2142.4699999999998</v>
      </c>
      <c r="AJ21" s="96">
        <v>0</v>
      </c>
      <c r="AK21" s="96">
        <v>0</v>
      </c>
      <c r="AL21" s="96">
        <v>0</v>
      </c>
      <c r="AM21" s="96">
        <v>0</v>
      </c>
      <c r="AN21" s="96">
        <v>0</v>
      </c>
      <c r="AO21" s="96">
        <v>0</v>
      </c>
      <c r="AP21" s="96">
        <v>0</v>
      </c>
      <c r="AQ21" s="96">
        <v>0</v>
      </c>
      <c r="AR21" s="96">
        <v>4996.2999999999993</v>
      </c>
      <c r="AS21" s="96">
        <v>289.2</v>
      </c>
      <c r="AT21" s="96">
        <v>28504.89</v>
      </c>
      <c r="AU21" s="96">
        <v>360</v>
      </c>
      <c r="AV21" s="96">
        <v>33478.1</v>
      </c>
      <c r="AW21" s="96">
        <v>360</v>
      </c>
      <c r="AX21" s="96">
        <v>34313.26</v>
      </c>
      <c r="AY21" s="96">
        <v>360</v>
      </c>
      <c r="AZ21" s="95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/>
      <c r="JL21" s="94"/>
      <c r="JM21" s="94"/>
      <c r="JN21" s="94"/>
      <c r="JO21" s="94"/>
      <c r="JP21" s="94"/>
      <c r="JQ21" s="94"/>
      <c r="JR21" s="94"/>
      <c r="JS21" s="94"/>
      <c r="JT21" s="94"/>
      <c r="JU21" s="94"/>
      <c r="JV21" s="94"/>
      <c r="JW21" s="94"/>
      <c r="JX21" s="94"/>
      <c r="JY21" s="94"/>
      <c r="JZ21" s="94"/>
      <c r="KA21" s="94"/>
      <c r="KB21" s="94"/>
      <c r="KC21" s="94"/>
      <c r="KD21" s="94"/>
      <c r="KE21" s="94"/>
      <c r="KF21" s="94"/>
      <c r="KG21" s="94"/>
      <c r="KH21" s="94"/>
      <c r="KI21" s="94"/>
      <c r="KJ21" s="94"/>
      <c r="KK21" s="94"/>
      <c r="KL21" s="94"/>
      <c r="KM21" s="94"/>
      <c r="KN21" s="94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94"/>
      <c r="LG21" s="94"/>
      <c r="LH21" s="94"/>
      <c r="LI21" s="94"/>
      <c r="LJ21" s="94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  <c r="TC21" s="94"/>
      <c r="TD21" s="94"/>
      <c r="TE21" s="94"/>
      <c r="TF21" s="94"/>
      <c r="TG21" s="94"/>
      <c r="TH21" s="94"/>
      <c r="TI21" s="94"/>
      <c r="TJ21" s="94"/>
      <c r="TK21" s="94"/>
      <c r="TL21" s="94"/>
      <c r="TM21" s="94"/>
      <c r="TN21" s="94"/>
      <c r="TO21" s="94"/>
      <c r="TP21" s="94"/>
      <c r="TQ21" s="94"/>
      <c r="TR21" s="94"/>
      <c r="TS21" s="94"/>
      <c r="TT21" s="94"/>
      <c r="TU21" s="94"/>
      <c r="TV21" s="94"/>
      <c r="TW21" s="94"/>
      <c r="TX21" s="94"/>
      <c r="TY21" s="94"/>
      <c r="TZ21" s="94"/>
      <c r="UA21" s="94"/>
      <c r="UB21" s="94"/>
      <c r="UC21" s="94"/>
      <c r="UD21" s="94"/>
      <c r="UE21" s="94"/>
      <c r="UF21" s="94"/>
      <c r="UG21" s="94"/>
      <c r="UH21" s="94"/>
      <c r="UI21" s="94"/>
      <c r="UJ21" s="94"/>
      <c r="UK21" s="94"/>
      <c r="UL21" s="94"/>
      <c r="UM21" s="94"/>
      <c r="UN21" s="94"/>
      <c r="UO21" s="94"/>
      <c r="UP21" s="94"/>
      <c r="UQ21" s="94"/>
      <c r="UR21" s="94"/>
      <c r="US21" s="94"/>
      <c r="UT21" s="94"/>
      <c r="UU21" s="94"/>
      <c r="UV21" s="94"/>
      <c r="UW21" s="94"/>
      <c r="UX21" s="94"/>
      <c r="UY21" s="94"/>
      <c r="UZ21" s="94"/>
      <c r="VA21" s="94"/>
      <c r="VB21" s="94"/>
      <c r="VC21" s="94"/>
      <c r="VD21" s="94"/>
      <c r="VE21" s="94"/>
      <c r="VF21" s="94"/>
      <c r="VG21" s="94"/>
      <c r="VH21" s="94"/>
      <c r="VI21" s="94"/>
      <c r="VJ21" s="94"/>
      <c r="VK21" s="94"/>
      <c r="VL21" s="94"/>
      <c r="VM21" s="94"/>
      <c r="VN21" s="94"/>
      <c r="VO21" s="94"/>
      <c r="VP21" s="94"/>
      <c r="VQ21" s="94"/>
      <c r="VR21" s="94"/>
      <c r="VS21" s="94"/>
      <c r="VT21" s="94"/>
      <c r="VU21" s="94"/>
      <c r="VV21" s="94"/>
      <c r="VW21" s="94"/>
      <c r="VX21" s="94"/>
      <c r="VY21" s="94"/>
      <c r="VZ21" s="94"/>
      <c r="WA21" s="94"/>
      <c r="WB21" s="94"/>
      <c r="WC21" s="94"/>
      <c r="WD21" s="94"/>
      <c r="WE21" s="94"/>
      <c r="WF21" s="94"/>
      <c r="WG21" s="94"/>
      <c r="WH21" s="94"/>
      <c r="WI21" s="94"/>
      <c r="WJ21" s="94"/>
      <c r="WK21" s="94"/>
      <c r="WL21" s="94"/>
      <c r="WM21" s="94"/>
      <c r="WN21" s="94"/>
      <c r="WO21" s="94"/>
      <c r="WP21" s="94"/>
      <c r="WQ21" s="94"/>
      <c r="WR21" s="94"/>
      <c r="WS21" s="94"/>
      <c r="WT21" s="94"/>
      <c r="WU21" s="94"/>
      <c r="WV21" s="94"/>
      <c r="WW21" s="94"/>
      <c r="WX21" s="94"/>
      <c r="WY21" s="94"/>
      <c r="WZ21" s="94"/>
      <c r="XA21" s="94"/>
      <c r="XB21" s="94"/>
      <c r="XC21" s="94"/>
      <c r="XD21" s="94"/>
      <c r="XE21" s="94"/>
      <c r="XF21" s="94"/>
      <c r="XG21" s="94"/>
      <c r="XH21" s="94"/>
      <c r="XI21" s="94"/>
      <c r="XJ21" s="94"/>
      <c r="XK21" s="94"/>
      <c r="XL21" s="94"/>
      <c r="XM21" s="94"/>
      <c r="XN21" s="94"/>
      <c r="XO21" s="94"/>
      <c r="XP21" s="94"/>
      <c r="XQ21" s="94"/>
      <c r="XR21" s="94"/>
      <c r="XS21" s="94"/>
      <c r="XT21" s="94"/>
      <c r="XU21" s="94"/>
      <c r="XV21" s="94"/>
      <c r="XW21" s="94"/>
      <c r="XX21" s="94"/>
      <c r="XY21" s="94"/>
      <c r="XZ21" s="94"/>
      <c r="YA21" s="94"/>
      <c r="YB21" s="94"/>
      <c r="YC21" s="94"/>
      <c r="YD21" s="94"/>
      <c r="YE21" s="94"/>
      <c r="YF21" s="94"/>
      <c r="YG21" s="94"/>
      <c r="YH21" s="94"/>
      <c r="YI21" s="94"/>
      <c r="YJ21" s="94"/>
      <c r="YK21" s="94"/>
      <c r="YL21" s="94"/>
      <c r="YM21" s="94"/>
      <c r="YN21" s="94"/>
      <c r="YO21" s="94"/>
      <c r="YP21" s="94"/>
      <c r="YQ21" s="94"/>
      <c r="YR21" s="94"/>
      <c r="YS21" s="94"/>
      <c r="YT21" s="94"/>
      <c r="YU21" s="94"/>
      <c r="YV21" s="94"/>
      <c r="YW21" s="94"/>
      <c r="YX21" s="94"/>
      <c r="YY21" s="94"/>
      <c r="YZ21" s="94"/>
      <c r="ZA21" s="94"/>
      <c r="ZB21" s="94"/>
      <c r="ZC21" s="94"/>
      <c r="ZD21" s="94"/>
      <c r="ZE21" s="94"/>
      <c r="ZF21" s="94"/>
      <c r="ZG21" s="94"/>
      <c r="ZH21" s="94"/>
      <c r="ZI21" s="94"/>
      <c r="ZJ21" s="94"/>
      <c r="ZK21" s="94"/>
      <c r="ZL21" s="94"/>
      <c r="ZM21" s="94"/>
      <c r="ZN21" s="94"/>
      <c r="ZO21" s="94"/>
      <c r="ZP21" s="94"/>
      <c r="ZQ21" s="94"/>
      <c r="ZR21" s="94"/>
      <c r="ZS21" s="94"/>
      <c r="ZT21" s="94"/>
      <c r="ZU21" s="94"/>
      <c r="ZV21" s="94"/>
      <c r="ZW21" s="94"/>
      <c r="ZX21" s="94"/>
      <c r="ZY21" s="94"/>
      <c r="ZZ21" s="94"/>
      <c r="AAA21" s="94"/>
      <c r="AAB21" s="94"/>
      <c r="AAC21" s="94"/>
      <c r="AAD21" s="94"/>
      <c r="AAE21" s="94"/>
      <c r="AAF21" s="94"/>
      <c r="AAG21" s="94"/>
      <c r="AAH21" s="94"/>
      <c r="AAI21" s="94"/>
      <c r="AAJ21" s="94"/>
      <c r="AAK21" s="94"/>
      <c r="AAL21" s="94"/>
      <c r="AAM21" s="94"/>
      <c r="AAN21" s="94"/>
      <c r="AAO21" s="94"/>
      <c r="AAP21" s="94"/>
      <c r="AAQ21" s="94"/>
      <c r="AAR21" s="94"/>
      <c r="AAS21" s="94"/>
      <c r="AAT21" s="94"/>
      <c r="AAU21" s="94"/>
      <c r="AAV21" s="94"/>
      <c r="AAW21" s="94"/>
      <c r="AAX21" s="94"/>
      <c r="AAY21" s="94"/>
      <c r="AAZ21" s="94"/>
      <c r="ABA21" s="94"/>
      <c r="ABB21" s="94"/>
      <c r="ABC21" s="94"/>
      <c r="ABD21" s="94"/>
      <c r="ABE21" s="94"/>
      <c r="ABF21" s="94"/>
      <c r="ABG21" s="94"/>
      <c r="ABH21" s="94"/>
      <c r="ABI21" s="94"/>
      <c r="ABJ21" s="94"/>
      <c r="ABK21" s="94"/>
      <c r="ABL21" s="94"/>
      <c r="ABM21" s="94"/>
      <c r="ABN21" s="94"/>
      <c r="ABO21" s="94"/>
      <c r="ABP21" s="94"/>
      <c r="ABQ21" s="94"/>
      <c r="ABR21" s="94"/>
      <c r="ABS21" s="94"/>
      <c r="ABT21" s="94"/>
      <c r="ABU21" s="94"/>
      <c r="ABV21" s="94"/>
      <c r="ABW21" s="94"/>
      <c r="ABX21" s="94"/>
      <c r="ABY21" s="94"/>
      <c r="ABZ21" s="94"/>
      <c r="ACA21" s="94"/>
      <c r="ACB21" s="94"/>
      <c r="ACC21" s="94"/>
      <c r="ACD21" s="94"/>
      <c r="ACE21" s="94"/>
      <c r="ACF21" s="94"/>
      <c r="ACG21" s="94"/>
      <c r="ACH21" s="94"/>
      <c r="ACI21" s="94"/>
      <c r="ACJ21" s="94"/>
      <c r="ACK21" s="94"/>
      <c r="ACL21" s="94"/>
      <c r="ACM21" s="94"/>
      <c r="ACN21" s="94"/>
      <c r="ACO21" s="94"/>
      <c r="ACP21" s="94"/>
      <c r="ACQ21" s="94"/>
      <c r="ACR21" s="94"/>
      <c r="ACS21" s="94"/>
      <c r="ACT21" s="94"/>
      <c r="ACU21" s="94"/>
      <c r="ACV21" s="94"/>
      <c r="ACW21" s="94"/>
      <c r="ACX21" s="94"/>
      <c r="ACY21" s="94"/>
      <c r="ACZ21" s="94"/>
      <c r="ADA21" s="94"/>
      <c r="ADB21" s="94"/>
      <c r="ADC21" s="94"/>
      <c r="ADD21" s="94"/>
      <c r="ADE21" s="94"/>
      <c r="ADF21" s="94"/>
      <c r="ADG21" s="94"/>
      <c r="ADH21" s="94"/>
      <c r="ADI21" s="94"/>
      <c r="ADJ21" s="94"/>
      <c r="ADK21" s="94"/>
      <c r="ADL21" s="94"/>
      <c r="ADM21" s="94"/>
      <c r="ADN21" s="94"/>
      <c r="ADO21" s="94"/>
      <c r="ADP21" s="94"/>
      <c r="ADQ21" s="94"/>
      <c r="ADR21" s="94"/>
      <c r="ADS21" s="94"/>
      <c r="ADT21" s="94"/>
      <c r="ADU21" s="94"/>
      <c r="ADV21" s="94"/>
      <c r="ADW21" s="94"/>
      <c r="ADX21" s="94"/>
      <c r="ADY21" s="94"/>
      <c r="ADZ21" s="94"/>
      <c r="AEA21" s="94"/>
      <c r="AEB21" s="94"/>
      <c r="AEC21" s="94"/>
      <c r="AED21" s="94"/>
      <c r="AEE21" s="94"/>
      <c r="AEF21" s="94"/>
      <c r="AEG21" s="94"/>
      <c r="AEH21" s="94"/>
      <c r="AEI21" s="94"/>
      <c r="AEJ21" s="94"/>
      <c r="AEK21" s="94"/>
      <c r="AEL21" s="94"/>
      <c r="AEM21" s="94"/>
      <c r="AEN21" s="94"/>
      <c r="AEO21" s="94"/>
      <c r="AEP21" s="94"/>
      <c r="AEQ21" s="94"/>
      <c r="AER21" s="94"/>
      <c r="AES21" s="94"/>
      <c r="AET21" s="94"/>
      <c r="AEU21" s="94"/>
      <c r="AEV21" s="94"/>
      <c r="AEW21" s="94"/>
      <c r="AEX21" s="94"/>
      <c r="AEY21" s="94"/>
      <c r="AEZ21" s="94"/>
      <c r="AFA21" s="94"/>
      <c r="AFB21" s="94"/>
      <c r="AFC21" s="94"/>
      <c r="AFD21" s="94"/>
      <c r="AFE21" s="94"/>
      <c r="AFF21" s="94"/>
      <c r="AFG21" s="94"/>
      <c r="AFH21" s="94"/>
      <c r="AFI21" s="94"/>
      <c r="AFJ21" s="94"/>
      <c r="AFK21" s="94"/>
      <c r="AFL21" s="94"/>
      <c r="AFM21" s="94"/>
      <c r="AFN21" s="94"/>
      <c r="AFO21" s="94"/>
      <c r="AFP21" s="94"/>
      <c r="AFQ21" s="94"/>
      <c r="AFR21" s="94"/>
      <c r="AFS21" s="94"/>
      <c r="AFT21" s="94"/>
      <c r="AFU21" s="94"/>
      <c r="AFV21" s="94"/>
      <c r="AFW21" s="94"/>
      <c r="AFX21" s="94"/>
      <c r="AFY21" s="94"/>
      <c r="AFZ21" s="94"/>
      <c r="AGA21" s="94"/>
      <c r="AGB21" s="94"/>
      <c r="AGC21" s="94"/>
      <c r="AGD21" s="94"/>
      <c r="AGE21" s="94"/>
      <c r="AGF21" s="94"/>
      <c r="AGG21" s="94"/>
      <c r="AGH21" s="94"/>
      <c r="AGI21" s="94"/>
      <c r="AGJ21" s="94"/>
      <c r="AGK21" s="94"/>
      <c r="AGL21" s="94"/>
      <c r="AGM21" s="94"/>
      <c r="AGN21" s="94"/>
      <c r="AGO21" s="94"/>
      <c r="AGP21" s="94"/>
      <c r="AGQ21" s="94"/>
      <c r="AGR21" s="94"/>
      <c r="AGS21" s="94"/>
      <c r="AGT21" s="94"/>
      <c r="AGU21" s="94"/>
      <c r="AGV21" s="94"/>
      <c r="AGW21" s="94"/>
      <c r="AGX21" s="94"/>
      <c r="AGY21" s="94"/>
      <c r="AGZ21" s="94"/>
      <c r="AHA21" s="94"/>
      <c r="AHB21" s="94"/>
      <c r="AHC21" s="94"/>
      <c r="AHD21" s="94"/>
      <c r="AHE21" s="94"/>
      <c r="AHF21" s="94"/>
      <c r="AHG21" s="94"/>
      <c r="AHH21" s="94"/>
      <c r="AHI21" s="94"/>
      <c r="AHJ21" s="94"/>
      <c r="AHK21" s="94"/>
      <c r="AHL21" s="94"/>
      <c r="AHM21" s="94"/>
      <c r="AHN21" s="94"/>
      <c r="AHO21" s="94"/>
      <c r="AHP21" s="94"/>
      <c r="AHQ21" s="94"/>
      <c r="AHR21" s="94"/>
      <c r="AHS21" s="94"/>
      <c r="AHT21" s="94"/>
      <c r="AHU21" s="94"/>
      <c r="AHV21" s="94"/>
      <c r="AHW21" s="94"/>
      <c r="AHX21" s="94"/>
      <c r="AHY21" s="94"/>
      <c r="AHZ21" s="94"/>
      <c r="AIA21" s="94"/>
      <c r="AIB21" s="94"/>
      <c r="AIC21" s="94"/>
      <c r="AID21" s="94"/>
      <c r="AIE21" s="94"/>
      <c r="AIF21" s="94"/>
      <c r="AIG21" s="94"/>
      <c r="AIH21" s="94"/>
      <c r="AII21" s="94"/>
      <c r="AIJ21" s="94"/>
      <c r="AIK21" s="94"/>
      <c r="AIL21" s="94"/>
      <c r="AIM21" s="94"/>
      <c r="AIN21" s="94"/>
      <c r="AIO21" s="94"/>
      <c r="AIP21" s="94"/>
      <c r="AIQ21" s="94"/>
      <c r="AIR21" s="94"/>
      <c r="AIS21" s="94"/>
      <c r="AIT21" s="94"/>
      <c r="AIU21" s="94"/>
      <c r="AIV21" s="94"/>
      <c r="AIW21" s="94"/>
      <c r="AIX21" s="94"/>
      <c r="AIY21" s="94"/>
      <c r="AIZ21" s="94"/>
      <c r="AJA21" s="94"/>
      <c r="AJB21" s="94"/>
      <c r="AJC21" s="94"/>
      <c r="AJD21" s="94"/>
      <c r="AJE21" s="94"/>
      <c r="AJF21" s="94"/>
      <c r="AJG21" s="94"/>
      <c r="AJH21" s="94"/>
      <c r="AJI21" s="94"/>
      <c r="AJJ21" s="94"/>
      <c r="AJK21" s="94"/>
      <c r="AJL21" s="94"/>
      <c r="AJM21" s="94"/>
      <c r="AJN21" s="94"/>
      <c r="AJO21" s="94"/>
      <c r="AJP21" s="94"/>
      <c r="AJQ21" s="94"/>
      <c r="AJR21" s="94"/>
      <c r="AJS21" s="94"/>
      <c r="AJT21" s="94"/>
      <c r="AJU21" s="94"/>
      <c r="AJV21" s="94"/>
      <c r="AJW21" s="94"/>
      <c r="AJX21" s="94"/>
      <c r="AJY21" s="94"/>
      <c r="AJZ21" s="94"/>
      <c r="AKA21" s="94"/>
      <c r="AKB21" s="94"/>
      <c r="AKC21" s="94"/>
      <c r="AKD21" s="94"/>
      <c r="AKE21" s="94"/>
      <c r="AKF21" s="94"/>
      <c r="AKG21" s="94"/>
      <c r="AKH21" s="94"/>
      <c r="AKI21" s="94"/>
      <c r="AKJ21" s="94"/>
      <c r="AKK21" s="94"/>
      <c r="AKL21" s="94"/>
      <c r="AKM21" s="94"/>
      <c r="AKN21" s="94"/>
      <c r="AKO21" s="94"/>
      <c r="AKP21" s="94"/>
      <c r="AKQ21" s="94"/>
      <c r="AKR21" s="94"/>
      <c r="AKS21" s="94"/>
      <c r="AKT21" s="94"/>
      <c r="AKU21" s="94"/>
      <c r="AKV21" s="94"/>
      <c r="AKW21" s="94"/>
      <c r="AKX21" s="94"/>
      <c r="AKY21" s="94"/>
      <c r="AKZ21" s="94"/>
      <c r="ALA21" s="94"/>
      <c r="ALB21" s="94"/>
      <c r="ALC21" s="94"/>
      <c r="ALD21" s="94"/>
      <c r="ALE21" s="94"/>
      <c r="ALF21" s="94"/>
      <c r="ALG21" s="94"/>
      <c r="ALH21" s="94"/>
      <c r="ALI21" s="94"/>
      <c r="ALJ21" s="94"/>
      <c r="ALK21" s="94"/>
      <c r="ALL21" s="94"/>
      <c r="ALM21" s="94"/>
      <c r="ALN21" s="94"/>
      <c r="ALO21" s="94"/>
      <c r="ALP21" s="94"/>
      <c r="ALQ21" s="94"/>
      <c r="ALR21" s="94"/>
      <c r="ALS21" s="94"/>
      <c r="ALT21" s="94"/>
      <c r="ALU21" s="94"/>
      <c r="ALV21" s="94"/>
      <c r="ALW21" s="94"/>
      <c r="ALX21" s="94"/>
      <c r="ALY21" s="94"/>
      <c r="ALZ21" s="94"/>
      <c r="AMA21" s="94"/>
      <c r="AMB21" s="94"/>
      <c r="AMC21" s="94"/>
      <c r="AMD21" s="94"/>
      <c r="AME21" s="94"/>
      <c r="AMF21" s="94"/>
      <c r="AMG21" s="94"/>
      <c r="AMH21" s="94"/>
      <c r="AMI21" s="94"/>
      <c r="AMJ21" s="94"/>
      <c r="AMK21" s="94"/>
      <c r="AML21" s="94"/>
      <c r="AMM21" s="94"/>
      <c r="AMN21" s="94"/>
      <c r="AMO21" s="94"/>
      <c r="AMP21" s="94"/>
      <c r="AMQ21" s="94"/>
      <c r="AMR21" s="94"/>
      <c r="AMS21" s="94"/>
      <c r="AMT21" s="94"/>
      <c r="AMU21" s="94"/>
      <c r="AMV21" s="94"/>
      <c r="AMW21" s="94"/>
      <c r="AMX21" s="94"/>
      <c r="AMY21" s="94"/>
      <c r="AMZ21" s="94"/>
      <c r="ANA21" s="94"/>
      <c r="ANB21" s="94"/>
      <c r="ANC21" s="94"/>
      <c r="AND21" s="94"/>
      <c r="ANE21" s="94"/>
      <c r="ANF21" s="94"/>
      <c r="ANG21" s="94"/>
      <c r="ANH21" s="94"/>
      <c r="ANI21" s="94"/>
      <c r="ANJ21" s="94"/>
      <c r="ANK21" s="94"/>
      <c r="ANL21" s="94"/>
      <c r="ANM21" s="94"/>
      <c r="ANN21" s="94"/>
      <c r="ANO21" s="94"/>
      <c r="ANP21" s="94"/>
      <c r="ANQ21" s="94"/>
      <c r="ANR21" s="94"/>
      <c r="ANS21" s="94"/>
      <c r="ANT21" s="94"/>
      <c r="ANU21" s="94"/>
      <c r="ANV21" s="94"/>
      <c r="ANW21" s="94"/>
      <c r="ANX21" s="94"/>
      <c r="ANY21" s="94"/>
      <c r="ANZ21" s="94"/>
      <c r="AOA21" s="94"/>
      <c r="AOB21" s="94"/>
      <c r="AOC21" s="94"/>
      <c r="AOD21" s="94"/>
      <c r="AOE21" s="94"/>
      <c r="AOF21" s="94"/>
      <c r="AOG21" s="94"/>
      <c r="AOH21" s="94"/>
      <c r="AOI21" s="94"/>
      <c r="AOJ21" s="94"/>
      <c r="AOK21" s="94"/>
      <c r="AOL21" s="94"/>
      <c r="AOM21" s="94"/>
      <c r="AON21" s="94"/>
      <c r="AOO21" s="94"/>
      <c r="AOP21" s="94"/>
      <c r="AOQ21" s="94"/>
      <c r="AOR21" s="94"/>
      <c r="AOS21" s="94"/>
      <c r="AOT21" s="94"/>
      <c r="AOU21" s="94"/>
      <c r="AOV21" s="94"/>
      <c r="AOW21" s="94"/>
      <c r="AOX21" s="94"/>
      <c r="AOY21" s="94"/>
      <c r="AOZ21" s="94"/>
      <c r="APA21" s="94"/>
      <c r="APB21" s="94"/>
      <c r="APC21" s="94"/>
      <c r="APD21" s="94"/>
      <c r="APE21" s="94"/>
      <c r="APF21" s="94"/>
      <c r="APG21" s="94"/>
      <c r="APH21" s="94"/>
      <c r="API21" s="94"/>
      <c r="APJ21" s="94"/>
      <c r="APK21" s="94"/>
      <c r="APL21" s="94"/>
      <c r="APM21" s="94"/>
      <c r="APN21" s="94"/>
      <c r="APO21" s="94"/>
      <c r="APP21" s="94"/>
      <c r="APQ21" s="94"/>
      <c r="APR21" s="94"/>
      <c r="APS21" s="94"/>
      <c r="APT21" s="94"/>
      <c r="APU21" s="94"/>
      <c r="APV21" s="94"/>
      <c r="APW21" s="94"/>
      <c r="APX21" s="94"/>
      <c r="APY21" s="94"/>
      <c r="APZ21" s="94"/>
      <c r="AQA21" s="94"/>
      <c r="AQB21" s="94"/>
      <c r="AQC21" s="94"/>
      <c r="AQD21" s="94"/>
      <c r="AQE21" s="94"/>
      <c r="AQF21" s="94"/>
      <c r="AQG21" s="94"/>
      <c r="AQH21" s="94"/>
      <c r="AQI21" s="94"/>
      <c r="AQJ21" s="94"/>
      <c r="AQK21" s="94"/>
      <c r="AQL21" s="94"/>
      <c r="AQM21" s="94"/>
      <c r="AQN21" s="94"/>
      <c r="AQO21" s="94"/>
      <c r="AQP21" s="94"/>
      <c r="AQQ21" s="94"/>
      <c r="AQR21" s="94"/>
      <c r="AQS21" s="94"/>
      <c r="AQT21" s="94"/>
      <c r="AQU21" s="94"/>
      <c r="AQV21" s="94"/>
      <c r="AQW21" s="94"/>
      <c r="AQX21" s="94"/>
      <c r="AQY21" s="94"/>
      <c r="AQZ21" s="94"/>
      <c r="ARA21" s="94"/>
      <c r="ARB21" s="94"/>
      <c r="ARC21" s="94"/>
      <c r="ARD21" s="94"/>
      <c r="ARE21" s="94"/>
      <c r="ARF21" s="94"/>
      <c r="ARG21" s="94"/>
      <c r="ARH21" s="94"/>
      <c r="ARI21" s="94"/>
      <c r="ARJ21" s="94"/>
      <c r="ARK21" s="94"/>
      <c r="ARL21" s="94"/>
      <c r="ARM21" s="94"/>
      <c r="ARN21" s="94"/>
      <c r="ARO21" s="94"/>
      <c r="ARP21" s="94"/>
      <c r="ARQ21" s="94"/>
      <c r="ARR21" s="94"/>
      <c r="ARS21" s="94"/>
      <c r="ART21" s="94"/>
      <c r="ARU21" s="94"/>
      <c r="ARV21" s="94"/>
      <c r="ARW21" s="94"/>
      <c r="ARX21" s="94"/>
      <c r="ARY21" s="94"/>
      <c r="ARZ21" s="94"/>
      <c r="ASA21" s="94"/>
      <c r="ASB21" s="94"/>
      <c r="ASC21" s="94"/>
      <c r="ASD21" s="94"/>
      <c r="ASE21" s="94"/>
      <c r="ASF21" s="94"/>
      <c r="ASG21" s="94"/>
      <c r="ASH21" s="94"/>
      <c r="ASI21" s="94"/>
      <c r="ASJ21" s="94"/>
      <c r="ASK21" s="94"/>
      <c r="ASL21" s="94"/>
      <c r="ASM21" s="94"/>
      <c r="ASN21" s="94"/>
      <c r="ASO21" s="94"/>
      <c r="ASP21" s="94"/>
      <c r="ASQ21" s="94"/>
      <c r="ASR21" s="94"/>
      <c r="ASS21" s="94"/>
      <c r="AST21" s="94"/>
      <c r="ASU21" s="94"/>
      <c r="ASV21" s="94"/>
      <c r="ASW21" s="94"/>
      <c r="ASX21" s="94"/>
      <c r="ASY21" s="94"/>
      <c r="ASZ21" s="94"/>
      <c r="ATA21" s="94"/>
      <c r="ATB21" s="94"/>
      <c r="ATC21" s="94"/>
      <c r="ATD21" s="94"/>
      <c r="ATE21" s="94"/>
      <c r="ATF21" s="94"/>
      <c r="ATG21" s="94"/>
      <c r="ATH21" s="94"/>
      <c r="ATI21" s="94"/>
      <c r="ATJ21" s="94"/>
      <c r="ATK21" s="94"/>
      <c r="ATL21" s="94"/>
      <c r="ATM21" s="94"/>
      <c r="ATN21" s="94"/>
      <c r="ATO21" s="94"/>
      <c r="ATP21" s="94"/>
      <c r="ATQ21" s="94"/>
      <c r="ATR21" s="94"/>
      <c r="ATS21" s="94"/>
      <c r="ATT21" s="94"/>
      <c r="ATU21" s="94"/>
      <c r="ATV21" s="94"/>
      <c r="ATW21" s="94"/>
      <c r="ATX21" s="94"/>
      <c r="ATY21" s="94"/>
      <c r="ATZ21" s="94"/>
      <c r="AUA21" s="94"/>
      <c r="AUB21" s="94"/>
      <c r="AUC21" s="94"/>
      <c r="AUD21" s="94"/>
      <c r="AUE21" s="94"/>
      <c r="AUF21" s="94"/>
      <c r="AUG21" s="94"/>
      <c r="AUH21" s="94"/>
      <c r="AUI21" s="94"/>
      <c r="AUJ21" s="94"/>
      <c r="AUK21" s="94"/>
      <c r="AUL21" s="94"/>
      <c r="AUM21" s="94"/>
      <c r="AUN21" s="94"/>
      <c r="AUO21" s="94"/>
      <c r="AUP21" s="94"/>
      <c r="AUQ21" s="94"/>
      <c r="AUR21" s="94"/>
      <c r="AUS21" s="94"/>
      <c r="AUT21" s="94"/>
      <c r="AUU21" s="94"/>
      <c r="AUV21" s="94"/>
      <c r="AUW21" s="94"/>
      <c r="AUX21" s="94"/>
      <c r="AUY21" s="94"/>
      <c r="AUZ21" s="94"/>
      <c r="AVA21" s="94"/>
      <c r="AVB21" s="94"/>
      <c r="AVC21" s="94"/>
      <c r="AVD21" s="94"/>
      <c r="AVE21" s="94"/>
      <c r="AVF21" s="94"/>
      <c r="AVG21" s="94"/>
      <c r="AVH21" s="94"/>
      <c r="AVI21" s="94"/>
      <c r="AVJ21" s="94"/>
      <c r="AVK21" s="94"/>
      <c r="AVL21" s="94"/>
      <c r="AVM21" s="94"/>
      <c r="AVN21" s="94"/>
      <c r="AVO21" s="94"/>
      <c r="AVP21" s="94"/>
      <c r="AVQ21" s="94"/>
      <c r="AVR21" s="94"/>
      <c r="AVS21" s="94"/>
      <c r="AVT21" s="94"/>
      <c r="AVU21" s="94"/>
      <c r="AVV21" s="94"/>
      <c r="AVW21" s="94"/>
      <c r="AVX21" s="94"/>
      <c r="AVY21" s="94"/>
      <c r="AVZ21" s="94"/>
      <c r="AWA21" s="94"/>
      <c r="AWB21" s="94"/>
      <c r="AWC21" s="94"/>
      <c r="AWD21" s="94"/>
      <c r="AWE21" s="94"/>
      <c r="AWF21" s="94"/>
      <c r="AWG21" s="94"/>
      <c r="AWH21" s="94"/>
      <c r="AWI21" s="94"/>
      <c r="AWJ21" s="94"/>
      <c r="AWK21" s="94"/>
      <c r="AWL21" s="94"/>
      <c r="AWM21" s="94"/>
      <c r="AWN21" s="94"/>
      <c r="AWO21" s="94"/>
      <c r="AWP21" s="94"/>
      <c r="AWQ21" s="94"/>
      <c r="AWR21" s="94"/>
      <c r="AWS21" s="94"/>
      <c r="AWT21" s="94"/>
      <c r="AWU21" s="94"/>
      <c r="AWV21" s="94"/>
      <c r="AWW21" s="94"/>
      <c r="AWX21" s="94"/>
      <c r="AWY21" s="94"/>
      <c r="AWZ21" s="94"/>
      <c r="AXA21" s="94"/>
      <c r="AXB21" s="94"/>
      <c r="AXC21" s="94"/>
      <c r="AXD21" s="94"/>
      <c r="AXE21" s="94"/>
      <c r="AXF21" s="94"/>
      <c r="AXG21" s="94"/>
      <c r="AXH21" s="94"/>
      <c r="AXI21" s="94"/>
      <c r="AXJ21" s="94"/>
      <c r="AXK21" s="94"/>
      <c r="AXL21" s="94"/>
      <c r="AXM21" s="94"/>
      <c r="AXN21" s="94"/>
      <c r="AXO21" s="94"/>
      <c r="AXP21" s="94"/>
      <c r="AXQ21" s="94"/>
      <c r="AXR21" s="94"/>
      <c r="AXS21" s="94"/>
      <c r="AXT21" s="94"/>
      <c r="AXU21" s="94"/>
      <c r="AXV21" s="94"/>
      <c r="AXW21" s="94"/>
      <c r="AXX21" s="94"/>
      <c r="AXY21" s="94"/>
      <c r="AXZ21" s="94"/>
      <c r="AYA21" s="94"/>
      <c r="AYB21" s="94"/>
      <c r="AYC21" s="94"/>
      <c r="AYD21" s="94"/>
      <c r="AYE21" s="94"/>
      <c r="AYF21" s="94"/>
      <c r="AYG21" s="94"/>
      <c r="AYH21" s="94"/>
      <c r="AYI21" s="94"/>
      <c r="AYJ21" s="94"/>
      <c r="AYK21" s="94"/>
      <c r="AYL21" s="94"/>
      <c r="AYM21" s="94"/>
      <c r="AYN21" s="94"/>
      <c r="AYO21" s="94"/>
      <c r="AYP21" s="94"/>
      <c r="AYQ21" s="94"/>
      <c r="AYR21" s="94"/>
      <c r="AYS21" s="94"/>
      <c r="AYT21" s="94"/>
      <c r="AYU21" s="94"/>
      <c r="AYV21" s="94"/>
      <c r="AYW21" s="94"/>
      <c r="AYX21" s="94"/>
      <c r="AYY21" s="94"/>
      <c r="AYZ21" s="94"/>
      <c r="AZA21" s="94"/>
      <c r="AZB21" s="94"/>
      <c r="AZC21" s="94"/>
      <c r="AZD21" s="94"/>
      <c r="AZE21" s="94"/>
      <c r="AZF21" s="94"/>
      <c r="AZG21" s="94"/>
      <c r="AZH21" s="94"/>
      <c r="AZI21" s="94"/>
      <c r="AZJ21" s="94"/>
      <c r="AZK21" s="94"/>
      <c r="AZL21" s="94"/>
      <c r="AZM21" s="94"/>
      <c r="AZN21" s="94"/>
      <c r="AZO21" s="94"/>
      <c r="AZP21" s="94"/>
      <c r="AZQ21" s="94"/>
      <c r="AZR21" s="94"/>
      <c r="AZS21" s="94"/>
      <c r="AZT21" s="94"/>
      <c r="AZU21" s="94"/>
      <c r="AZV21" s="94"/>
      <c r="AZW21" s="94"/>
      <c r="AZX21" s="94"/>
      <c r="AZY21" s="94"/>
      <c r="AZZ21" s="94"/>
      <c r="BAA21" s="94"/>
      <c r="BAB21" s="94"/>
      <c r="BAC21" s="94"/>
      <c r="BAD21" s="94"/>
      <c r="BAE21" s="94"/>
      <c r="BAF21" s="94"/>
      <c r="BAG21" s="94"/>
      <c r="BAH21" s="94"/>
      <c r="BAI21" s="94"/>
      <c r="BAJ21" s="94"/>
      <c r="BAK21" s="94"/>
      <c r="BAL21" s="94"/>
      <c r="BAM21" s="94"/>
      <c r="BAN21" s="94"/>
      <c r="BAO21" s="94"/>
      <c r="BAP21" s="94"/>
      <c r="BAQ21" s="94"/>
      <c r="BAR21" s="94"/>
      <c r="BAS21" s="94"/>
      <c r="BAT21" s="94"/>
      <c r="BAU21" s="94"/>
      <c r="BAV21" s="94"/>
      <c r="BAW21" s="94"/>
      <c r="BAX21" s="94"/>
      <c r="BAY21" s="94"/>
      <c r="BAZ21" s="94"/>
      <c r="BBA21" s="94"/>
      <c r="BBB21" s="94"/>
      <c r="BBC21" s="94"/>
      <c r="BBD21" s="94"/>
      <c r="BBE21" s="94"/>
      <c r="BBF21" s="94"/>
      <c r="BBG21" s="94"/>
      <c r="BBH21" s="94"/>
      <c r="BBI21" s="94"/>
      <c r="BBJ21" s="94"/>
      <c r="BBK21" s="94"/>
      <c r="BBL21" s="94"/>
      <c r="BBM21" s="94"/>
      <c r="BBN21" s="94"/>
      <c r="BBO21" s="94"/>
      <c r="BBP21" s="94"/>
      <c r="BBQ21" s="94"/>
      <c r="BBR21" s="94"/>
      <c r="BBS21" s="94"/>
      <c r="BBT21" s="94"/>
      <c r="BBU21" s="94"/>
      <c r="BBV21" s="94"/>
      <c r="BBW21" s="94"/>
      <c r="BBX21" s="94"/>
      <c r="BBY21" s="94"/>
      <c r="BBZ21" s="94"/>
      <c r="BCA21" s="94"/>
      <c r="BCB21" s="94"/>
      <c r="BCC21" s="94"/>
      <c r="BCD21" s="94"/>
      <c r="BCE21" s="94"/>
      <c r="BCF21" s="94"/>
      <c r="BCG21" s="94"/>
      <c r="BCH21" s="94"/>
      <c r="BCI21" s="94"/>
      <c r="BCJ21" s="94"/>
      <c r="BCK21" s="94"/>
      <c r="BCL21" s="94"/>
      <c r="BCM21" s="94"/>
      <c r="BCN21" s="94"/>
      <c r="BCO21" s="94"/>
      <c r="BCP21" s="94"/>
      <c r="BCQ21" s="94"/>
      <c r="BCR21" s="94"/>
      <c r="BCS21" s="94"/>
      <c r="BCT21" s="94"/>
      <c r="BCU21" s="94"/>
      <c r="BCV21" s="94"/>
      <c r="BCW21" s="94"/>
      <c r="BCX21" s="94"/>
      <c r="BCY21" s="94"/>
      <c r="BCZ21" s="94"/>
      <c r="BDA21" s="94"/>
      <c r="BDB21" s="94"/>
      <c r="BDC21" s="94"/>
      <c r="BDD21" s="94"/>
      <c r="BDE21" s="94"/>
      <c r="BDF21" s="94"/>
      <c r="BDG21" s="94"/>
      <c r="BDH21" s="94"/>
      <c r="BDI21" s="94"/>
      <c r="BDJ21" s="94"/>
      <c r="BDK21" s="94"/>
      <c r="BDL21" s="94"/>
      <c r="BDM21" s="94"/>
      <c r="BDN21" s="94"/>
      <c r="BDO21" s="94"/>
      <c r="BDP21" s="94"/>
      <c r="BDQ21" s="94"/>
      <c r="BDR21" s="94"/>
      <c r="BDS21" s="94"/>
      <c r="BDT21" s="94"/>
      <c r="BDU21" s="94"/>
      <c r="BDV21" s="94"/>
      <c r="BDW21" s="94"/>
      <c r="BDX21" s="94"/>
      <c r="BDY21" s="94"/>
      <c r="BDZ21" s="94"/>
      <c r="BEA21" s="94"/>
      <c r="BEB21" s="94"/>
      <c r="BEC21" s="94"/>
      <c r="BED21" s="94"/>
      <c r="BEE21" s="94"/>
      <c r="BEF21" s="94"/>
      <c r="BEG21" s="94"/>
      <c r="BEH21" s="94"/>
      <c r="BEI21" s="94"/>
      <c r="BEJ21" s="94"/>
      <c r="BEK21" s="94"/>
      <c r="BEL21" s="94"/>
      <c r="BEM21" s="94"/>
      <c r="BEN21" s="94"/>
      <c r="BEO21" s="94"/>
      <c r="BEP21" s="94"/>
      <c r="BEQ21" s="94"/>
      <c r="BER21" s="94"/>
      <c r="BES21" s="94"/>
      <c r="BET21" s="94"/>
      <c r="BEU21" s="94"/>
      <c r="BEV21" s="94"/>
      <c r="BEW21" s="94"/>
      <c r="BEX21" s="94"/>
      <c r="BEY21" s="94"/>
      <c r="BEZ21" s="94"/>
      <c r="BFA21" s="94"/>
      <c r="BFB21" s="94"/>
      <c r="BFC21" s="94"/>
      <c r="BFD21" s="94"/>
      <c r="BFE21" s="94"/>
      <c r="BFF21" s="94"/>
      <c r="BFG21" s="94"/>
      <c r="BFH21" s="94"/>
      <c r="BFI21" s="94"/>
      <c r="BFJ21" s="94"/>
      <c r="BFK21" s="94"/>
      <c r="BFL21" s="94"/>
      <c r="BFM21" s="94"/>
      <c r="BFN21" s="94"/>
      <c r="BFO21" s="94"/>
      <c r="BFP21" s="94"/>
      <c r="BFQ21" s="94"/>
      <c r="BFR21" s="94"/>
      <c r="BFS21" s="94"/>
      <c r="BFT21" s="94"/>
      <c r="BFU21" s="94"/>
      <c r="BFV21" s="94"/>
      <c r="BFW21" s="94"/>
      <c r="BFX21" s="94"/>
      <c r="BFY21" s="94"/>
      <c r="BFZ21" s="94"/>
      <c r="BGA21" s="94"/>
      <c r="BGB21" s="94"/>
      <c r="BGC21" s="94"/>
      <c r="BGD21" s="94"/>
      <c r="BGE21" s="94"/>
      <c r="BGF21" s="94"/>
      <c r="BGG21" s="94"/>
      <c r="BGH21" s="94"/>
      <c r="BGI21" s="94"/>
      <c r="BGJ21" s="94"/>
      <c r="BGK21" s="94"/>
      <c r="BGL21" s="94"/>
      <c r="BGM21" s="94"/>
      <c r="BGN21" s="94"/>
      <c r="BGO21" s="94"/>
      <c r="BGP21" s="94"/>
      <c r="BGQ21" s="94"/>
      <c r="BGR21" s="94"/>
      <c r="BGS21" s="94"/>
      <c r="BGT21" s="94"/>
      <c r="BGU21" s="94"/>
      <c r="BGV21" s="94"/>
      <c r="BGW21" s="94"/>
      <c r="BGX21" s="94"/>
      <c r="BGY21" s="94"/>
      <c r="BGZ21" s="94"/>
      <c r="BHA21" s="94"/>
      <c r="BHB21" s="94"/>
      <c r="BHC21" s="94"/>
      <c r="BHD21" s="94"/>
      <c r="BHE21" s="94"/>
      <c r="BHF21" s="94"/>
      <c r="BHG21" s="94"/>
      <c r="BHH21" s="94"/>
      <c r="BHI21" s="94"/>
      <c r="BHJ21" s="94"/>
      <c r="BHK21" s="94"/>
      <c r="BHL21" s="94"/>
      <c r="BHM21" s="94"/>
      <c r="BHN21" s="94"/>
      <c r="BHO21" s="94"/>
      <c r="BHP21" s="94"/>
      <c r="BHQ21" s="94"/>
      <c r="BHR21" s="94"/>
      <c r="BHS21" s="94"/>
      <c r="BHT21" s="94"/>
      <c r="BHU21" s="94"/>
      <c r="BHV21" s="94"/>
      <c r="BHW21" s="94"/>
      <c r="BHX21" s="94"/>
      <c r="BHY21" s="94"/>
      <c r="BHZ21" s="94"/>
      <c r="BIA21" s="94"/>
      <c r="BIB21" s="94"/>
      <c r="BIC21" s="94"/>
      <c r="BID21" s="94"/>
      <c r="BIE21" s="94"/>
      <c r="BIF21" s="94"/>
      <c r="BIG21" s="94"/>
      <c r="BIH21" s="94"/>
      <c r="BII21" s="94"/>
      <c r="BIJ21" s="94"/>
      <c r="BIK21" s="94"/>
      <c r="BIL21" s="94"/>
      <c r="BIM21" s="94"/>
      <c r="BIN21" s="94"/>
      <c r="BIO21" s="94"/>
      <c r="BIP21" s="94"/>
      <c r="BIQ21" s="94"/>
      <c r="BIR21" s="94"/>
      <c r="BIS21" s="94"/>
      <c r="BIT21" s="94"/>
      <c r="BIU21" s="94"/>
      <c r="BIV21" s="94"/>
      <c r="BIW21" s="94"/>
      <c r="BIX21" s="94"/>
      <c r="BIY21" s="94"/>
      <c r="BIZ21" s="94"/>
      <c r="BJA21" s="94"/>
      <c r="BJB21" s="94"/>
      <c r="BJC21" s="94"/>
      <c r="BJD21" s="94"/>
      <c r="BJE21" s="94"/>
      <c r="BJF21" s="94"/>
      <c r="BJG21" s="94"/>
      <c r="BJH21" s="94"/>
      <c r="BJI21" s="94"/>
      <c r="BJJ21" s="94"/>
      <c r="BJK21" s="94"/>
      <c r="BJL21" s="94"/>
      <c r="BJM21" s="94"/>
      <c r="BJN21" s="94"/>
      <c r="BJO21" s="94"/>
      <c r="BJP21" s="94"/>
      <c r="BJQ21" s="94"/>
      <c r="BJR21" s="94"/>
      <c r="BJS21" s="94"/>
      <c r="BJT21" s="94"/>
      <c r="BJU21" s="94"/>
      <c r="BJV21" s="94"/>
      <c r="BJW21" s="94"/>
      <c r="BJX21" s="94"/>
      <c r="BJY21" s="94"/>
      <c r="BJZ21" s="94"/>
      <c r="BKA21" s="94"/>
      <c r="BKB21" s="94"/>
      <c r="BKC21" s="94"/>
      <c r="BKD21" s="94"/>
      <c r="BKE21" s="94"/>
      <c r="BKF21" s="94"/>
      <c r="BKG21" s="94"/>
      <c r="BKH21" s="94"/>
      <c r="BKI21" s="94"/>
      <c r="BKJ21" s="94"/>
      <c r="BKK21" s="94"/>
      <c r="BKL21" s="94"/>
      <c r="BKM21" s="94"/>
      <c r="BKN21" s="94"/>
      <c r="BKO21" s="94"/>
      <c r="BKP21" s="94"/>
      <c r="BKQ21" s="94"/>
      <c r="BKR21" s="94"/>
      <c r="BKS21" s="94"/>
      <c r="BKT21" s="94"/>
      <c r="BKU21" s="94"/>
      <c r="BKV21" s="94"/>
      <c r="BKW21" s="94"/>
      <c r="BKX21" s="94"/>
      <c r="BKY21" s="94"/>
      <c r="BKZ21" s="94"/>
      <c r="BLA21" s="94"/>
      <c r="BLB21" s="94"/>
      <c r="BLC21" s="94"/>
      <c r="BLD21" s="94"/>
      <c r="BLE21" s="94"/>
      <c r="BLF21" s="94"/>
      <c r="BLG21" s="94"/>
      <c r="BLH21" s="94"/>
      <c r="BLI21" s="94"/>
      <c r="BLJ21" s="94"/>
      <c r="BLK21" s="94"/>
      <c r="BLL21" s="94"/>
      <c r="BLM21" s="94"/>
      <c r="BLN21" s="94"/>
      <c r="BLO21" s="94"/>
      <c r="BLP21" s="94"/>
      <c r="BLQ21" s="94"/>
      <c r="BLR21" s="94"/>
      <c r="BLS21" s="94"/>
      <c r="BLT21" s="94"/>
      <c r="BLU21" s="94"/>
      <c r="BLV21" s="94"/>
      <c r="BLW21" s="94"/>
      <c r="BLX21" s="94"/>
      <c r="BLY21" s="94"/>
      <c r="BLZ21" s="94"/>
      <c r="BMA21" s="94"/>
      <c r="BMB21" s="94"/>
      <c r="BMC21" s="94"/>
      <c r="BMD21" s="94"/>
      <c r="BME21" s="94"/>
      <c r="BMF21" s="94"/>
      <c r="BMG21" s="94"/>
      <c r="BMH21" s="94"/>
      <c r="BMI21" s="94"/>
      <c r="BMJ21" s="94"/>
      <c r="BMK21" s="94"/>
      <c r="BML21" s="94"/>
      <c r="BMM21" s="94"/>
      <c r="BMN21" s="94"/>
      <c r="BMO21" s="94"/>
      <c r="BMP21" s="94"/>
      <c r="BMQ21" s="94"/>
      <c r="BMR21" s="94"/>
      <c r="BMS21" s="94"/>
      <c r="BMT21" s="94"/>
      <c r="BMU21" s="94"/>
      <c r="BMV21" s="94"/>
      <c r="BMW21" s="94"/>
      <c r="BMX21" s="94"/>
      <c r="BMY21" s="94"/>
      <c r="BMZ21" s="94"/>
      <c r="BNA21" s="94"/>
      <c r="BNB21" s="94"/>
      <c r="BNC21" s="94"/>
      <c r="BND21" s="94"/>
      <c r="BNE21" s="94"/>
      <c r="BNF21" s="94"/>
      <c r="BNG21" s="94"/>
      <c r="BNH21" s="94"/>
      <c r="BNI21" s="94"/>
      <c r="BNJ21" s="94"/>
      <c r="BNK21" s="94"/>
      <c r="BNL21" s="94"/>
      <c r="BNM21" s="94"/>
      <c r="BNN21" s="94"/>
      <c r="BNO21" s="94"/>
      <c r="BNP21" s="94"/>
      <c r="BNQ21" s="94"/>
      <c r="BNR21" s="94"/>
      <c r="BNS21" s="94"/>
      <c r="BNT21" s="94"/>
      <c r="BNU21" s="94"/>
      <c r="BNV21" s="94"/>
      <c r="BNW21" s="94"/>
      <c r="BNX21" s="94"/>
      <c r="BNY21" s="94"/>
      <c r="BNZ21" s="94"/>
      <c r="BOA21" s="94"/>
      <c r="BOB21" s="94"/>
      <c r="BOC21" s="94"/>
      <c r="BOD21" s="94"/>
      <c r="BOE21" s="94"/>
      <c r="BOF21" s="94"/>
      <c r="BOG21" s="94"/>
      <c r="BOH21" s="94"/>
      <c r="BOI21" s="94"/>
      <c r="BOJ21" s="94"/>
      <c r="BOK21" s="94"/>
      <c r="BOL21" s="94"/>
      <c r="BOM21" s="94"/>
      <c r="BON21" s="94"/>
      <c r="BOO21" s="94"/>
      <c r="BOP21" s="94"/>
      <c r="BOQ21" s="94"/>
      <c r="BOR21" s="94"/>
      <c r="BOS21" s="94"/>
      <c r="BOT21" s="94"/>
      <c r="BOU21" s="94"/>
      <c r="BOV21" s="94"/>
      <c r="BOW21" s="94"/>
      <c r="BOX21" s="94"/>
      <c r="BOY21" s="94"/>
      <c r="BOZ21" s="94"/>
      <c r="BPA21" s="94"/>
      <c r="BPB21" s="94"/>
      <c r="BPC21" s="94"/>
      <c r="BPD21" s="94"/>
      <c r="BPE21" s="94"/>
      <c r="BPF21" s="94"/>
      <c r="BPG21" s="94"/>
      <c r="BPH21" s="94"/>
      <c r="BPI21" s="94"/>
      <c r="BPJ21" s="94"/>
      <c r="BPK21" s="94"/>
      <c r="BPL21" s="94"/>
      <c r="BPM21" s="94"/>
      <c r="BPN21" s="94"/>
      <c r="BPO21" s="94"/>
      <c r="BPP21" s="94"/>
      <c r="BPQ21" s="94"/>
      <c r="BPR21" s="94"/>
      <c r="BPS21" s="94"/>
      <c r="BPT21" s="94"/>
      <c r="BPU21" s="94"/>
      <c r="BPV21" s="94"/>
      <c r="BPW21" s="94"/>
      <c r="BPX21" s="94"/>
      <c r="BPY21" s="94"/>
      <c r="BPZ21" s="94"/>
      <c r="BQA21" s="94"/>
      <c r="BQB21" s="94"/>
      <c r="BQC21" s="94"/>
      <c r="BQD21" s="94"/>
      <c r="BQE21" s="94"/>
      <c r="BQF21" s="94"/>
      <c r="BQG21" s="94"/>
      <c r="BQH21" s="94"/>
      <c r="BQI21" s="94"/>
      <c r="BQJ21" s="94"/>
      <c r="BQK21" s="94"/>
      <c r="BQL21" s="94"/>
      <c r="BQM21" s="94"/>
      <c r="BQN21" s="94"/>
      <c r="BQO21" s="94"/>
      <c r="BQP21" s="94"/>
      <c r="BQQ21" s="94"/>
      <c r="BQR21" s="94"/>
      <c r="BQS21" s="94"/>
      <c r="BQT21" s="94"/>
      <c r="BQU21" s="94"/>
      <c r="BQV21" s="94"/>
      <c r="BQW21" s="94"/>
      <c r="BQX21" s="94"/>
      <c r="BQY21" s="94"/>
      <c r="BQZ21" s="94"/>
      <c r="BRA21" s="94"/>
      <c r="BRB21" s="94"/>
      <c r="BRC21" s="94"/>
      <c r="BRD21" s="94"/>
      <c r="BRE21" s="94"/>
      <c r="BRF21" s="94"/>
      <c r="BRG21" s="94"/>
      <c r="BRH21" s="94"/>
      <c r="BRI21" s="94"/>
      <c r="BRJ21" s="94"/>
      <c r="BRK21" s="94"/>
      <c r="BRL21" s="94"/>
      <c r="BRM21" s="94"/>
      <c r="BRN21" s="94"/>
      <c r="BRO21" s="94"/>
      <c r="BRP21" s="94"/>
      <c r="BRQ21" s="94"/>
      <c r="BRR21" s="94"/>
      <c r="BRS21" s="94"/>
      <c r="BRT21" s="94"/>
      <c r="BRU21" s="94"/>
      <c r="BRV21" s="94"/>
      <c r="BRW21" s="94"/>
      <c r="BRX21" s="94"/>
      <c r="BRY21" s="94"/>
      <c r="BRZ21" s="94"/>
      <c r="BSA21" s="94"/>
      <c r="BSB21" s="94"/>
      <c r="BSC21" s="94"/>
      <c r="BSD21" s="94"/>
      <c r="BSE21" s="94"/>
      <c r="BSF21" s="94"/>
      <c r="BSG21" s="94"/>
      <c r="BSH21" s="94"/>
      <c r="BSI21" s="94"/>
      <c r="BSJ21" s="94"/>
      <c r="BSK21" s="94"/>
      <c r="BSL21" s="94"/>
      <c r="BSM21" s="94"/>
      <c r="BSN21" s="94"/>
      <c r="BSO21" s="94"/>
      <c r="BSP21" s="94"/>
      <c r="BSQ21" s="94"/>
      <c r="BSR21" s="94"/>
      <c r="BSS21" s="94"/>
      <c r="BST21" s="94"/>
      <c r="BSU21" s="94"/>
      <c r="BSV21" s="94"/>
      <c r="BSW21" s="94"/>
      <c r="BSX21" s="94"/>
      <c r="BSY21" s="94"/>
      <c r="BSZ21" s="94"/>
      <c r="BTA21" s="94"/>
      <c r="BTB21" s="94"/>
      <c r="BTC21" s="94"/>
      <c r="BTD21" s="94"/>
      <c r="BTE21" s="94"/>
      <c r="BTF21" s="94"/>
      <c r="BTG21" s="94"/>
      <c r="BTH21" s="94"/>
      <c r="BTI21" s="94"/>
      <c r="BTJ21" s="94"/>
      <c r="BTK21" s="94"/>
      <c r="BTL21" s="94"/>
      <c r="BTM21" s="94"/>
      <c r="BTN21" s="94"/>
      <c r="BTO21" s="94"/>
      <c r="BTP21" s="94"/>
      <c r="BTQ21" s="94"/>
      <c r="BTR21" s="94"/>
      <c r="BTS21" s="94"/>
      <c r="BTT21" s="94"/>
      <c r="BTU21" s="94"/>
      <c r="BTV21" s="94"/>
      <c r="BTW21" s="94"/>
      <c r="BTX21" s="94"/>
      <c r="BTY21" s="94"/>
      <c r="BTZ21" s="94"/>
      <c r="BUA21" s="94"/>
      <c r="BUB21" s="94"/>
      <c r="BUC21" s="94"/>
      <c r="BUD21" s="94"/>
      <c r="BUE21" s="94"/>
      <c r="BUF21" s="94"/>
      <c r="BUG21" s="94"/>
      <c r="BUH21" s="94"/>
      <c r="BUI21" s="94"/>
      <c r="BUJ21" s="94"/>
      <c r="BUK21" s="94"/>
      <c r="BUL21" s="94"/>
      <c r="BUM21" s="94"/>
      <c r="BUN21" s="94"/>
      <c r="BUO21" s="94"/>
      <c r="BUP21" s="94"/>
      <c r="BUQ21" s="94"/>
      <c r="BUR21" s="94"/>
      <c r="BUS21" s="94"/>
      <c r="BUT21" s="94"/>
      <c r="BUU21" s="94"/>
      <c r="BUV21" s="94"/>
      <c r="BUW21" s="94"/>
      <c r="BUX21" s="94"/>
      <c r="BUY21" s="94"/>
      <c r="BUZ21" s="94"/>
      <c r="BVA21" s="94"/>
      <c r="BVB21" s="94"/>
      <c r="BVC21" s="94"/>
      <c r="BVD21" s="94"/>
      <c r="BVE21" s="94"/>
      <c r="BVF21" s="94"/>
      <c r="BVG21" s="94"/>
      <c r="BVH21" s="94"/>
      <c r="BVI21" s="94"/>
      <c r="BVJ21" s="94"/>
      <c r="BVK21" s="94"/>
      <c r="BVL21" s="94"/>
      <c r="BVM21" s="94"/>
      <c r="BVN21" s="94"/>
      <c r="BVO21" s="94"/>
      <c r="BVP21" s="94"/>
      <c r="BVQ21" s="94"/>
      <c r="BVR21" s="94"/>
      <c r="BVS21" s="94"/>
      <c r="BVT21" s="94"/>
      <c r="BVU21" s="94"/>
      <c r="BVV21" s="94"/>
      <c r="BVW21" s="94"/>
      <c r="BVX21" s="94"/>
      <c r="BVY21" s="94"/>
      <c r="BVZ21" s="94"/>
      <c r="BWA21" s="94"/>
      <c r="BWB21" s="94"/>
      <c r="BWC21" s="94"/>
      <c r="BWD21" s="94"/>
      <c r="BWE21" s="94"/>
      <c r="BWF21" s="94"/>
      <c r="BWG21" s="94"/>
      <c r="BWH21" s="94"/>
      <c r="BWI21" s="94"/>
      <c r="BWJ21" s="94"/>
      <c r="BWK21" s="94"/>
      <c r="BWL21" s="94"/>
      <c r="BWM21" s="94"/>
      <c r="BWN21" s="94"/>
      <c r="BWO21" s="94"/>
      <c r="BWP21" s="94"/>
      <c r="BWQ21" s="94"/>
      <c r="BWR21" s="94"/>
      <c r="BWS21" s="94"/>
      <c r="BWT21" s="94"/>
      <c r="BWU21" s="94"/>
      <c r="BWV21" s="94"/>
      <c r="BWW21" s="94"/>
      <c r="BWX21" s="94"/>
      <c r="BWY21" s="94"/>
      <c r="BWZ21" s="94"/>
      <c r="BXA21" s="94"/>
      <c r="BXB21" s="94"/>
      <c r="BXC21" s="94"/>
      <c r="BXD21" s="94"/>
      <c r="BXE21" s="94"/>
      <c r="BXF21" s="94"/>
      <c r="BXG21" s="94"/>
      <c r="BXH21" s="94"/>
      <c r="BXI21" s="94"/>
      <c r="BXJ21" s="94"/>
      <c r="BXK21" s="94"/>
      <c r="BXL21" s="94"/>
      <c r="BXM21" s="94"/>
      <c r="BXN21" s="94"/>
      <c r="BXO21" s="94"/>
      <c r="BXP21" s="94"/>
      <c r="BXQ21" s="94"/>
      <c r="BXR21" s="94"/>
      <c r="BXS21" s="94"/>
      <c r="BXT21" s="94"/>
      <c r="BXU21" s="94"/>
      <c r="BXV21" s="94"/>
      <c r="BXW21" s="94"/>
      <c r="BXX21" s="94"/>
      <c r="BXY21" s="94"/>
      <c r="BXZ21" s="94"/>
      <c r="BYA21" s="94"/>
      <c r="BYB21" s="94"/>
      <c r="BYC21" s="94"/>
      <c r="BYD21" s="94"/>
      <c r="BYE21" s="94"/>
      <c r="BYF21" s="94"/>
      <c r="BYG21" s="94"/>
      <c r="BYH21" s="94"/>
      <c r="BYI21" s="94"/>
      <c r="BYJ21" s="94"/>
      <c r="BYK21" s="94"/>
      <c r="BYL21" s="94"/>
      <c r="BYM21" s="94"/>
      <c r="BYN21" s="94"/>
      <c r="BYO21" s="94"/>
      <c r="BYP21" s="94"/>
      <c r="BYQ21" s="94"/>
      <c r="BYR21" s="94"/>
      <c r="BYS21" s="94"/>
      <c r="BYT21" s="94"/>
      <c r="BYU21" s="94"/>
      <c r="BYV21" s="94"/>
      <c r="BYW21" s="94"/>
      <c r="BYX21" s="94"/>
      <c r="BYY21" s="94"/>
      <c r="BYZ21" s="94"/>
      <c r="BZA21" s="94"/>
      <c r="BZB21" s="94"/>
      <c r="BZC21" s="94"/>
      <c r="BZD21" s="94"/>
      <c r="BZE21" s="94"/>
      <c r="BZF21" s="94"/>
      <c r="BZG21" s="94"/>
      <c r="BZH21" s="94"/>
      <c r="BZI21" s="94"/>
      <c r="BZJ21" s="94"/>
      <c r="BZK21" s="94"/>
      <c r="BZL21" s="94"/>
      <c r="BZM21" s="94"/>
      <c r="BZN21" s="94"/>
      <c r="BZO21" s="94"/>
      <c r="BZP21" s="94"/>
      <c r="BZQ21" s="94"/>
      <c r="BZR21" s="94"/>
      <c r="BZS21" s="94"/>
      <c r="BZT21" s="94"/>
      <c r="BZU21" s="94"/>
      <c r="BZV21" s="94"/>
      <c r="BZW21" s="94"/>
      <c r="BZX21" s="94"/>
      <c r="BZY21" s="94"/>
      <c r="BZZ21" s="94"/>
      <c r="CAA21" s="94"/>
      <c r="CAB21" s="94"/>
      <c r="CAC21" s="94"/>
      <c r="CAD21" s="94"/>
      <c r="CAE21" s="94"/>
      <c r="CAF21" s="94"/>
      <c r="CAG21" s="94"/>
      <c r="CAH21" s="94"/>
      <c r="CAI21" s="94"/>
      <c r="CAJ21" s="94"/>
      <c r="CAK21" s="94"/>
      <c r="CAL21" s="94"/>
      <c r="CAM21" s="94"/>
      <c r="CAN21" s="94"/>
      <c r="CAO21" s="94"/>
      <c r="CAP21" s="94"/>
      <c r="CAQ21" s="94"/>
      <c r="CAR21" s="94"/>
      <c r="CAS21" s="94"/>
      <c r="CAT21" s="94"/>
      <c r="CAU21" s="94"/>
      <c r="CAV21" s="94"/>
      <c r="CAW21" s="94"/>
      <c r="CAX21" s="94"/>
      <c r="CAY21" s="94"/>
      <c r="CAZ21" s="94"/>
      <c r="CBA21" s="94"/>
      <c r="CBB21" s="94"/>
      <c r="CBC21" s="94"/>
      <c r="CBD21" s="94"/>
      <c r="CBE21" s="94"/>
      <c r="CBF21" s="94"/>
      <c r="CBG21" s="94"/>
      <c r="CBH21" s="94"/>
      <c r="CBI21" s="94"/>
      <c r="CBJ21" s="94"/>
      <c r="CBK21" s="94"/>
      <c r="CBL21" s="94"/>
      <c r="CBM21" s="94"/>
      <c r="CBN21" s="94"/>
      <c r="CBO21" s="94"/>
      <c r="CBP21" s="94"/>
      <c r="CBQ21" s="94"/>
      <c r="CBR21" s="94"/>
      <c r="CBS21" s="94"/>
      <c r="CBT21" s="94"/>
      <c r="CBU21" s="94"/>
      <c r="CBV21" s="94"/>
      <c r="CBW21" s="94"/>
      <c r="CBX21" s="94"/>
      <c r="CBY21" s="94"/>
      <c r="CBZ21" s="94"/>
      <c r="CCA21" s="94"/>
      <c r="CCB21" s="94"/>
      <c r="CCC21" s="94"/>
      <c r="CCD21" s="94"/>
      <c r="CCE21" s="94"/>
      <c r="CCF21" s="94"/>
      <c r="CCG21" s="94"/>
      <c r="CCH21" s="94"/>
      <c r="CCI21" s="94"/>
      <c r="CCJ21" s="94"/>
      <c r="CCK21" s="94"/>
      <c r="CCL21" s="94"/>
      <c r="CCM21" s="94"/>
      <c r="CCN21" s="94"/>
      <c r="CCO21" s="94"/>
      <c r="CCP21" s="94"/>
      <c r="CCQ21" s="94"/>
      <c r="CCR21" s="94"/>
      <c r="CCS21" s="94"/>
      <c r="CCT21" s="94"/>
      <c r="CCU21" s="94"/>
      <c r="CCV21" s="94"/>
      <c r="CCW21" s="94"/>
      <c r="CCX21" s="94"/>
      <c r="CCY21" s="94"/>
      <c r="CCZ21" s="94"/>
      <c r="CDA21" s="94"/>
      <c r="CDB21" s="94"/>
      <c r="CDC21" s="94"/>
      <c r="CDD21" s="94"/>
      <c r="CDE21" s="94"/>
      <c r="CDF21" s="94"/>
      <c r="CDG21" s="94"/>
      <c r="CDH21" s="94"/>
      <c r="CDI21" s="94"/>
      <c r="CDJ21" s="94"/>
      <c r="CDK21" s="94"/>
      <c r="CDL21" s="94"/>
      <c r="CDM21" s="94"/>
      <c r="CDN21" s="94"/>
      <c r="CDO21" s="94"/>
      <c r="CDP21" s="94"/>
      <c r="CDQ21" s="94"/>
      <c r="CDR21" s="94"/>
      <c r="CDS21" s="94"/>
      <c r="CDT21" s="94"/>
      <c r="CDU21" s="94"/>
      <c r="CDV21" s="94"/>
      <c r="CDW21" s="94"/>
      <c r="CDX21" s="94"/>
      <c r="CDY21" s="94"/>
      <c r="CDZ21" s="94"/>
      <c r="CEA21" s="94"/>
      <c r="CEB21" s="94"/>
      <c r="CEC21" s="94"/>
      <c r="CED21" s="94"/>
      <c r="CEE21" s="94"/>
      <c r="CEF21" s="94"/>
      <c r="CEG21" s="94"/>
      <c r="CEH21" s="94"/>
      <c r="CEI21" s="94"/>
      <c r="CEJ21" s="94"/>
      <c r="CEK21" s="94"/>
      <c r="CEL21" s="94"/>
      <c r="CEM21" s="94"/>
      <c r="CEN21" s="94"/>
      <c r="CEO21" s="94"/>
      <c r="CEP21" s="94"/>
      <c r="CEQ21" s="94"/>
      <c r="CER21" s="94"/>
      <c r="CES21" s="94"/>
      <c r="CET21" s="94"/>
      <c r="CEU21" s="94"/>
      <c r="CEV21" s="94"/>
      <c r="CEW21" s="94"/>
      <c r="CEX21" s="94"/>
      <c r="CEY21" s="94"/>
      <c r="CEZ21" s="94"/>
      <c r="CFA21" s="94"/>
      <c r="CFB21" s="94"/>
      <c r="CFC21" s="94"/>
      <c r="CFD21" s="94"/>
      <c r="CFE21" s="94"/>
      <c r="CFF21" s="94"/>
      <c r="CFG21" s="94"/>
      <c r="CFH21" s="94"/>
      <c r="CFI21" s="94"/>
      <c r="CFJ21" s="94"/>
      <c r="CFK21" s="94"/>
      <c r="CFL21" s="94"/>
      <c r="CFM21" s="94"/>
      <c r="CFN21" s="94"/>
      <c r="CFO21" s="94"/>
      <c r="CFP21" s="94"/>
      <c r="CFQ21" s="94"/>
      <c r="CFR21" s="94"/>
      <c r="CFS21" s="94"/>
      <c r="CFT21" s="94"/>
      <c r="CFU21" s="94"/>
      <c r="CFV21" s="94"/>
      <c r="CFW21" s="94"/>
      <c r="CFX21" s="94"/>
      <c r="CFY21" s="94"/>
      <c r="CFZ21" s="94"/>
      <c r="CGA21" s="94"/>
      <c r="CGB21" s="94"/>
      <c r="CGC21" s="94"/>
      <c r="CGD21" s="94"/>
      <c r="CGE21" s="94"/>
      <c r="CGF21" s="94"/>
      <c r="CGG21" s="94"/>
      <c r="CGH21" s="94"/>
      <c r="CGI21" s="94"/>
      <c r="CGJ21" s="94"/>
      <c r="CGK21" s="94"/>
      <c r="CGL21" s="94"/>
      <c r="CGM21" s="94"/>
      <c r="CGN21" s="94"/>
      <c r="CGO21" s="94"/>
      <c r="CGP21" s="94"/>
      <c r="CGQ21" s="94"/>
      <c r="CGR21" s="94"/>
      <c r="CGS21" s="94"/>
      <c r="CGT21" s="94"/>
      <c r="CGU21" s="94"/>
      <c r="CGV21" s="94"/>
      <c r="CGW21" s="94"/>
      <c r="CGX21" s="94"/>
      <c r="CGY21" s="94"/>
      <c r="CGZ21" s="94"/>
      <c r="CHA21" s="94"/>
      <c r="CHB21" s="94"/>
      <c r="CHC21" s="94"/>
      <c r="CHD21" s="94"/>
      <c r="CHE21" s="94"/>
      <c r="CHF21" s="94"/>
      <c r="CHG21" s="94"/>
      <c r="CHH21" s="94"/>
      <c r="CHI21" s="94"/>
      <c r="CHJ21" s="94"/>
      <c r="CHK21" s="94"/>
      <c r="CHL21" s="94"/>
      <c r="CHM21" s="94"/>
      <c r="CHN21" s="94"/>
      <c r="CHO21" s="94"/>
      <c r="CHP21" s="94"/>
      <c r="CHQ21" s="94"/>
      <c r="CHR21" s="94"/>
      <c r="CHS21" s="94"/>
      <c r="CHT21" s="94"/>
      <c r="CHU21" s="94"/>
      <c r="CHV21" s="94"/>
      <c r="CHW21" s="94"/>
      <c r="CHX21" s="94"/>
      <c r="CHY21" s="94"/>
      <c r="CHZ21" s="94"/>
      <c r="CIA21" s="94"/>
      <c r="CIB21" s="94"/>
      <c r="CIC21" s="94"/>
      <c r="CID21" s="94"/>
      <c r="CIE21" s="94"/>
      <c r="CIF21" s="94"/>
      <c r="CIG21" s="94"/>
      <c r="CIH21" s="94"/>
      <c r="CII21" s="94"/>
      <c r="CIJ21" s="94"/>
      <c r="CIK21" s="94"/>
      <c r="CIL21" s="94"/>
      <c r="CIM21" s="94"/>
      <c r="CIN21" s="94"/>
      <c r="CIO21" s="94"/>
      <c r="CIP21" s="94"/>
      <c r="CIQ21" s="94"/>
      <c r="CIR21" s="94"/>
      <c r="CIS21" s="94"/>
      <c r="CIT21" s="94"/>
      <c r="CIU21" s="94"/>
      <c r="CIV21" s="94"/>
      <c r="CIW21" s="94"/>
      <c r="CIX21" s="94"/>
      <c r="CIY21" s="94"/>
      <c r="CIZ21" s="94"/>
      <c r="CJA21" s="94"/>
      <c r="CJB21" s="94"/>
      <c r="CJC21" s="94"/>
      <c r="CJD21" s="94"/>
      <c r="CJE21" s="94"/>
      <c r="CJF21" s="94"/>
      <c r="CJG21" s="94"/>
      <c r="CJH21" s="94"/>
      <c r="CJI21" s="94"/>
      <c r="CJJ21" s="94"/>
      <c r="CJK21" s="94"/>
      <c r="CJL21" s="94"/>
      <c r="CJM21" s="94"/>
      <c r="CJN21" s="94"/>
      <c r="CJO21" s="94"/>
      <c r="CJP21" s="94"/>
      <c r="CJQ21" s="94"/>
      <c r="CJR21" s="94"/>
      <c r="CJS21" s="94"/>
      <c r="CJT21" s="94"/>
      <c r="CJU21" s="94"/>
      <c r="CJV21" s="94"/>
      <c r="CJW21" s="94"/>
      <c r="CJX21" s="94"/>
      <c r="CJY21" s="94"/>
      <c r="CJZ21" s="94"/>
      <c r="CKA21" s="94"/>
      <c r="CKB21" s="94"/>
      <c r="CKC21" s="94"/>
      <c r="CKD21" s="94"/>
      <c r="CKE21" s="94"/>
      <c r="CKF21" s="94"/>
      <c r="CKG21" s="94"/>
      <c r="CKH21" s="94"/>
      <c r="CKI21" s="94"/>
      <c r="CKJ21" s="94"/>
      <c r="CKK21" s="94"/>
      <c r="CKL21" s="94"/>
      <c r="CKM21" s="94"/>
      <c r="CKN21" s="94"/>
      <c r="CKO21" s="94"/>
      <c r="CKP21" s="94"/>
      <c r="CKQ21" s="94"/>
      <c r="CKR21" s="94"/>
      <c r="CKS21" s="94"/>
      <c r="CKT21" s="94"/>
      <c r="CKU21" s="94"/>
      <c r="CKV21" s="94"/>
      <c r="CKW21" s="94"/>
      <c r="CKX21" s="94"/>
      <c r="CKY21" s="94"/>
      <c r="CKZ21" s="94"/>
      <c r="CLA21" s="94"/>
      <c r="CLB21" s="94"/>
      <c r="CLC21" s="94"/>
      <c r="CLD21" s="94"/>
      <c r="CLE21" s="94"/>
      <c r="CLF21" s="94"/>
      <c r="CLG21" s="94"/>
      <c r="CLH21" s="94"/>
      <c r="CLI21" s="94"/>
      <c r="CLJ21" s="94"/>
      <c r="CLK21" s="94"/>
      <c r="CLL21" s="94"/>
      <c r="CLM21" s="94"/>
      <c r="CLN21" s="94"/>
      <c r="CLO21" s="94"/>
      <c r="CLP21" s="94"/>
      <c r="CLQ21" s="94"/>
      <c r="CLR21" s="94"/>
      <c r="CLS21" s="94"/>
      <c r="CLT21" s="94"/>
      <c r="CLU21" s="94"/>
      <c r="CLV21" s="94"/>
      <c r="CLW21" s="94"/>
      <c r="CLX21" s="94"/>
      <c r="CLY21" s="94"/>
      <c r="CLZ21" s="94"/>
      <c r="CMA21" s="94"/>
      <c r="CMB21" s="94"/>
      <c r="CMC21" s="94"/>
      <c r="CMD21" s="94"/>
      <c r="CME21" s="94"/>
      <c r="CMF21" s="94"/>
      <c r="CMG21" s="94"/>
      <c r="CMH21" s="94"/>
      <c r="CMI21" s="94"/>
      <c r="CMJ21" s="94"/>
      <c r="CMK21" s="94"/>
      <c r="CML21" s="94"/>
      <c r="CMM21" s="94"/>
      <c r="CMN21" s="94"/>
      <c r="CMO21" s="94"/>
      <c r="CMP21" s="94"/>
      <c r="CMQ21" s="94"/>
      <c r="CMR21" s="94"/>
      <c r="CMS21" s="94"/>
      <c r="CMT21" s="94"/>
      <c r="CMU21" s="94"/>
      <c r="CMV21" s="94"/>
      <c r="CMW21" s="94"/>
      <c r="CMX21" s="94"/>
      <c r="CMY21" s="94"/>
      <c r="CMZ21" s="94"/>
      <c r="CNA21" s="94"/>
      <c r="CNB21" s="94"/>
      <c r="CNC21" s="94"/>
      <c r="CND21" s="94"/>
      <c r="CNE21" s="94"/>
      <c r="CNF21" s="94"/>
      <c r="CNG21" s="94"/>
      <c r="CNH21" s="94"/>
      <c r="CNI21" s="94"/>
      <c r="CNJ21" s="94"/>
      <c r="CNK21" s="94"/>
      <c r="CNL21" s="94"/>
      <c r="CNM21" s="94"/>
      <c r="CNN21" s="94"/>
      <c r="CNO21" s="94"/>
      <c r="CNP21" s="94"/>
      <c r="CNQ21" s="94"/>
      <c r="CNR21" s="94"/>
      <c r="CNS21" s="94"/>
      <c r="CNT21" s="94"/>
      <c r="CNU21" s="94"/>
      <c r="CNV21" s="94"/>
      <c r="CNW21" s="94"/>
      <c r="CNX21" s="94"/>
      <c r="CNY21" s="94"/>
      <c r="CNZ21" s="94"/>
      <c r="COA21" s="94"/>
      <c r="COB21" s="94"/>
      <c r="COC21" s="94"/>
      <c r="COD21" s="94"/>
      <c r="COE21" s="94"/>
      <c r="COF21" s="94"/>
      <c r="COG21" s="94"/>
      <c r="COH21" s="94"/>
      <c r="COI21" s="94"/>
      <c r="COJ21" s="94"/>
      <c r="COK21" s="94"/>
      <c r="COL21" s="94"/>
      <c r="COM21" s="94"/>
      <c r="CON21" s="94"/>
      <c r="COO21" s="94"/>
      <c r="COP21" s="94"/>
      <c r="COQ21" s="94"/>
      <c r="COR21" s="94"/>
      <c r="COS21" s="94"/>
      <c r="COT21" s="94"/>
      <c r="COU21" s="94"/>
      <c r="COV21" s="94"/>
      <c r="COW21" s="94"/>
      <c r="COX21" s="94"/>
      <c r="COY21" s="94"/>
      <c r="COZ21" s="94"/>
      <c r="CPA21" s="94"/>
      <c r="CPB21" s="94"/>
      <c r="CPC21" s="94"/>
      <c r="CPD21" s="94"/>
      <c r="CPE21" s="94"/>
      <c r="CPF21" s="94"/>
      <c r="CPG21" s="94"/>
      <c r="CPH21" s="94"/>
      <c r="CPI21" s="94"/>
      <c r="CPJ21" s="94"/>
      <c r="CPK21" s="94"/>
      <c r="CPL21" s="94"/>
      <c r="CPM21" s="94"/>
      <c r="CPN21" s="94"/>
      <c r="CPO21" s="94"/>
      <c r="CPP21" s="94"/>
      <c r="CPQ21" s="94"/>
      <c r="CPR21" s="94"/>
      <c r="CPS21" s="94"/>
      <c r="CPT21" s="94"/>
      <c r="CPU21" s="94"/>
      <c r="CPV21" s="94"/>
      <c r="CPW21" s="94"/>
      <c r="CPX21" s="94"/>
      <c r="CPY21" s="94"/>
      <c r="CPZ21" s="94"/>
      <c r="CQA21" s="94"/>
      <c r="CQB21" s="94"/>
      <c r="CQC21" s="94"/>
      <c r="CQD21" s="94"/>
      <c r="CQE21" s="94"/>
      <c r="CQF21" s="94"/>
      <c r="CQG21" s="94"/>
      <c r="CQH21" s="94"/>
      <c r="CQI21" s="94"/>
      <c r="CQJ21" s="94"/>
      <c r="CQK21" s="94"/>
      <c r="CQL21" s="94"/>
      <c r="CQM21" s="94"/>
      <c r="CQN21" s="94"/>
      <c r="CQO21" s="94"/>
      <c r="CQP21" s="94"/>
      <c r="CQQ21" s="94"/>
      <c r="CQR21" s="94"/>
      <c r="CQS21" s="94"/>
      <c r="CQT21" s="94"/>
      <c r="CQU21" s="94"/>
      <c r="CQV21" s="94"/>
      <c r="CQW21" s="94"/>
      <c r="CQX21" s="94"/>
      <c r="CQY21" s="94"/>
      <c r="CQZ21" s="94"/>
      <c r="CRA21" s="94"/>
      <c r="CRB21" s="94"/>
      <c r="CRC21" s="94"/>
      <c r="CRD21" s="94"/>
      <c r="CRE21" s="94"/>
      <c r="CRF21" s="94"/>
      <c r="CRG21" s="94"/>
      <c r="CRH21" s="94"/>
      <c r="CRI21" s="94"/>
      <c r="CRJ21" s="94"/>
      <c r="CRK21" s="94"/>
      <c r="CRL21" s="94"/>
      <c r="CRM21" s="94"/>
      <c r="CRN21" s="94"/>
      <c r="CRO21" s="94"/>
      <c r="CRP21" s="94"/>
      <c r="CRQ21" s="94"/>
      <c r="CRR21" s="94"/>
      <c r="CRS21" s="94"/>
      <c r="CRT21" s="94"/>
      <c r="CRU21" s="94"/>
      <c r="CRV21" s="94"/>
      <c r="CRW21" s="94"/>
      <c r="CRX21" s="94"/>
      <c r="CRY21" s="94"/>
      <c r="CRZ21" s="94"/>
      <c r="CSA21" s="94"/>
      <c r="CSB21" s="94"/>
      <c r="CSC21" s="94"/>
      <c r="CSD21" s="94"/>
      <c r="CSE21" s="94"/>
      <c r="CSF21" s="94"/>
      <c r="CSG21" s="94"/>
      <c r="CSH21" s="94"/>
      <c r="CSI21" s="94"/>
      <c r="CSJ21" s="94"/>
      <c r="CSK21" s="94"/>
      <c r="CSL21" s="94"/>
      <c r="CSM21" s="94"/>
      <c r="CSN21" s="94"/>
      <c r="CSO21" s="94"/>
      <c r="CSP21" s="94"/>
      <c r="CSQ21" s="94"/>
      <c r="CSR21" s="94"/>
      <c r="CSS21" s="94"/>
      <c r="CST21" s="94"/>
      <c r="CSU21" s="94"/>
      <c r="CSV21" s="94"/>
      <c r="CSW21" s="94"/>
      <c r="CSX21" s="94"/>
      <c r="CSY21" s="94"/>
      <c r="CSZ21" s="94"/>
      <c r="CTA21" s="94"/>
      <c r="CTB21" s="94"/>
      <c r="CTC21" s="94"/>
      <c r="CTD21" s="94"/>
      <c r="CTE21" s="94"/>
      <c r="CTF21" s="94"/>
      <c r="CTG21" s="94"/>
      <c r="CTH21" s="94"/>
      <c r="CTI21" s="94"/>
      <c r="CTJ21" s="94"/>
      <c r="CTK21" s="94"/>
      <c r="CTL21" s="94"/>
      <c r="CTM21" s="94"/>
      <c r="CTN21" s="94"/>
      <c r="CTO21" s="94"/>
      <c r="CTP21" s="94"/>
      <c r="CTQ21" s="94"/>
      <c r="CTR21" s="94"/>
      <c r="CTS21" s="94"/>
      <c r="CTT21" s="94"/>
      <c r="CTU21" s="94"/>
      <c r="CTV21" s="94"/>
      <c r="CTW21" s="94"/>
      <c r="CTX21" s="94"/>
      <c r="CTY21" s="94"/>
      <c r="CTZ21" s="94"/>
      <c r="CUA21" s="94"/>
      <c r="CUB21" s="94"/>
      <c r="CUC21" s="94"/>
      <c r="CUD21" s="94"/>
      <c r="CUE21" s="94"/>
      <c r="CUF21" s="94"/>
      <c r="CUG21" s="94"/>
      <c r="CUH21" s="94"/>
      <c r="CUI21" s="94"/>
      <c r="CUJ21" s="94"/>
      <c r="CUK21" s="94"/>
      <c r="CUL21" s="94"/>
      <c r="CUM21" s="94"/>
      <c r="CUN21" s="94"/>
      <c r="CUO21" s="94"/>
      <c r="CUP21" s="94"/>
      <c r="CUQ21" s="94"/>
      <c r="CUR21" s="94"/>
      <c r="CUS21" s="94"/>
      <c r="CUT21" s="94"/>
      <c r="CUU21" s="94"/>
      <c r="CUV21" s="94"/>
      <c r="CUW21" s="94"/>
      <c r="CUX21" s="94"/>
      <c r="CUY21" s="94"/>
      <c r="CUZ21" s="94"/>
      <c r="CVA21" s="94"/>
      <c r="CVB21" s="94"/>
      <c r="CVC21" s="94"/>
      <c r="CVD21" s="94"/>
      <c r="CVE21" s="94"/>
      <c r="CVF21" s="94"/>
      <c r="CVG21" s="94"/>
      <c r="CVH21" s="94"/>
      <c r="CVI21" s="94"/>
      <c r="CVJ21" s="94"/>
      <c r="CVK21" s="94"/>
      <c r="CVL21" s="94"/>
      <c r="CVM21" s="94"/>
      <c r="CVN21" s="94"/>
      <c r="CVO21" s="94"/>
      <c r="CVP21" s="94"/>
      <c r="CVQ21" s="94"/>
      <c r="CVR21" s="94"/>
      <c r="CVS21" s="94"/>
      <c r="CVT21" s="94"/>
      <c r="CVU21" s="94"/>
      <c r="CVV21" s="94"/>
      <c r="CVW21" s="94"/>
      <c r="CVX21" s="94"/>
      <c r="CVY21" s="94"/>
      <c r="CVZ21" s="94"/>
      <c r="CWA21" s="94"/>
      <c r="CWB21" s="94"/>
      <c r="CWC21" s="94"/>
      <c r="CWD21" s="94"/>
      <c r="CWE21" s="94"/>
      <c r="CWF21" s="94"/>
      <c r="CWG21" s="94"/>
      <c r="CWH21" s="94"/>
      <c r="CWI21" s="94"/>
      <c r="CWJ21" s="94"/>
      <c r="CWK21" s="94"/>
      <c r="CWL21" s="94"/>
      <c r="CWM21" s="94"/>
      <c r="CWN21" s="94"/>
      <c r="CWO21" s="94"/>
      <c r="CWP21" s="94"/>
      <c r="CWQ21" s="94"/>
      <c r="CWR21" s="94"/>
      <c r="CWS21" s="94"/>
      <c r="CWT21" s="94"/>
      <c r="CWU21" s="94"/>
      <c r="CWV21" s="94"/>
      <c r="CWW21" s="94"/>
      <c r="CWX21" s="94"/>
      <c r="CWY21" s="94"/>
      <c r="CWZ21" s="94"/>
      <c r="CXA21" s="94"/>
      <c r="CXB21" s="94"/>
      <c r="CXC21" s="94"/>
      <c r="CXD21" s="94"/>
      <c r="CXE21" s="94"/>
      <c r="CXF21" s="94"/>
      <c r="CXG21" s="94"/>
      <c r="CXH21" s="94"/>
      <c r="CXI21" s="94"/>
      <c r="CXJ21" s="94"/>
      <c r="CXK21" s="94"/>
      <c r="CXL21" s="94"/>
      <c r="CXM21" s="94"/>
      <c r="CXN21" s="94"/>
      <c r="CXO21" s="94"/>
      <c r="CXP21" s="94"/>
      <c r="CXQ21" s="94"/>
      <c r="CXR21" s="94"/>
      <c r="CXS21" s="94"/>
      <c r="CXT21" s="94"/>
      <c r="CXU21" s="94"/>
      <c r="CXV21" s="94"/>
      <c r="CXW21" s="94"/>
      <c r="CXX21" s="94"/>
      <c r="CXY21" s="94"/>
      <c r="CXZ21" s="94"/>
      <c r="CYA21" s="94"/>
      <c r="CYB21" s="94"/>
      <c r="CYC21" s="94"/>
      <c r="CYD21" s="94"/>
      <c r="CYE21" s="94"/>
      <c r="CYF21" s="94"/>
      <c r="CYG21" s="94"/>
      <c r="CYH21" s="94"/>
      <c r="CYI21" s="94"/>
      <c r="CYJ21" s="94"/>
      <c r="CYK21" s="94"/>
      <c r="CYL21" s="94"/>
      <c r="CYM21" s="94"/>
      <c r="CYN21" s="94"/>
      <c r="CYO21" s="94"/>
      <c r="CYP21" s="94"/>
      <c r="CYQ21" s="94"/>
      <c r="CYR21" s="94"/>
      <c r="CYS21" s="94"/>
      <c r="CYT21" s="94"/>
      <c r="CYU21" s="94"/>
      <c r="CYV21" s="94"/>
      <c r="CYW21" s="94"/>
      <c r="CYX21" s="94"/>
      <c r="CYY21" s="94"/>
      <c r="CYZ21" s="94"/>
      <c r="CZA21" s="94"/>
      <c r="CZB21" s="94"/>
      <c r="CZC21" s="94"/>
      <c r="CZD21" s="94"/>
      <c r="CZE21" s="94"/>
      <c r="CZF21" s="94"/>
      <c r="CZG21" s="94"/>
      <c r="CZH21" s="94"/>
      <c r="CZI21" s="94"/>
      <c r="CZJ21" s="94"/>
      <c r="CZK21" s="94"/>
      <c r="CZL21" s="94"/>
      <c r="CZM21" s="94"/>
      <c r="CZN21" s="94"/>
      <c r="CZO21" s="94"/>
      <c r="CZP21" s="94"/>
      <c r="CZQ21" s="94"/>
      <c r="CZR21" s="94"/>
      <c r="CZS21" s="94"/>
      <c r="CZT21" s="94"/>
      <c r="CZU21" s="94"/>
      <c r="CZV21" s="94"/>
      <c r="CZW21" s="94"/>
      <c r="CZX21" s="94"/>
      <c r="CZY21" s="94"/>
      <c r="CZZ21" s="94"/>
      <c r="DAA21" s="94"/>
      <c r="DAB21" s="94"/>
      <c r="DAC21" s="94"/>
      <c r="DAD21" s="94"/>
      <c r="DAE21" s="94"/>
      <c r="DAF21" s="94"/>
      <c r="DAG21" s="94"/>
      <c r="DAH21" s="94"/>
      <c r="DAI21" s="94"/>
      <c r="DAJ21" s="94"/>
      <c r="DAK21" s="94"/>
      <c r="DAL21" s="94"/>
      <c r="DAM21" s="94"/>
      <c r="DAN21" s="94"/>
      <c r="DAO21" s="94"/>
      <c r="DAP21" s="94"/>
      <c r="DAQ21" s="94"/>
      <c r="DAR21" s="94"/>
      <c r="DAS21" s="94"/>
      <c r="DAT21" s="94"/>
      <c r="DAU21" s="94"/>
      <c r="DAV21" s="94"/>
      <c r="DAW21" s="94"/>
      <c r="DAX21" s="94"/>
      <c r="DAY21" s="94"/>
      <c r="DAZ21" s="94"/>
      <c r="DBA21" s="94"/>
      <c r="DBB21" s="94"/>
      <c r="DBC21" s="94"/>
      <c r="DBD21" s="94"/>
      <c r="DBE21" s="94"/>
      <c r="DBF21" s="94"/>
      <c r="DBG21" s="94"/>
      <c r="DBH21" s="94"/>
      <c r="DBI21" s="94"/>
      <c r="DBJ21" s="94"/>
      <c r="DBK21" s="94"/>
      <c r="DBL21" s="94"/>
      <c r="DBM21" s="94"/>
      <c r="DBN21" s="94"/>
      <c r="DBO21" s="94"/>
      <c r="DBP21" s="94"/>
      <c r="DBQ21" s="94"/>
      <c r="DBR21" s="94"/>
      <c r="DBS21" s="94"/>
      <c r="DBT21" s="94"/>
      <c r="DBU21" s="94"/>
      <c r="DBV21" s="94"/>
      <c r="DBW21" s="94"/>
      <c r="DBX21" s="94"/>
      <c r="DBY21" s="94"/>
      <c r="DBZ21" s="94"/>
      <c r="DCA21" s="94"/>
      <c r="DCB21" s="94"/>
      <c r="DCC21" s="94"/>
      <c r="DCD21" s="94"/>
      <c r="DCE21" s="94"/>
      <c r="DCF21" s="94"/>
      <c r="DCG21" s="94"/>
      <c r="DCH21" s="94"/>
      <c r="DCI21" s="94"/>
      <c r="DCJ21" s="94"/>
      <c r="DCK21" s="94"/>
      <c r="DCL21" s="94"/>
      <c r="DCM21" s="94"/>
      <c r="DCN21" s="94"/>
      <c r="DCO21" s="94"/>
      <c r="DCP21" s="94"/>
      <c r="DCQ21" s="94"/>
      <c r="DCR21" s="94"/>
      <c r="DCS21" s="94"/>
      <c r="DCT21" s="94"/>
      <c r="DCU21" s="94"/>
      <c r="DCV21" s="94"/>
      <c r="DCW21" s="94"/>
      <c r="DCX21" s="94"/>
      <c r="DCY21" s="94"/>
      <c r="DCZ21" s="94"/>
      <c r="DDA21" s="94"/>
      <c r="DDB21" s="94"/>
      <c r="DDC21" s="94"/>
      <c r="DDD21" s="94"/>
      <c r="DDE21" s="94"/>
      <c r="DDF21" s="94"/>
      <c r="DDG21" s="94"/>
      <c r="DDH21" s="94"/>
      <c r="DDI21" s="94"/>
      <c r="DDJ21" s="94"/>
      <c r="DDK21" s="94"/>
      <c r="DDL21" s="94"/>
      <c r="DDM21" s="94"/>
      <c r="DDN21" s="94"/>
      <c r="DDO21" s="94"/>
      <c r="DDP21" s="94"/>
      <c r="DDQ21" s="94"/>
      <c r="DDR21" s="94"/>
      <c r="DDS21" s="94"/>
      <c r="DDT21" s="94"/>
      <c r="DDU21" s="94"/>
      <c r="DDV21" s="94"/>
      <c r="DDW21" s="94"/>
      <c r="DDX21" s="94"/>
      <c r="DDY21" s="94"/>
      <c r="DDZ21" s="94"/>
      <c r="DEA21" s="94"/>
      <c r="DEB21" s="94"/>
      <c r="DEC21" s="94"/>
      <c r="DED21" s="94"/>
      <c r="DEE21" s="94"/>
      <c r="DEF21" s="94"/>
      <c r="DEG21" s="94"/>
      <c r="DEH21" s="94"/>
      <c r="DEI21" s="94"/>
      <c r="DEJ21" s="94"/>
      <c r="DEK21" s="94"/>
      <c r="DEL21" s="94"/>
      <c r="DEM21" s="94"/>
      <c r="DEN21" s="94"/>
      <c r="DEO21" s="94"/>
      <c r="DEP21" s="94"/>
      <c r="DEQ21" s="94"/>
      <c r="DER21" s="94"/>
      <c r="DES21" s="94"/>
      <c r="DET21" s="94"/>
      <c r="DEU21" s="94"/>
      <c r="DEV21" s="94"/>
      <c r="DEW21" s="94"/>
      <c r="DEX21" s="94"/>
      <c r="DEY21" s="94"/>
      <c r="DEZ21" s="94"/>
      <c r="DFA21" s="94"/>
      <c r="DFB21" s="94"/>
      <c r="DFC21" s="94"/>
      <c r="DFD21" s="94"/>
      <c r="DFE21" s="94"/>
      <c r="DFF21" s="94"/>
      <c r="DFG21" s="94"/>
      <c r="DFH21" s="94"/>
      <c r="DFI21" s="94"/>
      <c r="DFJ21" s="94"/>
      <c r="DFK21" s="94"/>
      <c r="DFL21" s="94"/>
      <c r="DFM21" s="94"/>
      <c r="DFN21" s="94"/>
      <c r="DFO21" s="94"/>
      <c r="DFP21" s="94"/>
      <c r="DFQ21" s="94"/>
      <c r="DFR21" s="94"/>
      <c r="DFS21" s="94"/>
      <c r="DFT21" s="94"/>
      <c r="DFU21" s="94"/>
      <c r="DFV21" s="94"/>
      <c r="DFW21" s="94"/>
      <c r="DFX21" s="94"/>
      <c r="DFY21" s="94"/>
      <c r="DFZ21" s="94"/>
      <c r="DGA21" s="94"/>
      <c r="DGB21" s="94"/>
      <c r="DGC21" s="94"/>
      <c r="DGD21" s="94"/>
      <c r="DGE21" s="94"/>
      <c r="DGF21" s="94"/>
      <c r="DGG21" s="94"/>
      <c r="DGH21" s="94"/>
      <c r="DGI21" s="94"/>
      <c r="DGJ21" s="94"/>
      <c r="DGK21" s="94"/>
      <c r="DGL21" s="94"/>
      <c r="DGM21" s="94"/>
      <c r="DGN21" s="94"/>
      <c r="DGO21" s="94"/>
      <c r="DGP21" s="94"/>
      <c r="DGQ21" s="94"/>
      <c r="DGR21" s="94"/>
      <c r="DGS21" s="94"/>
      <c r="DGT21" s="94"/>
      <c r="DGU21" s="94"/>
      <c r="DGV21" s="94"/>
      <c r="DGW21" s="94"/>
      <c r="DGX21" s="94"/>
      <c r="DGY21" s="94"/>
      <c r="DGZ21" s="94"/>
      <c r="DHA21" s="94"/>
      <c r="DHB21" s="94"/>
      <c r="DHC21" s="94"/>
      <c r="DHD21" s="94"/>
      <c r="DHE21" s="94"/>
      <c r="DHF21" s="94"/>
      <c r="DHG21" s="94"/>
      <c r="DHH21" s="94"/>
      <c r="DHI21" s="94"/>
      <c r="DHJ21" s="94"/>
      <c r="DHK21" s="94"/>
      <c r="DHL21" s="94"/>
      <c r="DHM21" s="94"/>
      <c r="DHN21" s="94"/>
      <c r="DHO21" s="94"/>
      <c r="DHP21" s="94"/>
      <c r="DHQ21" s="94"/>
      <c r="DHR21" s="94"/>
      <c r="DHS21" s="94"/>
      <c r="DHT21" s="94"/>
      <c r="DHU21" s="94"/>
      <c r="DHV21" s="94"/>
      <c r="DHW21" s="94"/>
      <c r="DHX21" s="94"/>
      <c r="DHY21" s="94"/>
      <c r="DHZ21" s="94"/>
      <c r="DIA21" s="94"/>
      <c r="DIB21" s="94"/>
      <c r="DIC21" s="94"/>
      <c r="DID21" s="94"/>
      <c r="DIE21" s="94"/>
      <c r="DIF21" s="94"/>
      <c r="DIG21" s="94"/>
      <c r="DIH21" s="94"/>
      <c r="DII21" s="94"/>
      <c r="DIJ21" s="94"/>
      <c r="DIK21" s="94"/>
      <c r="DIL21" s="94"/>
      <c r="DIM21" s="94"/>
      <c r="DIN21" s="94"/>
      <c r="DIO21" s="94"/>
      <c r="DIP21" s="94"/>
      <c r="DIQ21" s="94"/>
      <c r="DIR21" s="94"/>
      <c r="DIS21" s="94"/>
      <c r="DIT21" s="94"/>
      <c r="DIU21" s="94"/>
      <c r="DIV21" s="94"/>
      <c r="DIW21" s="94"/>
      <c r="DIX21" s="94"/>
      <c r="DIY21" s="94"/>
      <c r="DIZ21" s="94"/>
      <c r="DJA21" s="94"/>
      <c r="DJB21" s="94"/>
      <c r="DJC21" s="94"/>
      <c r="DJD21" s="94"/>
      <c r="DJE21" s="94"/>
      <c r="DJF21" s="94"/>
      <c r="DJG21" s="94"/>
      <c r="DJH21" s="94"/>
      <c r="DJI21" s="94"/>
      <c r="DJJ21" s="94"/>
      <c r="DJK21" s="94"/>
      <c r="DJL21" s="94"/>
      <c r="DJM21" s="94"/>
      <c r="DJN21" s="94"/>
      <c r="DJO21" s="94"/>
      <c r="DJP21" s="94"/>
      <c r="DJQ21" s="94"/>
      <c r="DJR21" s="94"/>
      <c r="DJS21" s="94"/>
      <c r="DJT21" s="94"/>
      <c r="DJU21" s="94"/>
      <c r="DJV21" s="94"/>
      <c r="DJW21" s="94"/>
      <c r="DJX21" s="94"/>
      <c r="DJY21" s="94"/>
      <c r="DJZ21" s="94"/>
      <c r="DKA21" s="94"/>
      <c r="DKB21" s="94"/>
      <c r="DKC21" s="94"/>
      <c r="DKD21" s="94"/>
      <c r="DKE21" s="94"/>
      <c r="DKF21" s="94"/>
      <c r="DKG21" s="94"/>
      <c r="DKH21" s="94"/>
      <c r="DKI21" s="94"/>
      <c r="DKJ21" s="94"/>
      <c r="DKK21" s="94"/>
      <c r="DKL21" s="94"/>
      <c r="DKM21" s="94"/>
      <c r="DKN21" s="94"/>
      <c r="DKO21" s="94"/>
      <c r="DKP21" s="94"/>
      <c r="DKQ21" s="94"/>
      <c r="DKR21" s="94"/>
      <c r="DKS21" s="94"/>
      <c r="DKT21" s="94"/>
      <c r="DKU21" s="94"/>
      <c r="DKV21" s="94"/>
      <c r="DKW21" s="94"/>
      <c r="DKX21" s="94"/>
      <c r="DKY21" s="94"/>
      <c r="DKZ21" s="94"/>
      <c r="DLA21" s="94"/>
      <c r="DLB21" s="94"/>
      <c r="DLC21" s="94"/>
      <c r="DLD21" s="94"/>
      <c r="DLE21" s="94"/>
      <c r="DLF21" s="94"/>
      <c r="DLG21" s="94"/>
      <c r="DLH21" s="94"/>
      <c r="DLI21" s="94"/>
      <c r="DLJ21" s="94"/>
      <c r="DLK21" s="94"/>
      <c r="DLL21" s="94"/>
      <c r="DLM21" s="94"/>
      <c r="DLN21" s="94"/>
      <c r="DLO21" s="94"/>
      <c r="DLP21" s="94"/>
      <c r="DLQ21" s="94"/>
      <c r="DLR21" s="94"/>
      <c r="DLS21" s="94"/>
      <c r="DLT21" s="94"/>
      <c r="DLU21" s="94"/>
      <c r="DLV21" s="94"/>
      <c r="DLW21" s="94"/>
      <c r="DLX21" s="94"/>
      <c r="DLY21" s="94"/>
      <c r="DLZ21" s="94"/>
      <c r="DMA21" s="94"/>
      <c r="DMB21" s="94"/>
      <c r="DMC21" s="94"/>
      <c r="DMD21" s="94"/>
      <c r="DME21" s="94"/>
      <c r="DMF21" s="94"/>
      <c r="DMG21" s="94"/>
      <c r="DMH21" s="94"/>
      <c r="DMI21" s="94"/>
      <c r="DMJ21" s="94"/>
      <c r="DMK21" s="94"/>
      <c r="DML21" s="94"/>
      <c r="DMM21" s="94"/>
      <c r="DMN21" s="94"/>
      <c r="DMO21" s="94"/>
      <c r="DMP21" s="94"/>
      <c r="DMQ21" s="94"/>
      <c r="DMR21" s="94"/>
      <c r="DMS21" s="94"/>
      <c r="DMT21" s="94"/>
      <c r="DMU21" s="94"/>
      <c r="DMV21" s="94"/>
      <c r="DMW21" s="94"/>
      <c r="DMX21" s="94"/>
      <c r="DMY21" s="94"/>
      <c r="DMZ21" s="94"/>
      <c r="DNA21" s="94"/>
      <c r="DNB21" s="94"/>
      <c r="DNC21" s="94"/>
      <c r="DND21" s="94"/>
      <c r="DNE21" s="94"/>
      <c r="DNF21" s="94"/>
      <c r="DNG21" s="94"/>
      <c r="DNH21" s="94"/>
      <c r="DNI21" s="94"/>
      <c r="DNJ21" s="94"/>
      <c r="DNK21" s="94"/>
      <c r="DNL21" s="94"/>
      <c r="DNM21" s="94"/>
      <c r="DNN21" s="94"/>
      <c r="DNO21" s="94"/>
      <c r="DNP21" s="94"/>
      <c r="DNQ21" s="94"/>
      <c r="DNR21" s="94"/>
      <c r="DNS21" s="94"/>
      <c r="DNT21" s="94"/>
      <c r="DNU21" s="94"/>
      <c r="DNV21" s="94"/>
      <c r="DNW21" s="94"/>
      <c r="DNX21" s="94"/>
      <c r="DNY21" s="94"/>
      <c r="DNZ21" s="94"/>
      <c r="DOA21" s="94"/>
      <c r="DOB21" s="94"/>
      <c r="DOC21" s="94"/>
      <c r="DOD21" s="94"/>
      <c r="DOE21" s="94"/>
      <c r="DOF21" s="94"/>
      <c r="DOG21" s="94"/>
      <c r="DOH21" s="94"/>
      <c r="DOI21" s="94"/>
      <c r="DOJ21" s="94"/>
      <c r="DOK21" s="94"/>
      <c r="DOL21" s="94"/>
      <c r="DOM21" s="94"/>
      <c r="DON21" s="94"/>
      <c r="DOO21" s="94"/>
      <c r="DOP21" s="94"/>
      <c r="DOQ21" s="94"/>
      <c r="DOR21" s="94"/>
      <c r="DOS21" s="94"/>
      <c r="DOT21" s="94"/>
      <c r="DOU21" s="94"/>
      <c r="DOV21" s="94"/>
      <c r="DOW21" s="94"/>
      <c r="DOX21" s="94"/>
      <c r="DOY21" s="94"/>
      <c r="DOZ21" s="94"/>
      <c r="DPA21" s="94"/>
      <c r="DPB21" s="94"/>
      <c r="DPC21" s="94"/>
      <c r="DPD21" s="94"/>
      <c r="DPE21" s="94"/>
      <c r="DPF21" s="94"/>
      <c r="DPG21" s="94"/>
      <c r="DPH21" s="94"/>
      <c r="DPI21" s="94"/>
      <c r="DPJ21" s="94"/>
      <c r="DPK21" s="94"/>
      <c r="DPL21" s="94"/>
      <c r="DPM21" s="94"/>
      <c r="DPN21" s="94"/>
      <c r="DPO21" s="94"/>
      <c r="DPP21" s="94"/>
      <c r="DPQ21" s="94"/>
      <c r="DPR21" s="94"/>
      <c r="DPS21" s="94"/>
      <c r="DPT21" s="94"/>
      <c r="DPU21" s="94"/>
      <c r="DPV21" s="94"/>
      <c r="DPW21" s="94"/>
      <c r="DPX21" s="94"/>
      <c r="DPY21" s="94"/>
      <c r="DPZ21" s="94"/>
      <c r="DQA21" s="94"/>
      <c r="DQB21" s="94"/>
      <c r="DQC21" s="94"/>
      <c r="DQD21" s="94"/>
      <c r="DQE21" s="94"/>
      <c r="DQF21" s="94"/>
      <c r="DQG21" s="94"/>
      <c r="DQH21" s="94"/>
      <c r="DQI21" s="94"/>
      <c r="DQJ21" s="94"/>
      <c r="DQK21" s="94"/>
      <c r="DQL21" s="94"/>
      <c r="DQM21" s="94"/>
      <c r="DQN21" s="94"/>
      <c r="DQO21" s="94"/>
      <c r="DQP21" s="94"/>
      <c r="DQQ21" s="94"/>
      <c r="DQR21" s="94"/>
      <c r="DQS21" s="94"/>
      <c r="DQT21" s="94"/>
      <c r="DQU21" s="94"/>
      <c r="DQV21" s="94"/>
      <c r="DQW21" s="94"/>
      <c r="DQX21" s="94"/>
      <c r="DQY21" s="94"/>
      <c r="DQZ21" s="94"/>
      <c r="DRA21" s="94"/>
      <c r="DRB21" s="94"/>
      <c r="DRC21" s="94"/>
      <c r="DRD21" s="94"/>
      <c r="DRE21" s="94"/>
      <c r="DRF21" s="94"/>
      <c r="DRG21" s="94"/>
      <c r="DRH21" s="94"/>
      <c r="DRI21" s="94"/>
      <c r="DRJ21" s="94"/>
      <c r="DRK21" s="94"/>
      <c r="DRL21" s="94"/>
      <c r="DRM21" s="94"/>
      <c r="DRN21" s="94"/>
      <c r="DRO21" s="94"/>
      <c r="DRP21" s="94"/>
      <c r="DRQ21" s="94"/>
      <c r="DRR21" s="94"/>
      <c r="DRS21" s="94"/>
      <c r="DRT21" s="94"/>
      <c r="DRU21" s="94"/>
      <c r="DRV21" s="94"/>
      <c r="DRW21" s="94"/>
      <c r="DRX21" s="94"/>
      <c r="DRY21" s="94"/>
      <c r="DRZ21" s="94"/>
      <c r="DSA21" s="94"/>
      <c r="DSB21" s="94"/>
      <c r="DSC21" s="94"/>
      <c r="DSD21" s="94"/>
      <c r="DSE21" s="94"/>
      <c r="DSF21" s="94"/>
      <c r="DSG21" s="94"/>
      <c r="DSH21" s="94"/>
      <c r="DSI21" s="94"/>
      <c r="DSJ21" s="94"/>
      <c r="DSK21" s="94"/>
      <c r="DSL21" s="94"/>
      <c r="DSM21" s="94"/>
      <c r="DSN21" s="94"/>
      <c r="DSO21" s="94"/>
      <c r="DSP21" s="94"/>
      <c r="DSQ21" s="94"/>
      <c r="DSR21" s="94"/>
      <c r="DSS21" s="94"/>
      <c r="DST21" s="94"/>
      <c r="DSU21" s="94"/>
      <c r="DSV21" s="94"/>
      <c r="DSW21" s="94"/>
      <c r="DSX21" s="94"/>
      <c r="DSY21" s="94"/>
      <c r="DSZ21" s="94"/>
      <c r="DTA21" s="94"/>
      <c r="DTB21" s="94"/>
      <c r="DTC21" s="94"/>
      <c r="DTD21" s="94"/>
      <c r="DTE21" s="94"/>
      <c r="DTF21" s="94"/>
      <c r="DTG21" s="94"/>
      <c r="DTH21" s="94"/>
      <c r="DTI21" s="94"/>
      <c r="DTJ21" s="94"/>
      <c r="DTK21" s="94"/>
      <c r="DTL21" s="94"/>
      <c r="DTM21" s="94"/>
      <c r="DTN21" s="94"/>
      <c r="DTO21" s="94"/>
      <c r="DTP21" s="94"/>
      <c r="DTQ21" s="94"/>
      <c r="DTR21" s="94"/>
      <c r="DTS21" s="94"/>
      <c r="DTT21" s="94"/>
      <c r="DTU21" s="94"/>
      <c r="DTV21" s="94"/>
      <c r="DTW21" s="94"/>
      <c r="DTX21" s="94"/>
      <c r="DTY21" s="94"/>
      <c r="DTZ21" s="94"/>
      <c r="DUA21" s="94"/>
      <c r="DUB21" s="94"/>
      <c r="DUC21" s="94"/>
      <c r="DUD21" s="94"/>
      <c r="DUE21" s="94"/>
      <c r="DUF21" s="94"/>
      <c r="DUG21" s="94"/>
      <c r="DUH21" s="94"/>
      <c r="DUI21" s="94"/>
      <c r="DUJ21" s="94"/>
      <c r="DUK21" s="94"/>
      <c r="DUL21" s="94"/>
      <c r="DUM21" s="94"/>
      <c r="DUN21" s="94"/>
      <c r="DUO21" s="94"/>
      <c r="DUP21" s="94"/>
      <c r="DUQ21" s="94"/>
      <c r="DUR21" s="94"/>
      <c r="DUS21" s="94"/>
      <c r="DUT21" s="94"/>
      <c r="DUU21" s="94"/>
      <c r="DUV21" s="94"/>
      <c r="DUW21" s="94"/>
      <c r="DUX21" s="94"/>
      <c r="DUY21" s="94"/>
      <c r="DUZ21" s="94"/>
      <c r="DVA21" s="94"/>
      <c r="DVB21" s="94"/>
      <c r="DVC21" s="94"/>
      <c r="DVD21" s="94"/>
      <c r="DVE21" s="94"/>
      <c r="DVF21" s="94"/>
      <c r="DVG21" s="94"/>
      <c r="DVH21" s="94"/>
      <c r="DVI21" s="94"/>
      <c r="DVJ21" s="94"/>
      <c r="DVK21" s="94"/>
      <c r="DVL21" s="94"/>
      <c r="DVM21" s="94"/>
      <c r="DVN21" s="94"/>
      <c r="DVO21" s="94"/>
      <c r="DVP21" s="94"/>
      <c r="DVQ21" s="94"/>
      <c r="DVR21" s="94"/>
      <c r="DVS21" s="94"/>
      <c r="DVT21" s="94"/>
      <c r="DVU21" s="94"/>
      <c r="DVV21" s="94"/>
      <c r="DVW21" s="94"/>
      <c r="DVX21" s="94"/>
      <c r="DVY21" s="94"/>
      <c r="DVZ21" s="94"/>
      <c r="DWA21" s="94"/>
      <c r="DWB21" s="94"/>
      <c r="DWC21" s="94"/>
      <c r="DWD21" s="94"/>
      <c r="DWE21" s="94"/>
      <c r="DWF21" s="94"/>
      <c r="DWG21" s="94"/>
      <c r="DWH21" s="94"/>
      <c r="DWI21" s="94"/>
      <c r="DWJ21" s="94"/>
      <c r="DWK21" s="94"/>
      <c r="DWL21" s="94"/>
      <c r="DWM21" s="94"/>
      <c r="DWN21" s="94"/>
      <c r="DWO21" s="94"/>
      <c r="DWP21" s="94"/>
      <c r="DWQ21" s="94"/>
      <c r="DWR21" s="94"/>
      <c r="DWS21" s="94"/>
      <c r="DWT21" s="94"/>
      <c r="DWU21" s="94"/>
      <c r="DWV21" s="94"/>
      <c r="DWW21" s="94"/>
      <c r="DWX21" s="94"/>
      <c r="DWY21" s="94"/>
      <c r="DWZ21" s="94"/>
      <c r="DXA21" s="94"/>
      <c r="DXB21" s="94"/>
      <c r="DXC21" s="94"/>
      <c r="DXD21" s="94"/>
      <c r="DXE21" s="94"/>
      <c r="DXF21" s="94"/>
      <c r="DXG21" s="94"/>
      <c r="DXH21" s="94"/>
      <c r="DXI21" s="94"/>
      <c r="DXJ21" s="94"/>
      <c r="DXK21" s="94"/>
      <c r="DXL21" s="94"/>
      <c r="DXM21" s="94"/>
      <c r="DXN21" s="94"/>
      <c r="DXO21" s="94"/>
      <c r="DXP21" s="94"/>
      <c r="DXQ21" s="94"/>
      <c r="DXR21" s="94"/>
      <c r="DXS21" s="94"/>
      <c r="DXT21" s="94"/>
      <c r="DXU21" s="94"/>
      <c r="DXV21" s="94"/>
      <c r="DXW21" s="94"/>
      <c r="DXX21" s="94"/>
      <c r="DXY21" s="94"/>
      <c r="DXZ21" s="94"/>
      <c r="DYA21" s="94"/>
      <c r="DYB21" s="94"/>
      <c r="DYC21" s="94"/>
      <c r="DYD21" s="94"/>
      <c r="DYE21" s="94"/>
      <c r="DYF21" s="94"/>
      <c r="DYG21" s="94"/>
      <c r="DYH21" s="94"/>
      <c r="DYI21" s="94"/>
      <c r="DYJ21" s="94"/>
      <c r="DYK21" s="94"/>
      <c r="DYL21" s="94"/>
      <c r="DYM21" s="94"/>
      <c r="DYN21" s="94"/>
      <c r="DYO21" s="94"/>
      <c r="DYP21" s="94"/>
      <c r="DYQ21" s="94"/>
      <c r="DYR21" s="94"/>
      <c r="DYS21" s="94"/>
      <c r="DYT21" s="94"/>
      <c r="DYU21" s="94"/>
      <c r="DYV21" s="94"/>
      <c r="DYW21" s="94"/>
      <c r="DYX21" s="94"/>
      <c r="DYY21" s="94"/>
      <c r="DYZ21" s="94"/>
      <c r="DZA21" s="94"/>
      <c r="DZB21" s="94"/>
      <c r="DZC21" s="94"/>
      <c r="DZD21" s="94"/>
      <c r="DZE21" s="94"/>
      <c r="DZF21" s="94"/>
      <c r="DZG21" s="94"/>
      <c r="DZH21" s="94"/>
      <c r="DZI21" s="94"/>
      <c r="DZJ21" s="94"/>
      <c r="DZK21" s="94"/>
      <c r="DZL21" s="94"/>
      <c r="DZM21" s="94"/>
      <c r="DZN21" s="94"/>
      <c r="DZO21" s="94"/>
      <c r="DZP21" s="94"/>
      <c r="DZQ21" s="94"/>
      <c r="DZR21" s="94"/>
      <c r="DZS21" s="94"/>
      <c r="DZT21" s="94"/>
      <c r="DZU21" s="94"/>
      <c r="DZV21" s="94"/>
      <c r="DZW21" s="94"/>
      <c r="DZX21" s="94"/>
      <c r="DZY21" s="94"/>
      <c r="DZZ21" s="94"/>
      <c r="EAA21" s="94"/>
      <c r="EAB21" s="94"/>
      <c r="EAC21" s="94"/>
      <c r="EAD21" s="94"/>
      <c r="EAE21" s="94"/>
      <c r="EAF21" s="94"/>
      <c r="EAG21" s="94"/>
      <c r="EAH21" s="94"/>
      <c r="EAI21" s="94"/>
      <c r="EAJ21" s="94"/>
      <c r="EAK21" s="94"/>
      <c r="EAL21" s="94"/>
      <c r="EAM21" s="94"/>
      <c r="EAN21" s="94"/>
      <c r="EAO21" s="94"/>
      <c r="EAP21" s="94"/>
      <c r="EAQ21" s="94"/>
      <c r="EAR21" s="94"/>
      <c r="EAS21" s="94"/>
      <c r="EAT21" s="94"/>
      <c r="EAU21" s="94"/>
      <c r="EAV21" s="94"/>
      <c r="EAW21" s="94"/>
      <c r="EAX21" s="94"/>
      <c r="EAY21" s="94"/>
      <c r="EAZ21" s="94"/>
      <c r="EBA21" s="94"/>
      <c r="EBB21" s="94"/>
      <c r="EBC21" s="94"/>
      <c r="EBD21" s="94"/>
      <c r="EBE21" s="94"/>
      <c r="EBF21" s="94"/>
      <c r="EBG21" s="94"/>
      <c r="EBH21" s="94"/>
      <c r="EBI21" s="94"/>
      <c r="EBJ21" s="94"/>
      <c r="EBK21" s="94"/>
      <c r="EBL21" s="94"/>
      <c r="EBM21" s="94"/>
      <c r="EBN21" s="94"/>
      <c r="EBO21" s="94"/>
      <c r="EBP21" s="94"/>
      <c r="EBQ21" s="94"/>
      <c r="EBR21" s="94"/>
      <c r="EBS21" s="94"/>
      <c r="EBT21" s="94"/>
      <c r="EBU21" s="94"/>
      <c r="EBV21" s="94"/>
      <c r="EBW21" s="94"/>
      <c r="EBX21" s="94"/>
      <c r="EBY21" s="94"/>
      <c r="EBZ21" s="94"/>
      <c r="ECA21" s="94"/>
      <c r="ECB21" s="94"/>
      <c r="ECC21" s="94"/>
      <c r="ECD21" s="94"/>
      <c r="ECE21" s="94"/>
      <c r="ECF21" s="94"/>
      <c r="ECG21" s="94"/>
      <c r="ECH21" s="94"/>
      <c r="ECI21" s="94"/>
      <c r="ECJ21" s="94"/>
      <c r="ECK21" s="94"/>
      <c r="ECL21" s="94"/>
      <c r="ECM21" s="94"/>
      <c r="ECN21" s="94"/>
      <c r="ECO21" s="94"/>
      <c r="ECP21" s="94"/>
      <c r="ECQ21" s="94"/>
      <c r="ECR21" s="94"/>
      <c r="ECS21" s="94"/>
      <c r="ECT21" s="94"/>
      <c r="ECU21" s="94"/>
      <c r="ECV21" s="94"/>
      <c r="ECW21" s="94"/>
      <c r="ECX21" s="94"/>
      <c r="ECY21" s="94"/>
      <c r="ECZ21" s="94"/>
      <c r="EDA21" s="94"/>
      <c r="EDB21" s="94"/>
      <c r="EDC21" s="94"/>
      <c r="EDD21" s="94"/>
      <c r="EDE21" s="94"/>
      <c r="EDF21" s="94"/>
      <c r="EDG21" s="94"/>
      <c r="EDH21" s="94"/>
      <c r="EDI21" s="94"/>
      <c r="EDJ21" s="94"/>
      <c r="EDK21" s="94"/>
      <c r="EDL21" s="94"/>
      <c r="EDM21" s="94"/>
      <c r="EDN21" s="94"/>
      <c r="EDO21" s="94"/>
      <c r="EDP21" s="94"/>
      <c r="EDQ21" s="94"/>
      <c r="EDR21" s="94"/>
      <c r="EDS21" s="94"/>
      <c r="EDT21" s="94"/>
      <c r="EDU21" s="94"/>
      <c r="EDV21" s="94"/>
      <c r="EDW21" s="94"/>
      <c r="EDX21" s="94"/>
      <c r="EDY21" s="94"/>
      <c r="EDZ21" s="94"/>
      <c r="EEA21" s="94"/>
      <c r="EEB21" s="94"/>
      <c r="EEC21" s="94"/>
      <c r="EED21" s="94"/>
      <c r="EEE21" s="94"/>
      <c r="EEF21" s="94"/>
      <c r="EEG21" s="94"/>
      <c r="EEH21" s="94"/>
      <c r="EEI21" s="94"/>
      <c r="EEJ21" s="94"/>
      <c r="EEK21" s="94"/>
      <c r="EEL21" s="94"/>
      <c r="EEM21" s="94"/>
      <c r="EEN21" s="94"/>
      <c r="EEO21" s="94"/>
      <c r="EEP21" s="94"/>
      <c r="EEQ21" s="94"/>
      <c r="EER21" s="94"/>
      <c r="EES21" s="94"/>
      <c r="EET21" s="94"/>
      <c r="EEU21" s="94"/>
      <c r="EEV21" s="94"/>
      <c r="EEW21" s="94"/>
      <c r="EEX21" s="94"/>
      <c r="EEY21" s="94"/>
      <c r="EEZ21" s="94"/>
      <c r="EFA21" s="94"/>
      <c r="EFB21" s="94"/>
      <c r="EFC21" s="94"/>
      <c r="EFD21" s="94"/>
      <c r="EFE21" s="94"/>
      <c r="EFF21" s="94"/>
      <c r="EFG21" s="94"/>
      <c r="EFH21" s="94"/>
      <c r="EFI21" s="94"/>
      <c r="EFJ21" s="94"/>
      <c r="EFK21" s="94"/>
      <c r="EFL21" s="94"/>
      <c r="EFM21" s="94"/>
      <c r="EFN21" s="94"/>
      <c r="EFO21" s="94"/>
      <c r="EFP21" s="94"/>
      <c r="EFQ21" s="94"/>
      <c r="EFR21" s="94"/>
      <c r="EFS21" s="94"/>
      <c r="EFT21" s="94"/>
      <c r="EFU21" s="94"/>
      <c r="EFV21" s="94"/>
      <c r="EFW21" s="94"/>
      <c r="EFX21" s="94"/>
      <c r="EFY21" s="94"/>
      <c r="EFZ21" s="94"/>
      <c r="EGA21" s="94"/>
      <c r="EGB21" s="94"/>
      <c r="EGC21" s="94"/>
      <c r="EGD21" s="94"/>
      <c r="EGE21" s="94"/>
      <c r="EGF21" s="94"/>
      <c r="EGG21" s="94"/>
      <c r="EGH21" s="94"/>
      <c r="EGI21" s="94"/>
      <c r="EGJ21" s="94"/>
      <c r="EGK21" s="94"/>
      <c r="EGL21" s="94"/>
      <c r="EGM21" s="94"/>
      <c r="EGN21" s="94"/>
      <c r="EGO21" s="94"/>
      <c r="EGP21" s="94"/>
      <c r="EGQ21" s="94"/>
      <c r="EGR21" s="94"/>
      <c r="EGS21" s="94"/>
      <c r="EGT21" s="94"/>
      <c r="EGU21" s="94"/>
      <c r="EGV21" s="94"/>
      <c r="EGW21" s="94"/>
      <c r="EGX21" s="94"/>
      <c r="EGY21" s="94"/>
      <c r="EGZ21" s="94"/>
      <c r="EHA21" s="94"/>
      <c r="EHB21" s="94"/>
      <c r="EHC21" s="94"/>
      <c r="EHD21" s="94"/>
      <c r="EHE21" s="94"/>
      <c r="EHF21" s="94"/>
      <c r="EHG21" s="94"/>
      <c r="EHH21" s="94"/>
      <c r="EHI21" s="94"/>
      <c r="EHJ21" s="94"/>
      <c r="EHK21" s="94"/>
      <c r="EHL21" s="94"/>
      <c r="EHM21" s="94"/>
      <c r="EHN21" s="94"/>
      <c r="EHO21" s="94"/>
      <c r="EHP21" s="94"/>
      <c r="EHQ21" s="94"/>
      <c r="EHR21" s="94"/>
      <c r="EHS21" s="94"/>
      <c r="EHT21" s="94"/>
      <c r="EHU21" s="94"/>
      <c r="EHV21" s="94"/>
      <c r="EHW21" s="94"/>
      <c r="EHX21" s="94"/>
      <c r="EHY21" s="94"/>
      <c r="EHZ21" s="94"/>
      <c r="EIA21" s="94"/>
      <c r="EIB21" s="94"/>
      <c r="EIC21" s="94"/>
      <c r="EID21" s="94"/>
      <c r="EIE21" s="94"/>
      <c r="EIF21" s="94"/>
      <c r="EIG21" s="94"/>
      <c r="EIH21" s="94"/>
      <c r="EII21" s="94"/>
      <c r="EIJ21" s="94"/>
      <c r="EIK21" s="94"/>
      <c r="EIL21" s="94"/>
      <c r="EIM21" s="94"/>
      <c r="EIN21" s="94"/>
      <c r="EIO21" s="94"/>
      <c r="EIP21" s="94"/>
      <c r="EIQ21" s="94"/>
      <c r="EIR21" s="94"/>
      <c r="EIS21" s="94"/>
      <c r="EIT21" s="94"/>
      <c r="EIU21" s="94"/>
      <c r="EIV21" s="94"/>
      <c r="EIW21" s="94"/>
      <c r="EIX21" s="94"/>
      <c r="EIY21" s="94"/>
      <c r="EIZ21" s="94"/>
      <c r="EJA21" s="94"/>
      <c r="EJB21" s="94"/>
      <c r="EJC21" s="94"/>
      <c r="EJD21" s="94"/>
      <c r="EJE21" s="94"/>
      <c r="EJF21" s="94"/>
      <c r="EJG21" s="94"/>
      <c r="EJH21" s="94"/>
      <c r="EJI21" s="94"/>
      <c r="EJJ21" s="94"/>
      <c r="EJK21" s="94"/>
      <c r="EJL21" s="94"/>
      <c r="EJM21" s="94"/>
      <c r="EJN21" s="94"/>
      <c r="EJO21" s="94"/>
      <c r="EJP21" s="94"/>
      <c r="EJQ21" s="94"/>
      <c r="EJR21" s="94"/>
      <c r="EJS21" s="94"/>
      <c r="EJT21" s="94"/>
      <c r="EJU21" s="94"/>
      <c r="EJV21" s="94"/>
      <c r="EJW21" s="94"/>
      <c r="EJX21" s="94"/>
      <c r="EJY21" s="94"/>
      <c r="EJZ21" s="94"/>
      <c r="EKA21" s="94"/>
      <c r="EKB21" s="94"/>
      <c r="EKC21" s="94"/>
      <c r="EKD21" s="94"/>
      <c r="EKE21" s="94"/>
      <c r="EKF21" s="94"/>
      <c r="EKG21" s="94"/>
      <c r="EKH21" s="94"/>
      <c r="EKI21" s="94"/>
      <c r="EKJ21" s="94"/>
      <c r="EKK21" s="94"/>
      <c r="EKL21" s="94"/>
      <c r="EKM21" s="94"/>
      <c r="EKN21" s="94"/>
      <c r="EKO21" s="94"/>
      <c r="EKP21" s="94"/>
      <c r="EKQ21" s="94"/>
      <c r="EKR21" s="94"/>
      <c r="EKS21" s="94"/>
      <c r="EKT21" s="94"/>
      <c r="EKU21" s="94"/>
      <c r="EKV21" s="94"/>
      <c r="EKW21" s="94"/>
      <c r="EKX21" s="94"/>
      <c r="EKY21" s="94"/>
      <c r="EKZ21" s="94"/>
      <c r="ELA21" s="94"/>
      <c r="ELB21" s="94"/>
      <c r="ELC21" s="94"/>
      <c r="ELD21" s="94"/>
      <c r="ELE21" s="94"/>
      <c r="ELF21" s="94"/>
      <c r="ELG21" s="94"/>
      <c r="ELH21" s="94"/>
      <c r="ELI21" s="94"/>
      <c r="ELJ21" s="94"/>
      <c r="ELK21" s="94"/>
      <c r="ELL21" s="94"/>
      <c r="ELM21" s="94"/>
      <c r="ELN21" s="94"/>
      <c r="ELO21" s="94"/>
      <c r="ELP21" s="94"/>
      <c r="ELQ21" s="94"/>
      <c r="ELR21" s="94"/>
      <c r="ELS21" s="94"/>
      <c r="ELT21" s="94"/>
      <c r="ELU21" s="94"/>
      <c r="ELV21" s="94"/>
      <c r="ELW21" s="94"/>
      <c r="ELX21" s="94"/>
      <c r="ELY21" s="94"/>
      <c r="ELZ21" s="94"/>
      <c r="EMA21" s="94"/>
      <c r="EMB21" s="94"/>
      <c r="EMC21" s="94"/>
      <c r="EMD21" s="94"/>
      <c r="EME21" s="94"/>
      <c r="EMF21" s="94"/>
      <c r="EMG21" s="94"/>
      <c r="EMH21" s="94"/>
      <c r="EMI21" s="94"/>
      <c r="EMJ21" s="94"/>
      <c r="EMK21" s="94"/>
      <c r="EML21" s="94"/>
      <c r="EMM21" s="94"/>
      <c r="EMN21" s="94"/>
      <c r="EMO21" s="94"/>
      <c r="EMP21" s="94"/>
      <c r="EMQ21" s="94"/>
      <c r="EMR21" s="94"/>
      <c r="EMS21" s="94"/>
      <c r="EMT21" s="94"/>
      <c r="EMU21" s="94"/>
      <c r="EMV21" s="94"/>
      <c r="EMW21" s="94"/>
      <c r="EMX21" s="94"/>
      <c r="EMY21" s="94"/>
      <c r="EMZ21" s="94"/>
      <c r="ENA21" s="94"/>
      <c r="ENB21" s="94"/>
      <c r="ENC21" s="94"/>
      <c r="END21" s="94"/>
      <c r="ENE21" s="94"/>
      <c r="ENF21" s="94"/>
      <c r="ENG21" s="94"/>
      <c r="ENH21" s="94"/>
      <c r="ENI21" s="94"/>
      <c r="ENJ21" s="94"/>
      <c r="ENK21" s="94"/>
      <c r="ENL21" s="94"/>
      <c r="ENM21" s="94"/>
      <c r="ENN21" s="94"/>
      <c r="ENO21" s="94"/>
      <c r="ENP21" s="94"/>
      <c r="ENQ21" s="94"/>
      <c r="ENR21" s="94"/>
      <c r="ENS21" s="94"/>
      <c r="ENT21" s="94"/>
      <c r="ENU21" s="94"/>
      <c r="ENV21" s="94"/>
      <c r="ENW21" s="94"/>
      <c r="ENX21" s="94"/>
      <c r="ENY21" s="94"/>
      <c r="ENZ21" s="94"/>
      <c r="EOA21" s="94"/>
      <c r="EOB21" s="94"/>
      <c r="EOC21" s="94"/>
      <c r="EOD21" s="94"/>
      <c r="EOE21" s="94"/>
      <c r="EOF21" s="94"/>
      <c r="EOG21" s="94"/>
      <c r="EOH21" s="94"/>
      <c r="EOI21" s="94"/>
      <c r="EOJ21" s="94"/>
      <c r="EOK21" s="94"/>
      <c r="EOL21" s="94"/>
      <c r="EOM21" s="94"/>
      <c r="EON21" s="94"/>
      <c r="EOO21" s="94"/>
      <c r="EOP21" s="94"/>
      <c r="EOQ21" s="94"/>
      <c r="EOR21" s="94"/>
      <c r="EOS21" s="94"/>
      <c r="EOT21" s="94"/>
      <c r="EOU21" s="94"/>
      <c r="EOV21" s="94"/>
      <c r="EOW21" s="94"/>
      <c r="EOX21" s="94"/>
      <c r="EOY21" s="94"/>
      <c r="EOZ21" s="94"/>
      <c r="EPA21" s="94"/>
      <c r="EPB21" s="94"/>
      <c r="EPC21" s="94"/>
      <c r="EPD21" s="94"/>
      <c r="EPE21" s="94"/>
      <c r="EPF21" s="94"/>
      <c r="EPG21" s="94"/>
      <c r="EPH21" s="94"/>
      <c r="EPI21" s="94"/>
      <c r="EPJ21" s="94"/>
      <c r="EPK21" s="94"/>
      <c r="EPL21" s="94"/>
      <c r="EPM21" s="94"/>
      <c r="EPN21" s="94"/>
      <c r="EPO21" s="94"/>
      <c r="EPP21" s="94"/>
      <c r="EPQ21" s="94"/>
      <c r="EPR21" s="94"/>
      <c r="EPS21" s="94"/>
      <c r="EPT21" s="94"/>
      <c r="EPU21" s="94"/>
      <c r="EPV21" s="94"/>
      <c r="EPW21" s="94"/>
      <c r="EPX21" s="94"/>
      <c r="EPY21" s="94"/>
      <c r="EPZ21" s="94"/>
      <c r="EQA21" s="94"/>
      <c r="EQB21" s="94"/>
      <c r="EQC21" s="94"/>
      <c r="EQD21" s="94"/>
      <c r="EQE21" s="94"/>
      <c r="EQF21" s="94"/>
      <c r="EQG21" s="94"/>
      <c r="EQH21" s="94"/>
      <c r="EQI21" s="94"/>
      <c r="EQJ21" s="94"/>
      <c r="EQK21" s="94"/>
      <c r="EQL21" s="94"/>
      <c r="EQM21" s="94"/>
      <c r="EQN21" s="94"/>
      <c r="EQO21" s="94"/>
      <c r="EQP21" s="94"/>
      <c r="EQQ21" s="94"/>
      <c r="EQR21" s="94"/>
      <c r="EQS21" s="94"/>
      <c r="EQT21" s="94"/>
      <c r="EQU21" s="94"/>
      <c r="EQV21" s="94"/>
      <c r="EQW21" s="94"/>
      <c r="EQX21" s="94"/>
      <c r="EQY21" s="94"/>
      <c r="EQZ21" s="94"/>
      <c r="ERA21" s="94"/>
      <c r="ERB21" s="94"/>
      <c r="ERC21" s="94"/>
      <c r="ERD21" s="94"/>
      <c r="ERE21" s="94"/>
      <c r="ERF21" s="94"/>
      <c r="ERG21" s="94"/>
      <c r="ERH21" s="94"/>
      <c r="ERI21" s="94"/>
      <c r="ERJ21" s="94"/>
      <c r="ERK21" s="94"/>
      <c r="ERL21" s="94"/>
      <c r="ERM21" s="94"/>
      <c r="ERN21" s="94"/>
      <c r="ERO21" s="94"/>
      <c r="ERP21" s="94"/>
      <c r="ERQ21" s="94"/>
      <c r="ERR21" s="94"/>
      <c r="ERS21" s="94"/>
      <c r="ERT21" s="94"/>
      <c r="ERU21" s="94"/>
      <c r="ERV21" s="94"/>
      <c r="ERW21" s="94"/>
      <c r="ERX21" s="94"/>
      <c r="ERY21" s="94"/>
      <c r="ERZ21" s="94"/>
      <c r="ESA21" s="94"/>
      <c r="ESB21" s="94"/>
      <c r="ESC21" s="94"/>
      <c r="ESD21" s="94"/>
      <c r="ESE21" s="94"/>
      <c r="ESF21" s="94"/>
      <c r="ESG21" s="94"/>
      <c r="ESH21" s="94"/>
      <c r="ESI21" s="94"/>
      <c r="ESJ21" s="94"/>
      <c r="ESK21" s="94"/>
      <c r="ESL21" s="94"/>
      <c r="ESM21" s="94"/>
      <c r="ESN21" s="94"/>
      <c r="ESO21" s="94"/>
      <c r="ESP21" s="94"/>
      <c r="ESQ21" s="94"/>
      <c r="ESR21" s="94"/>
      <c r="ESS21" s="94"/>
      <c r="EST21" s="94"/>
      <c r="ESU21" s="94"/>
      <c r="ESV21" s="94"/>
      <c r="ESW21" s="94"/>
      <c r="ESX21" s="94"/>
      <c r="ESY21" s="94"/>
      <c r="ESZ21" s="94"/>
      <c r="ETA21" s="94"/>
      <c r="ETB21" s="94"/>
      <c r="ETC21" s="94"/>
      <c r="ETD21" s="94"/>
      <c r="ETE21" s="94"/>
      <c r="ETF21" s="94"/>
      <c r="ETG21" s="94"/>
      <c r="ETH21" s="94"/>
      <c r="ETI21" s="94"/>
      <c r="ETJ21" s="94"/>
      <c r="ETK21" s="94"/>
      <c r="ETL21" s="94"/>
      <c r="ETM21" s="94"/>
      <c r="ETN21" s="94"/>
      <c r="ETO21" s="94"/>
      <c r="ETP21" s="94"/>
      <c r="ETQ21" s="94"/>
      <c r="ETR21" s="94"/>
      <c r="ETS21" s="94"/>
      <c r="ETT21" s="94"/>
      <c r="ETU21" s="94"/>
      <c r="ETV21" s="94"/>
      <c r="ETW21" s="94"/>
      <c r="ETX21" s="94"/>
      <c r="ETY21" s="94"/>
      <c r="ETZ21" s="94"/>
      <c r="EUA21" s="94"/>
      <c r="EUB21" s="94"/>
      <c r="EUC21" s="94"/>
      <c r="EUD21" s="94"/>
      <c r="EUE21" s="94"/>
      <c r="EUF21" s="94"/>
      <c r="EUG21" s="94"/>
      <c r="EUH21" s="94"/>
      <c r="EUI21" s="94"/>
      <c r="EUJ21" s="94"/>
      <c r="EUK21" s="94"/>
      <c r="EUL21" s="94"/>
      <c r="EUM21" s="94"/>
      <c r="EUN21" s="94"/>
      <c r="EUO21" s="94"/>
      <c r="EUP21" s="94"/>
      <c r="EUQ21" s="94"/>
      <c r="EUR21" s="94"/>
      <c r="EUS21" s="94"/>
      <c r="EUT21" s="94"/>
      <c r="EUU21" s="94"/>
      <c r="EUV21" s="94"/>
      <c r="EUW21" s="94"/>
      <c r="EUX21" s="94"/>
      <c r="EUY21" s="94"/>
      <c r="EUZ21" s="94"/>
      <c r="EVA21" s="94"/>
      <c r="EVB21" s="94"/>
      <c r="EVC21" s="94"/>
      <c r="EVD21" s="94"/>
      <c r="EVE21" s="94"/>
      <c r="EVF21" s="94"/>
      <c r="EVG21" s="94"/>
      <c r="EVH21" s="94"/>
      <c r="EVI21" s="94"/>
      <c r="EVJ21" s="94"/>
      <c r="EVK21" s="94"/>
      <c r="EVL21" s="94"/>
      <c r="EVM21" s="94"/>
      <c r="EVN21" s="94"/>
      <c r="EVO21" s="94"/>
      <c r="EVP21" s="94"/>
      <c r="EVQ21" s="94"/>
      <c r="EVR21" s="94"/>
      <c r="EVS21" s="94"/>
      <c r="EVT21" s="94"/>
      <c r="EVU21" s="94"/>
      <c r="EVV21" s="94"/>
      <c r="EVW21" s="94"/>
      <c r="EVX21" s="94"/>
      <c r="EVY21" s="94"/>
      <c r="EVZ21" s="94"/>
      <c r="EWA21" s="94"/>
      <c r="EWB21" s="94"/>
      <c r="EWC21" s="94"/>
      <c r="EWD21" s="94"/>
      <c r="EWE21" s="94"/>
      <c r="EWF21" s="94"/>
      <c r="EWG21" s="94"/>
      <c r="EWH21" s="94"/>
      <c r="EWI21" s="94"/>
      <c r="EWJ21" s="94"/>
      <c r="EWK21" s="94"/>
      <c r="EWL21" s="94"/>
      <c r="EWM21" s="94"/>
      <c r="EWN21" s="94"/>
      <c r="EWO21" s="94"/>
      <c r="EWP21" s="94"/>
      <c r="EWQ21" s="94"/>
      <c r="EWR21" s="94"/>
      <c r="EWS21" s="94"/>
      <c r="EWT21" s="94"/>
      <c r="EWU21" s="94"/>
      <c r="EWV21" s="94"/>
      <c r="EWW21" s="94"/>
      <c r="EWX21" s="94"/>
      <c r="EWY21" s="94"/>
      <c r="EWZ21" s="94"/>
      <c r="EXA21" s="94"/>
      <c r="EXB21" s="94"/>
      <c r="EXC21" s="94"/>
      <c r="EXD21" s="94"/>
      <c r="EXE21" s="94"/>
      <c r="EXF21" s="94"/>
      <c r="EXG21" s="94"/>
      <c r="EXH21" s="94"/>
      <c r="EXI21" s="94"/>
      <c r="EXJ21" s="94"/>
      <c r="EXK21" s="94"/>
      <c r="EXL21" s="94"/>
      <c r="EXM21" s="94"/>
      <c r="EXN21" s="94"/>
      <c r="EXO21" s="94"/>
      <c r="EXP21" s="94"/>
      <c r="EXQ21" s="94"/>
      <c r="EXR21" s="94"/>
      <c r="EXS21" s="94"/>
      <c r="EXT21" s="94"/>
      <c r="EXU21" s="94"/>
      <c r="EXV21" s="94"/>
      <c r="EXW21" s="94"/>
      <c r="EXX21" s="94"/>
      <c r="EXY21" s="94"/>
      <c r="EXZ21" s="94"/>
      <c r="EYA21" s="94"/>
      <c r="EYB21" s="94"/>
      <c r="EYC21" s="94"/>
      <c r="EYD21" s="94"/>
      <c r="EYE21" s="94"/>
      <c r="EYF21" s="94"/>
      <c r="EYG21" s="94"/>
      <c r="EYH21" s="94"/>
      <c r="EYI21" s="94"/>
      <c r="EYJ21" s="94"/>
      <c r="EYK21" s="94"/>
      <c r="EYL21" s="94"/>
      <c r="EYM21" s="94"/>
      <c r="EYN21" s="94"/>
      <c r="EYO21" s="94"/>
      <c r="EYP21" s="94"/>
      <c r="EYQ21" s="94"/>
      <c r="EYR21" s="94"/>
      <c r="EYS21" s="94"/>
      <c r="EYT21" s="94"/>
      <c r="EYU21" s="94"/>
      <c r="EYV21" s="94"/>
      <c r="EYW21" s="94"/>
      <c r="EYX21" s="94"/>
      <c r="EYY21" s="94"/>
      <c r="EYZ21" s="94"/>
      <c r="EZA21" s="94"/>
      <c r="EZB21" s="94"/>
      <c r="EZC21" s="94"/>
      <c r="EZD21" s="94"/>
      <c r="EZE21" s="94"/>
      <c r="EZF21" s="94"/>
      <c r="EZG21" s="94"/>
      <c r="EZH21" s="94"/>
      <c r="EZI21" s="94"/>
      <c r="EZJ21" s="94"/>
      <c r="EZK21" s="94"/>
      <c r="EZL21" s="94"/>
      <c r="EZM21" s="94"/>
      <c r="EZN21" s="94"/>
      <c r="EZO21" s="94"/>
      <c r="EZP21" s="94"/>
      <c r="EZQ21" s="94"/>
      <c r="EZR21" s="94"/>
      <c r="EZS21" s="94"/>
      <c r="EZT21" s="94"/>
      <c r="EZU21" s="94"/>
      <c r="EZV21" s="94"/>
      <c r="EZW21" s="94"/>
      <c r="EZX21" s="94"/>
      <c r="EZY21" s="94"/>
      <c r="EZZ21" s="94"/>
      <c r="FAA21" s="94"/>
      <c r="FAB21" s="94"/>
      <c r="FAC21" s="94"/>
      <c r="FAD21" s="94"/>
      <c r="FAE21" s="94"/>
      <c r="FAF21" s="94"/>
      <c r="FAG21" s="94"/>
      <c r="FAH21" s="94"/>
      <c r="FAI21" s="94"/>
      <c r="FAJ21" s="94"/>
      <c r="FAK21" s="94"/>
      <c r="FAL21" s="94"/>
      <c r="FAM21" s="94"/>
      <c r="FAN21" s="94"/>
      <c r="FAO21" s="94"/>
      <c r="FAP21" s="94"/>
      <c r="FAQ21" s="94"/>
      <c r="FAR21" s="94"/>
      <c r="FAS21" s="94"/>
      <c r="FAT21" s="94"/>
      <c r="FAU21" s="94"/>
      <c r="FAV21" s="94"/>
      <c r="FAW21" s="94"/>
      <c r="FAX21" s="94"/>
      <c r="FAY21" s="94"/>
      <c r="FAZ21" s="94"/>
      <c r="FBA21" s="94"/>
      <c r="FBB21" s="94"/>
      <c r="FBC21" s="94"/>
      <c r="FBD21" s="94"/>
      <c r="FBE21" s="94"/>
      <c r="FBF21" s="94"/>
      <c r="FBG21" s="94"/>
      <c r="FBH21" s="94"/>
      <c r="FBI21" s="94"/>
      <c r="FBJ21" s="94"/>
      <c r="FBK21" s="94"/>
      <c r="FBL21" s="94"/>
      <c r="FBM21" s="94"/>
      <c r="FBN21" s="94"/>
      <c r="FBO21" s="94"/>
      <c r="FBP21" s="94"/>
      <c r="FBQ21" s="94"/>
      <c r="FBR21" s="94"/>
      <c r="FBS21" s="94"/>
      <c r="FBT21" s="94"/>
      <c r="FBU21" s="94"/>
      <c r="FBV21" s="94"/>
      <c r="FBW21" s="94"/>
      <c r="FBX21" s="94"/>
      <c r="FBY21" s="94"/>
      <c r="FBZ21" s="94"/>
      <c r="FCA21" s="94"/>
      <c r="FCB21" s="94"/>
      <c r="FCC21" s="94"/>
      <c r="FCD21" s="94"/>
      <c r="FCE21" s="94"/>
      <c r="FCF21" s="94"/>
      <c r="FCG21" s="94"/>
      <c r="FCH21" s="94"/>
      <c r="FCI21" s="94"/>
      <c r="FCJ21" s="94"/>
      <c r="FCK21" s="94"/>
      <c r="FCL21" s="94"/>
      <c r="FCM21" s="94"/>
      <c r="FCN21" s="94"/>
      <c r="FCO21" s="94"/>
      <c r="FCP21" s="94"/>
      <c r="FCQ21" s="94"/>
      <c r="FCR21" s="94"/>
      <c r="FCS21" s="94"/>
      <c r="FCT21" s="94"/>
      <c r="FCU21" s="94"/>
      <c r="FCV21" s="94"/>
      <c r="FCW21" s="94"/>
      <c r="FCX21" s="94"/>
      <c r="FCY21" s="94"/>
      <c r="FCZ21" s="94"/>
      <c r="FDA21" s="94"/>
      <c r="FDB21" s="94"/>
      <c r="FDC21" s="94"/>
      <c r="FDD21" s="94"/>
      <c r="FDE21" s="94"/>
      <c r="FDF21" s="94"/>
      <c r="FDG21" s="94"/>
      <c r="FDH21" s="94"/>
      <c r="FDI21" s="94"/>
      <c r="FDJ21" s="94"/>
      <c r="FDK21" s="94"/>
      <c r="FDL21" s="94"/>
      <c r="FDM21" s="94"/>
      <c r="FDN21" s="94"/>
      <c r="FDO21" s="94"/>
      <c r="FDP21" s="94"/>
      <c r="FDQ21" s="94"/>
      <c r="FDR21" s="94"/>
      <c r="FDS21" s="94"/>
      <c r="FDT21" s="94"/>
      <c r="FDU21" s="94"/>
      <c r="FDV21" s="94"/>
      <c r="FDW21" s="94"/>
      <c r="FDX21" s="94"/>
      <c r="FDY21" s="94"/>
      <c r="FDZ21" s="94"/>
      <c r="FEA21" s="94"/>
      <c r="FEB21" s="94"/>
      <c r="FEC21" s="94"/>
      <c r="FED21" s="94"/>
      <c r="FEE21" s="94"/>
      <c r="FEF21" s="94"/>
      <c r="FEG21" s="94"/>
      <c r="FEH21" s="94"/>
      <c r="FEI21" s="94"/>
      <c r="FEJ21" s="94"/>
      <c r="FEK21" s="94"/>
      <c r="FEL21" s="94"/>
      <c r="FEM21" s="94"/>
      <c r="FEN21" s="94"/>
      <c r="FEO21" s="94"/>
      <c r="FEP21" s="94"/>
      <c r="FEQ21" s="94"/>
      <c r="FER21" s="94"/>
      <c r="FES21" s="94"/>
      <c r="FET21" s="94"/>
      <c r="FEU21" s="94"/>
      <c r="FEV21" s="94"/>
      <c r="FEW21" s="94"/>
      <c r="FEX21" s="94"/>
      <c r="FEY21" s="94"/>
      <c r="FEZ21" s="94"/>
      <c r="FFA21" s="94"/>
      <c r="FFB21" s="94"/>
      <c r="FFC21" s="94"/>
      <c r="FFD21" s="94"/>
      <c r="FFE21" s="94"/>
      <c r="FFF21" s="94"/>
      <c r="FFG21" s="94"/>
      <c r="FFH21" s="94"/>
      <c r="FFI21" s="94"/>
      <c r="FFJ21" s="94"/>
      <c r="FFK21" s="94"/>
      <c r="FFL21" s="94"/>
      <c r="FFM21" s="94"/>
      <c r="FFN21" s="94"/>
      <c r="FFO21" s="94"/>
      <c r="FFP21" s="94"/>
      <c r="FFQ21" s="94"/>
      <c r="FFR21" s="94"/>
      <c r="FFS21" s="94"/>
      <c r="FFT21" s="94"/>
      <c r="FFU21" s="94"/>
      <c r="FFV21" s="94"/>
      <c r="FFW21" s="94"/>
      <c r="FFX21" s="94"/>
      <c r="FFY21" s="94"/>
      <c r="FFZ21" s="94"/>
      <c r="FGA21" s="94"/>
      <c r="FGB21" s="94"/>
      <c r="FGC21" s="94"/>
      <c r="FGD21" s="94"/>
      <c r="FGE21" s="94"/>
      <c r="FGF21" s="94"/>
      <c r="FGG21" s="94"/>
      <c r="FGH21" s="94"/>
      <c r="FGI21" s="94"/>
      <c r="FGJ21" s="94"/>
      <c r="FGK21" s="94"/>
      <c r="FGL21" s="94"/>
      <c r="FGM21" s="94"/>
      <c r="FGN21" s="94"/>
      <c r="FGO21" s="94"/>
      <c r="FGP21" s="94"/>
      <c r="FGQ21" s="94"/>
      <c r="FGR21" s="94"/>
      <c r="FGS21" s="94"/>
      <c r="FGT21" s="94"/>
      <c r="FGU21" s="94"/>
      <c r="FGV21" s="94"/>
      <c r="FGW21" s="94"/>
      <c r="FGX21" s="94"/>
      <c r="FGY21" s="94"/>
      <c r="FGZ21" s="94"/>
      <c r="FHA21" s="94"/>
      <c r="FHB21" s="94"/>
      <c r="FHC21" s="94"/>
      <c r="FHD21" s="94"/>
      <c r="FHE21" s="94"/>
      <c r="FHF21" s="94"/>
      <c r="FHG21" s="94"/>
      <c r="FHH21" s="94"/>
      <c r="FHI21" s="94"/>
      <c r="FHJ21" s="94"/>
      <c r="FHK21" s="94"/>
      <c r="FHL21" s="94"/>
      <c r="FHM21" s="94"/>
      <c r="FHN21" s="94"/>
      <c r="FHO21" s="94"/>
      <c r="FHP21" s="94"/>
      <c r="FHQ21" s="94"/>
      <c r="FHR21" s="94"/>
      <c r="FHS21" s="94"/>
      <c r="FHT21" s="94"/>
      <c r="FHU21" s="94"/>
      <c r="FHV21" s="94"/>
      <c r="FHW21" s="94"/>
      <c r="FHX21" s="94"/>
      <c r="FHY21" s="94"/>
      <c r="FHZ21" s="94"/>
      <c r="FIA21" s="94"/>
      <c r="FIB21" s="94"/>
      <c r="FIC21" s="94"/>
      <c r="FID21" s="94"/>
      <c r="FIE21" s="94"/>
      <c r="FIF21" s="94"/>
      <c r="FIG21" s="94"/>
      <c r="FIH21" s="94"/>
      <c r="FII21" s="94"/>
      <c r="FIJ21" s="94"/>
      <c r="FIK21" s="94"/>
      <c r="FIL21" s="94"/>
      <c r="FIM21" s="94"/>
      <c r="FIN21" s="94"/>
      <c r="FIO21" s="94"/>
      <c r="FIP21" s="94"/>
      <c r="FIQ21" s="94"/>
      <c r="FIR21" s="94"/>
      <c r="FIS21" s="94"/>
      <c r="FIT21" s="94"/>
      <c r="FIU21" s="94"/>
      <c r="FIV21" s="94"/>
      <c r="FIW21" s="94"/>
      <c r="FIX21" s="94"/>
      <c r="FIY21" s="94"/>
      <c r="FIZ21" s="94"/>
      <c r="FJA21" s="94"/>
      <c r="FJB21" s="94"/>
      <c r="FJC21" s="94"/>
      <c r="FJD21" s="94"/>
      <c r="FJE21" s="94"/>
      <c r="FJF21" s="94"/>
      <c r="FJG21" s="94"/>
      <c r="FJH21" s="94"/>
      <c r="FJI21" s="94"/>
      <c r="FJJ21" s="94"/>
      <c r="FJK21" s="94"/>
      <c r="FJL21" s="94"/>
      <c r="FJM21" s="94"/>
      <c r="FJN21" s="94"/>
      <c r="FJO21" s="94"/>
      <c r="FJP21" s="94"/>
      <c r="FJQ21" s="94"/>
      <c r="FJR21" s="94"/>
      <c r="FJS21" s="94"/>
      <c r="FJT21" s="94"/>
      <c r="FJU21" s="94"/>
      <c r="FJV21" s="94"/>
      <c r="FJW21" s="94"/>
      <c r="FJX21" s="94"/>
      <c r="FJY21" s="94"/>
      <c r="FJZ21" s="94"/>
      <c r="FKA21" s="94"/>
      <c r="FKB21" s="94"/>
      <c r="FKC21" s="94"/>
      <c r="FKD21" s="94"/>
      <c r="FKE21" s="94"/>
      <c r="FKF21" s="94"/>
      <c r="FKG21" s="94"/>
      <c r="FKH21" s="94"/>
      <c r="FKI21" s="94"/>
      <c r="FKJ21" s="94"/>
      <c r="FKK21" s="94"/>
      <c r="FKL21" s="94"/>
      <c r="FKM21" s="94"/>
      <c r="FKN21" s="94"/>
      <c r="FKO21" s="94"/>
      <c r="FKP21" s="94"/>
      <c r="FKQ21" s="94"/>
      <c r="FKR21" s="94"/>
      <c r="FKS21" s="94"/>
      <c r="FKT21" s="94"/>
      <c r="FKU21" s="94"/>
      <c r="FKV21" s="94"/>
      <c r="FKW21" s="94"/>
      <c r="FKX21" s="94"/>
      <c r="FKY21" s="94"/>
      <c r="FKZ21" s="94"/>
      <c r="FLA21" s="94"/>
      <c r="FLB21" s="94"/>
      <c r="FLC21" s="94"/>
      <c r="FLD21" s="94"/>
      <c r="FLE21" s="94"/>
      <c r="FLF21" s="94"/>
      <c r="FLG21" s="94"/>
      <c r="FLH21" s="94"/>
      <c r="FLI21" s="94"/>
      <c r="FLJ21" s="94"/>
      <c r="FLK21" s="94"/>
      <c r="FLL21" s="94"/>
      <c r="FLM21" s="94"/>
      <c r="FLN21" s="94"/>
      <c r="FLO21" s="94"/>
      <c r="FLP21" s="94"/>
      <c r="FLQ21" s="94"/>
      <c r="FLR21" s="94"/>
      <c r="FLS21" s="94"/>
      <c r="FLT21" s="94"/>
      <c r="FLU21" s="94"/>
      <c r="FLV21" s="94"/>
      <c r="FLW21" s="94"/>
      <c r="FLX21" s="94"/>
      <c r="FLY21" s="94"/>
      <c r="FLZ21" s="94"/>
      <c r="FMA21" s="94"/>
      <c r="FMB21" s="94"/>
      <c r="FMC21" s="94"/>
      <c r="FMD21" s="94"/>
      <c r="FME21" s="94"/>
      <c r="FMF21" s="94"/>
      <c r="FMG21" s="94"/>
      <c r="FMH21" s="94"/>
      <c r="FMI21" s="94"/>
      <c r="FMJ21" s="94"/>
      <c r="FMK21" s="94"/>
      <c r="FML21" s="94"/>
      <c r="FMM21" s="94"/>
      <c r="FMN21" s="94"/>
      <c r="FMO21" s="94"/>
      <c r="FMP21" s="94"/>
      <c r="FMQ21" s="94"/>
      <c r="FMR21" s="94"/>
      <c r="FMS21" s="94"/>
      <c r="FMT21" s="94"/>
      <c r="FMU21" s="94"/>
      <c r="FMV21" s="94"/>
      <c r="FMW21" s="94"/>
      <c r="FMX21" s="94"/>
      <c r="FMY21" s="94"/>
      <c r="FMZ21" s="94"/>
      <c r="FNA21" s="94"/>
      <c r="FNB21" s="94"/>
      <c r="FNC21" s="94"/>
      <c r="FND21" s="94"/>
      <c r="FNE21" s="94"/>
      <c r="FNF21" s="94"/>
      <c r="FNG21" s="94"/>
      <c r="FNH21" s="94"/>
      <c r="FNI21" s="94"/>
      <c r="FNJ21" s="94"/>
      <c r="FNK21" s="94"/>
      <c r="FNL21" s="94"/>
      <c r="FNM21" s="94"/>
      <c r="FNN21" s="94"/>
      <c r="FNO21" s="94"/>
      <c r="FNP21" s="94"/>
      <c r="FNQ21" s="94"/>
      <c r="FNR21" s="94"/>
      <c r="FNS21" s="94"/>
      <c r="FNT21" s="94"/>
      <c r="FNU21" s="94"/>
      <c r="FNV21" s="94"/>
      <c r="FNW21" s="94"/>
      <c r="FNX21" s="94"/>
      <c r="FNY21" s="94"/>
      <c r="FNZ21" s="94"/>
      <c r="FOA21" s="94"/>
      <c r="FOB21" s="94"/>
      <c r="FOC21" s="94"/>
      <c r="FOD21" s="94"/>
      <c r="FOE21" s="94"/>
      <c r="FOF21" s="94"/>
      <c r="FOG21" s="94"/>
      <c r="FOH21" s="94"/>
      <c r="FOI21" s="94"/>
      <c r="FOJ21" s="94"/>
      <c r="FOK21" s="94"/>
      <c r="FOL21" s="94"/>
      <c r="FOM21" s="94"/>
      <c r="FON21" s="94"/>
      <c r="FOO21" s="94"/>
      <c r="FOP21" s="94"/>
      <c r="FOQ21" s="94"/>
      <c r="FOR21" s="94"/>
      <c r="FOS21" s="94"/>
      <c r="FOT21" s="94"/>
      <c r="FOU21" s="94"/>
      <c r="FOV21" s="94"/>
      <c r="FOW21" s="94"/>
      <c r="FOX21" s="94"/>
      <c r="FOY21" s="94"/>
      <c r="FOZ21" s="94"/>
      <c r="FPA21" s="94"/>
      <c r="FPB21" s="94"/>
      <c r="FPC21" s="94"/>
      <c r="FPD21" s="94"/>
      <c r="FPE21" s="94"/>
      <c r="FPF21" s="94"/>
      <c r="FPG21" s="94"/>
      <c r="FPH21" s="94"/>
      <c r="FPI21" s="94"/>
      <c r="FPJ21" s="94"/>
      <c r="FPK21" s="94"/>
      <c r="FPL21" s="94"/>
      <c r="FPM21" s="94"/>
      <c r="FPN21" s="94"/>
      <c r="FPO21" s="94"/>
      <c r="FPP21" s="94"/>
      <c r="FPQ21" s="94"/>
      <c r="FPR21" s="94"/>
      <c r="FPS21" s="94"/>
      <c r="FPT21" s="94"/>
      <c r="FPU21" s="94"/>
      <c r="FPV21" s="94"/>
      <c r="FPW21" s="94"/>
      <c r="FPX21" s="94"/>
      <c r="FPY21" s="94"/>
      <c r="FPZ21" s="94"/>
      <c r="FQA21" s="94"/>
      <c r="FQB21" s="94"/>
      <c r="FQC21" s="94"/>
      <c r="FQD21" s="94"/>
      <c r="FQE21" s="94"/>
      <c r="FQF21" s="94"/>
      <c r="FQG21" s="94"/>
      <c r="FQH21" s="94"/>
      <c r="FQI21" s="94"/>
      <c r="FQJ21" s="94"/>
      <c r="FQK21" s="94"/>
      <c r="FQL21" s="94"/>
      <c r="FQM21" s="94"/>
      <c r="FQN21" s="94"/>
      <c r="FQO21" s="94"/>
      <c r="FQP21" s="94"/>
      <c r="FQQ21" s="94"/>
      <c r="FQR21" s="94"/>
      <c r="FQS21" s="94"/>
      <c r="FQT21" s="94"/>
      <c r="FQU21" s="94"/>
      <c r="FQV21" s="94"/>
      <c r="FQW21" s="94"/>
      <c r="FQX21" s="94"/>
      <c r="FQY21" s="94"/>
      <c r="FQZ21" s="94"/>
      <c r="FRA21" s="94"/>
      <c r="FRB21" s="94"/>
      <c r="FRC21" s="94"/>
      <c r="FRD21" s="94"/>
      <c r="FRE21" s="94"/>
      <c r="FRF21" s="94"/>
      <c r="FRG21" s="94"/>
      <c r="FRH21" s="94"/>
      <c r="FRI21" s="94"/>
      <c r="FRJ21" s="94"/>
      <c r="FRK21" s="94"/>
      <c r="FRL21" s="94"/>
      <c r="FRM21" s="94"/>
      <c r="FRN21" s="94"/>
      <c r="FRO21" s="94"/>
      <c r="FRP21" s="94"/>
      <c r="FRQ21" s="94"/>
      <c r="FRR21" s="94"/>
      <c r="FRS21" s="94"/>
      <c r="FRT21" s="94"/>
      <c r="FRU21" s="94"/>
      <c r="FRV21" s="94"/>
      <c r="FRW21" s="94"/>
      <c r="FRX21" s="94"/>
      <c r="FRY21" s="94"/>
      <c r="FRZ21" s="94"/>
      <c r="FSA21" s="94"/>
      <c r="FSB21" s="94"/>
      <c r="FSC21" s="94"/>
      <c r="FSD21" s="94"/>
      <c r="FSE21" s="94"/>
      <c r="FSF21" s="94"/>
      <c r="FSG21" s="94"/>
      <c r="FSH21" s="94"/>
      <c r="FSI21" s="94"/>
      <c r="FSJ21" s="94"/>
      <c r="FSK21" s="94"/>
      <c r="FSL21" s="94"/>
      <c r="FSM21" s="94"/>
      <c r="FSN21" s="94"/>
      <c r="FSO21" s="94"/>
      <c r="FSP21" s="94"/>
      <c r="FSQ21" s="94"/>
      <c r="FSR21" s="94"/>
      <c r="FSS21" s="94"/>
      <c r="FST21" s="94"/>
      <c r="FSU21" s="94"/>
      <c r="FSV21" s="94"/>
      <c r="FSW21" s="94"/>
      <c r="FSX21" s="94"/>
      <c r="FSY21" s="94"/>
      <c r="FSZ21" s="94"/>
      <c r="FTA21" s="94"/>
      <c r="FTB21" s="94"/>
      <c r="FTC21" s="94"/>
      <c r="FTD21" s="94"/>
      <c r="FTE21" s="94"/>
      <c r="FTF21" s="94"/>
      <c r="FTG21" s="94"/>
      <c r="FTH21" s="94"/>
      <c r="FTI21" s="94"/>
      <c r="FTJ21" s="94"/>
      <c r="FTK21" s="94"/>
      <c r="FTL21" s="94"/>
      <c r="FTM21" s="94"/>
      <c r="FTN21" s="94"/>
      <c r="FTO21" s="94"/>
      <c r="FTP21" s="94"/>
      <c r="FTQ21" s="94"/>
      <c r="FTR21" s="94"/>
      <c r="FTS21" s="94"/>
      <c r="FTT21" s="94"/>
      <c r="FTU21" s="94"/>
      <c r="FTV21" s="94"/>
      <c r="FTW21" s="94"/>
      <c r="FTX21" s="94"/>
      <c r="FTY21" s="94"/>
      <c r="FTZ21" s="94"/>
      <c r="FUA21" s="94"/>
      <c r="FUB21" s="94"/>
      <c r="FUC21" s="94"/>
      <c r="FUD21" s="94"/>
      <c r="FUE21" s="94"/>
      <c r="FUF21" s="94"/>
      <c r="FUG21" s="94"/>
      <c r="FUH21" s="94"/>
      <c r="FUI21" s="94"/>
      <c r="FUJ21" s="94"/>
      <c r="FUK21" s="94"/>
      <c r="FUL21" s="94"/>
      <c r="FUM21" s="94"/>
      <c r="FUN21" s="94"/>
      <c r="FUO21" s="94"/>
      <c r="FUP21" s="94"/>
      <c r="FUQ21" s="94"/>
      <c r="FUR21" s="94"/>
      <c r="FUS21" s="94"/>
      <c r="FUT21" s="94"/>
      <c r="FUU21" s="94"/>
      <c r="FUV21" s="94"/>
      <c r="FUW21" s="94"/>
      <c r="FUX21" s="94"/>
      <c r="FUY21" s="94"/>
      <c r="FUZ21" s="94"/>
      <c r="FVA21" s="94"/>
      <c r="FVB21" s="94"/>
      <c r="FVC21" s="94"/>
      <c r="FVD21" s="94"/>
      <c r="FVE21" s="94"/>
      <c r="FVF21" s="94"/>
      <c r="FVG21" s="94"/>
      <c r="FVH21" s="94"/>
      <c r="FVI21" s="94"/>
      <c r="FVJ21" s="94"/>
      <c r="FVK21" s="94"/>
      <c r="FVL21" s="94"/>
      <c r="FVM21" s="94"/>
      <c r="FVN21" s="94"/>
      <c r="FVO21" s="94"/>
      <c r="FVP21" s="94"/>
      <c r="FVQ21" s="94"/>
      <c r="FVR21" s="94"/>
      <c r="FVS21" s="94"/>
      <c r="FVT21" s="94"/>
      <c r="FVU21" s="94"/>
      <c r="FVV21" s="94"/>
      <c r="FVW21" s="94"/>
      <c r="FVX21" s="94"/>
      <c r="FVY21" s="94"/>
      <c r="FVZ21" s="94"/>
      <c r="FWA21" s="94"/>
      <c r="FWB21" s="94"/>
      <c r="FWC21" s="94"/>
      <c r="FWD21" s="94"/>
      <c r="FWE21" s="94"/>
      <c r="FWF21" s="94"/>
      <c r="FWG21" s="94"/>
      <c r="FWH21" s="94"/>
      <c r="FWI21" s="94"/>
      <c r="FWJ21" s="94"/>
      <c r="FWK21" s="94"/>
      <c r="FWL21" s="94"/>
      <c r="FWM21" s="94"/>
      <c r="FWN21" s="94"/>
      <c r="FWO21" s="94"/>
      <c r="FWP21" s="94"/>
      <c r="FWQ21" s="94"/>
      <c r="FWR21" s="94"/>
      <c r="FWS21" s="94"/>
      <c r="FWT21" s="94"/>
      <c r="FWU21" s="94"/>
      <c r="FWV21" s="94"/>
      <c r="FWW21" s="94"/>
      <c r="FWX21" s="94"/>
      <c r="FWY21" s="94"/>
      <c r="FWZ21" s="94"/>
      <c r="FXA21" s="94"/>
      <c r="FXB21" s="94"/>
      <c r="FXC21" s="94"/>
      <c r="FXD21" s="94"/>
      <c r="FXE21" s="94"/>
      <c r="FXF21" s="94"/>
      <c r="FXG21" s="94"/>
      <c r="FXH21" s="94"/>
      <c r="FXI21" s="94"/>
      <c r="FXJ21" s="94"/>
      <c r="FXK21" s="94"/>
      <c r="FXL21" s="94"/>
      <c r="FXM21" s="94"/>
      <c r="FXN21" s="94"/>
      <c r="FXO21" s="94"/>
      <c r="FXP21" s="94"/>
      <c r="FXQ21" s="94"/>
      <c r="FXR21" s="94"/>
      <c r="FXS21" s="94"/>
      <c r="FXT21" s="94"/>
      <c r="FXU21" s="94"/>
      <c r="FXV21" s="94"/>
      <c r="FXW21" s="94"/>
      <c r="FXX21" s="94"/>
      <c r="FXY21" s="94"/>
      <c r="FXZ21" s="94"/>
      <c r="FYA21" s="94"/>
      <c r="FYB21" s="94"/>
      <c r="FYC21" s="94"/>
      <c r="FYD21" s="94"/>
      <c r="FYE21" s="94"/>
      <c r="FYF21" s="94"/>
      <c r="FYG21" s="94"/>
      <c r="FYH21" s="94"/>
      <c r="FYI21" s="94"/>
      <c r="FYJ21" s="94"/>
      <c r="FYK21" s="94"/>
      <c r="FYL21" s="94"/>
      <c r="FYM21" s="94"/>
      <c r="FYN21" s="94"/>
      <c r="FYO21" s="94"/>
      <c r="FYP21" s="94"/>
      <c r="FYQ21" s="94"/>
      <c r="FYR21" s="94"/>
      <c r="FYS21" s="94"/>
      <c r="FYT21" s="94"/>
      <c r="FYU21" s="94"/>
      <c r="FYV21" s="94"/>
      <c r="FYW21" s="94"/>
      <c r="FYX21" s="94"/>
      <c r="FYY21" s="94"/>
      <c r="FYZ21" s="94"/>
      <c r="FZA21" s="94"/>
      <c r="FZB21" s="94"/>
      <c r="FZC21" s="94"/>
      <c r="FZD21" s="94"/>
      <c r="FZE21" s="94"/>
      <c r="FZF21" s="94"/>
      <c r="FZG21" s="94"/>
      <c r="FZH21" s="94"/>
      <c r="FZI21" s="94"/>
      <c r="FZJ21" s="94"/>
      <c r="FZK21" s="94"/>
      <c r="FZL21" s="94"/>
      <c r="FZM21" s="94"/>
      <c r="FZN21" s="94"/>
      <c r="FZO21" s="94"/>
      <c r="FZP21" s="94"/>
      <c r="FZQ21" s="94"/>
      <c r="FZR21" s="94"/>
      <c r="FZS21" s="94"/>
      <c r="FZT21" s="94"/>
      <c r="FZU21" s="94"/>
      <c r="FZV21" s="94"/>
      <c r="FZW21" s="94"/>
      <c r="FZX21" s="94"/>
      <c r="FZY21" s="94"/>
      <c r="FZZ21" s="94"/>
      <c r="GAA21" s="94"/>
      <c r="GAB21" s="94"/>
      <c r="GAC21" s="94"/>
      <c r="GAD21" s="94"/>
      <c r="GAE21" s="94"/>
      <c r="GAF21" s="94"/>
      <c r="GAG21" s="94"/>
      <c r="GAH21" s="94"/>
      <c r="GAI21" s="94"/>
      <c r="GAJ21" s="94"/>
      <c r="GAK21" s="94"/>
      <c r="GAL21" s="94"/>
      <c r="GAM21" s="94"/>
      <c r="GAN21" s="94"/>
      <c r="GAO21" s="94"/>
      <c r="GAP21" s="94"/>
      <c r="GAQ21" s="94"/>
      <c r="GAR21" s="94"/>
      <c r="GAS21" s="94"/>
      <c r="GAT21" s="94"/>
      <c r="GAU21" s="94"/>
      <c r="GAV21" s="94"/>
      <c r="GAW21" s="94"/>
      <c r="GAX21" s="94"/>
      <c r="GAY21" s="94"/>
      <c r="GAZ21" s="94"/>
      <c r="GBA21" s="94"/>
      <c r="GBB21" s="94"/>
      <c r="GBC21" s="94"/>
      <c r="GBD21" s="94"/>
      <c r="GBE21" s="94"/>
      <c r="GBF21" s="94"/>
      <c r="GBG21" s="94"/>
      <c r="GBH21" s="94"/>
      <c r="GBI21" s="94"/>
      <c r="GBJ21" s="94"/>
      <c r="GBK21" s="94"/>
      <c r="GBL21" s="94"/>
      <c r="GBM21" s="94"/>
      <c r="GBN21" s="94"/>
      <c r="GBO21" s="94"/>
      <c r="GBP21" s="94"/>
      <c r="GBQ21" s="94"/>
      <c r="GBR21" s="94"/>
      <c r="GBS21" s="94"/>
      <c r="GBT21" s="94"/>
      <c r="GBU21" s="94"/>
      <c r="GBV21" s="94"/>
      <c r="GBW21" s="94"/>
      <c r="GBX21" s="94"/>
      <c r="GBY21" s="94"/>
      <c r="GBZ21" s="94"/>
      <c r="GCA21" s="94"/>
      <c r="GCB21" s="94"/>
      <c r="GCC21" s="94"/>
      <c r="GCD21" s="94"/>
      <c r="GCE21" s="94"/>
      <c r="GCF21" s="94"/>
      <c r="GCG21" s="94"/>
      <c r="GCH21" s="94"/>
      <c r="GCI21" s="94"/>
      <c r="GCJ21" s="94"/>
      <c r="GCK21" s="94"/>
      <c r="GCL21" s="94"/>
      <c r="GCM21" s="94"/>
      <c r="GCN21" s="94"/>
      <c r="GCO21" s="94"/>
      <c r="GCP21" s="94"/>
      <c r="GCQ21" s="94"/>
      <c r="GCR21" s="94"/>
      <c r="GCS21" s="94"/>
      <c r="GCT21" s="94"/>
      <c r="GCU21" s="94"/>
      <c r="GCV21" s="94"/>
      <c r="GCW21" s="94"/>
      <c r="GCX21" s="94"/>
      <c r="GCY21" s="94"/>
      <c r="GCZ21" s="94"/>
      <c r="GDA21" s="94"/>
      <c r="GDB21" s="94"/>
      <c r="GDC21" s="94"/>
      <c r="GDD21" s="94"/>
      <c r="GDE21" s="94"/>
      <c r="GDF21" s="94"/>
      <c r="GDG21" s="94"/>
      <c r="GDH21" s="94"/>
      <c r="GDI21" s="94"/>
      <c r="GDJ21" s="94"/>
      <c r="GDK21" s="94"/>
      <c r="GDL21" s="94"/>
      <c r="GDM21" s="94"/>
      <c r="GDN21" s="94"/>
      <c r="GDO21" s="94"/>
      <c r="GDP21" s="94"/>
      <c r="GDQ21" s="94"/>
      <c r="GDR21" s="94"/>
      <c r="GDS21" s="94"/>
      <c r="GDT21" s="94"/>
      <c r="GDU21" s="94"/>
      <c r="GDV21" s="94"/>
      <c r="GDW21" s="94"/>
      <c r="GDX21" s="94"/>
      <c r="GDY21" s="94"/>
      <c r="GDZ21" s="94"/>
      <c r="GEA21" s="94"/>
      <c r="GEB21" s="94"/>
      <c r="GEC21" s="94"/>
      <c r="GED21" s="94"/>
      <c r="GEE21" s="94"/>
      <c r="GEF21" s="94"/>
      <c r="GEG21" s="94"/>
      <c r="GEH21" s="94"/>
      <c r="GEI21" s="94"/>
      <c r="GEJ21" s="94"/>
      <c r="GEK21" s="94"/>
      <c r="GEL21" s="94"/>
      <c r="GEM21" s="94"/>
      <c r="GEN21" s="94"/>
      <c r="GEO21" s="94"/>
      <c r="GEP21" s="94"/>
      <c r="GEQ21" s="94"/>
      <c r="GER21" s="94"/>
      <c r="GES21" s="94"/>
      <c r="GET21" s="94"/>
      <c r="GEU21" s="94"/>
      <c r="GEV21" s="94"/>
      <c r="GEW21" s="94"/>
      <c r="GEX21" s="94"/>
      <c r="GEY21" s="94"/>
      <c r="GEZ21" s="94"/>
      <c r="GFA21" s="94"/>
      <c r="GFB21" s="94"/>
      <c r="GFC21" s="94"/>
      <c r="GFD21" s="94"/>
      <c r="GFE21" s="94"/>
      <c r="GFF21" s="94"/>
      <c r="GFG21" s="94"/>
      <c r="GFH21" s="94"/>
      <c r="GFI21" s="94"/>
      <c r="GFJ21" s="94"/>
      <c r="GFK21" s="94"/>
      <c r="GFL21" s="94"/>
      <c r="GFM21" s="94"/>
      <c r="GFN21" s="94"/>
      <c r="GFO21" s="94"/>
      <c r="GFP21" s="94"/>
      <c r="GFQ21" s="94"/>
      <c r="GFR21" s="94"/>
      <c r="GFS21" s="94"/>
      <c r="GFT21" s="94"/>
      <c r="GFU21" s="94"/>
      <c r="GFV21" s="94"/>
      <c r="GFW21" s="94"/>
      <c r="GFX21" s="94"/>
      <c r="GFY21" s="94"/>
      <c r="GFZ21" s="94"/>
      <c r="GGA21" s="94"/>
      <c r="GGB21" s="94"/>
      <c r="GGC21" s="94"/>
      <c r="GGD21" s="94"/>
      <c r="GGE21" s="94"/>
      <c r="GGF21" s="94"/>
      <c r="GGG21" s="94"/>
      <c r="GGH21" s="94"/>
      <c r="GGI21" s="94"/>
      <c r="GGJ21" s="94"/>
      <c r="GGK21" s="94"/>
      <c r="GGL21" s="94"/>
      <c r="GGM21" s="94"/>
      <c r="GGN21" s="94"/>
      <c r="GGO21" s="94"/>
      <c r="GGP21" s="94"/>
      <c r="GGQ21" s="94"/>
      <c r="GGR21" s="94"/>
      <c r="GGS21" s="94"/>
      <c r="GGT21" s="94"/>
      <c r="GGU21" s="94"/>
      <c r="GGV21" s="94"/>
      <c r="GGW21" s="94"/>
      <c r="GGX21" s="94"/>
      <c r="GGY21" s="94"/>
      <c r="GGZ21" s="94"/>
      <c r="GHA21" s="94"/>
      <c r="GHB21" s="94"/>
      <c r="GHC21" s="94"/>
      <c r="GHD21" s="94"/>
      <c r="GHE21" s="94"/>
      <c r="GHF21" s="94"/>
      <c r="GHG21" s="94"/>
      <c r="GHH21" s="94"/>
      <c r="GHI21" s="94"/>
      <c r="GHJ21" s="94"/>
      <c r="GHK21" s="94"/>
      <c r="GHL21" s="94"/>
      <c r="GHM21" s="94"/>
      <c r="GHN21" s="94"/>
      <c r="GHO21" s="94"/>
      <c r="GHP21" s="94"/>
      <c r="GHQ21" s="94"/>
      <c r="GHR21" s="94"/>
      <c r="GHS21" s="94"/>
      <c r="GHT21" s="94"/>
      <c r="GHU21" s="94"/>
      <c r="GHV21" s="94"/>
      <c r="GHW21" s="94"/>
      <c r="GHX21" s="94"/>
      <c r="GHY21" s="94"/>
      <c r="GHZ21" s="94"/>
      <c r="GIA21" s="94"/>
      <c r="GIB21" s="94"/>
      <c r="GIC21" s="94"/>
      <c r="GID21" s="94"/>
      <c r="GIE21" s="94"/>
      <c r="GIF21" s="94"/>
      <c r="GIG21" s="94"/>
      <c r="GIH21" s="94"/>
      <c r="GII21" s="94"/>
      <c r="GIJ21" s="94"/>
      <c r="GIK21" s="94"/>
      <c r="GIL21" s="94"/>
      <c r="GIM21" s="94"/>
      <c r="GIN21" s="94"/>
      <c r="GIO21" s="94"/>
      <c r="GIP21" s="94"/>
      <c r="GIQ21" s="94"/>
      <c r="GIR21" s="94"/>
      <c r="GIS21" s="94"/>
      <c r="GIT21" s="94"/>
      <c r="GIU21" s="94"/>
      <c r="GIV21" s="94"/>
      <c r="GIW21" s="94"/>
      <c r="GIX21" s="94"/>
      <c r="GIY21" s="94"/>
      <c r="GIZ21" s="94"/>
      <c r="GJA21" s="94"/>
      <c r="GJB21" s="94"/>
      <c r="GJC21" s="94"/>
      <c r="GJD21" s="94"/>
      <c r="GJE21" s="94"/>
      <c r="GJF21" s="94"/>
      <c r="GJG21" s="94"/>
      <c r="GJH21" s="94"/>
      <c r="GJI21" s="94"/>
      <c r="GJJ21" s="94"/>
      <c r="GJK21" s="94"/>
      <c r="GJL21" s="94"/>
      <c r="GJM21" s="94"/>
      <c r="GJN21" s="94"/>
      <c r="GJO21" s="94"/>
      <c r="GJP21" s="94"/>
      <c r="GJQ21" s="94"/>
      <c r="GJR21" s="94"/>
      <c r="GJS21" s="94"/>
      <c r="GJT21" s="94"/>
      <c r="GJU21" s="94"/>
      <c r="GJV21" s="94"/>
      <c r="GJW21" s="94"/>
      <c r="GJX21" s="94"/>
      <c r="GJY21" s="94"/>
      <c r="GJZ21" s="94"/>
      <c r="GKA21" s="94"/>
      <c r="GKB21" s="94"/>
      <c r="GKC21" s="94"/>
      <c r="GKD21" s="94"/>
      <c r="GKE21" s="94"/>
      <c r="GKF21" s="94"/>
      <c r="GKG21" s="94"/>
      <c r="GKH21" s="94"/>
      <c r="GKI21" s="94"/>
      <c r="GKJ21" s="94"/>
      <c r="GKK21" s="94"/>
      <c r="GKL21" s="94"/>
      <c r="GKM21" s="94"/>
      <c r="GKN21" s="94"/>
      <c r="GKO21" s="94"/>
      <c r="GKP21" s="94"/>
      <c r="GKQ21" s="94"/>
      <c r="GKR21" s="94"/>
      <c r="GKS21" s="94"/>
      <c r="GKT21" s="94"/>
      <c r="GKU21" s="94"/>
      <c r="GKV21" s="94"/>
      <c r="GKW21" s="94"/>
      <c r="GKX21" s="94"/>
      <c r="GKY21" s="94"/>
      <c r="GKZ21" s="94"/>
      <c r="GLA21" s="94"/>
      <c r="GLB21" s="94"/>
      <c r="GLC21" s="94"/>
      <c r="GLD21" s="94"/>
      <c r="GLE21" s="94"/>
      <c r="GLF21" s="94"/>
      <c r="GLG21" s="94"/>
      <c r="GLH21" s="94"/>
      <c r="GLI21" s="94"/>
      <c r="GLJ21" s="94"/>
      <c r="GLK21" s="94"/>
      <c r="GLL21" s="94"/>
      <c r="GLM21" s="94"/>
      <c r="GLN21" s="94"/>
      <c r="GLO21" s="94"/>
      <c r="GLP21" s="94"/>
      <c r="GLQ21" s="94"/>
      <c r="GLR21" s="94"/>
      <c r="GLS21" s="94"/>
      <c r="GLT21" s="94"/>
      <c r="GLU21" s="94"/>
      <c r="GLV21" s="94"/>
      <c r="GLW21" s="94"/>
      <c r="GLX21" s="94"/>
      <c r="GLY21" s="94"/>
      <c r="GLZ21" s="94"/>
      <c r="GMA21" s="94"/>
      <c r="GMB21" s="94"/>
      <c r="GMC21" s="94"/>
      <c r="GMD21" s="94"/>
      <c r="GME21" s="94"/>
      <c r="GMF21" s="94"/>
      <c r="GMG21" s="94"/>
      <c r="GMH21" s="94"/>
      <c r="GMI21" s="94"/>
      <c r="GMJ21" s="94"/>
      <c r="GMK21" s="94"/>
      <c r="GML21" s="94"/>
      <c r="GMM21" s="94"/>
      <c r="GMN21" s="94"/>
      <c r="GMO21" s="94"/>
      <c r="GMP21" s="94"/>
      <c r="GMQ21" s="94"/>
      <c r="GMR21" s="94"/>
      <c r="GMS21" s="94"/>
      <c r="GMT21" s="94"/>
      <c r="GMU21" s="94"/>
      <c r="GMV21" s="94"/>
      <c r="GMW21" s="94"/>
      <c r="GMX21" s="94"/>
      <c r="GMY21" s="94"/>
      <c r="GMZ21" s="94"/>
      <c r="GNA21" s="94"/>
      <c r="GNB21" s="94"/>
      <c r="GNC21" s="94"/>
      <c r="GND21" s="94"/>
      <c r="GNE21" s="94"/>
      <c r="GNF21" s="94"/>
      <c r="GNG21" s="94"/>
      <c r="GNH21" s="94"/>
      <c r="GNI21" s="94"/>
      <c r="GNJ21" s="94"/>
      <c r="GNK21" s="94"/>
      <c r="GNL21" s="94"/>
      <c r="GNM21" s="94"/>
      <c r="GNN21" s="94"/>
      <c r="GNO21" s="94"/>
      <c r="GNP21" s="94"/>
      <c r="GNQ21" s="94"/>
      <c r="GNR21" s="94"/>
      <c r="GNS21" s="94"/>
      <c r="GNT21" s="94"/>
      <c r="GNU21" s="94"/>
      <c r="GNV21" s="94"/>
      <c r="GNW21" s="94"/>
      <c r="GNX21" s="94"/>
      <c r="GNY21" s="94"/>
      <c r="GNZ21" s="94"/>
      <c r="GOA21" s="94"/>
      <c r="GOB21" s="94"/>
      <c r="GOC21" s="94"/>
      <c r="GOD21" s="94"/>
      <c r="GOE21" s="94"/>
      <c r="GOF21" s="94"/>
      <c r="GOG21" s="94"/>
      <c r="GOH21" s="94"/>
      <c r="GOI21" s="94"/>
      <c r="GOJ21" s="94"/>
      <c r="GOK21" s="94"/>
      <c r="GOL21" s="94"/>
      <c r="GOM21" s="94"/>
      <c r="GON21" s="94"/>
      <c r="GOO21" s="94"/>
      <c r="GOP21" s="94"/>
      <c r="GOQ21" s="94"/>
      <c r="GOR21" s="94"/>
      <c r="GOS21" s="94"/>
      <c r="GOT21" s="94"/>
      <c r="GOU21" s="94"/>
      <c r="GOV21" s="94"/>
      <c r="GOW21" s="94"/>
      <c r="GOX21" s="94"/>
      <c r="GOY21" s="94"/>
      <c r="GOZ21" s="94"/>
      <c r="GPA21" s="94"/>
      <c r="GPB21" s="94"/>
      <c r="GPC21" s="94"/>
      <c r="GPD21" s="94"/>
      <c r="GPE21" s="94"/>
      <c r="GPF21" s="94"/>
      <c r="GPG21" s="94"/>
      <c r="GPH21" s="94"/>
      <c r="GPI21" s="94"/>
      <c r="GPJ21" s="94"/>
      <c r="GPK21" s="94"/>
      <c r="GPL21" s="94"/>
      <c r="GPM21" s="94"/>
      <c r="GPN21" s="94"/>
      <c r="GPO21" s="94"/>
      <c r="GPP21" s="94"/>
      <c r="GPQ21" s="94"/>
      <c r="GPR21" s="94"/>
      <c r="GPS21" s="94"/>
      <c r="GPT21" s="94"/>
      <c r="GPU21" s="94"/>
      <c r="GPV21" s="94"/>
      <c r="GPW21" s="94"/>
      <c r="GPX21" s="94"/>
      <c r="GPY21" s="94"/>
      <c r="GPZ21" s="94"/>
      <c r="GQA21" s="94"/>
      <c r="GQB21" s="94"/>
      <c r="GQC21" s="94"/>
      <c r="GQD21" s="94"/>
      <c r="GQE21" s="94"/>
      <c r="GQF21" s="94"/>
      <c r="GQG21" s="94"/>
      <c r="GQH21" s="94"/>
      <c r="GQI21" s="94"/>
      <c r="GQJ21" s="94"/>
      <c r="GQK21" s="94"/>
      <c r="GQL21" s="94"/>
      <c r="GQM21" s="94"/>
      <c r="GQN21" s="94"/>
      <c r="GQO21" s="94"/>
      <c r="GQP21" s="94"/>
      <c r="GQQ21" s="94"/>
      <c r="GQR21" s="94"/>
      <c r="GQS21" s="94"/>
      <c r="GQT21" s="94"/>
      <c r="GQU21" s="94"/>
      <c r="GQV21" s="94"/>
      <c r="GQW21" s="94"/>
      <c r="GQX21" s="94"/>
      <c r="GQY21" s="94"/>
      <c r="GQZ21" s="94"/>
      <c r="GRA21" s="94"/>
      <c r="GRB21" s="94"/>
      <c r="GRC21" s="94"/>
      <c r="GRD21" s="94"/>
      <c r="GRE21" s="94"/>
      <c r="GRF21" s="94"/>
      <c r="GRG21" s="94"/>
      <c r="GRH21" s="94"/>
      <c r="GRI21" s="94"/>
      <c r="GRJ21" s="94"/>
      <c r="GRK21" s="94"/>
      <c r="GRL21" s="94"/>
      <c r="GRM21" s="94"/>
      <c r="GRN21" s="94"/>
      <c r="GRO21" s="94"/>
      <c r="GRP21" s="94"/>
      <c r="GRQ21" s="94"/>
      <c r="GRR21" s="94"/>
      <c r="GRS21" s="94"/>
      <c r="GRT21" s="94"/>
      <c r="GRU21" s="94"/>
      <c r="GRV21" s="94"/>
      <c r="GRW21" s="94"/>
      <c r="GRX21" s="94"/>
      <c r="GRY21" s="94"/>
      <c r="GRZ21" s="94"/>
      <c r="GSA21" s="94"/>
      <c r="GSB21" s="94"/>
      <c r="GSC21" s="94"/>
      <c r="GSD21" s="94"/>
      <c r="GSE21" s="94"/>
      <c r="GSF21" s="94"/>
      <c r="GSG21" s="94"/>
      <c r="GSH21" s="94"/>
      <c r="GSI21" s="94"/>
      <c r="GSJ21" s="94"/>
      <c r="GSK21" s="94"/>
      <c r="GSL21" s="94"/>
      <c r="GSM21" s="94"/>
      <c r="GSN21" s="94"/>
      <c r="GSO21" s="94"/>
      <c r="GSP21" s="94"/>
      <c r="GSQ21" s="94"/>
      <c r="GSR21" s="94"/>
      <c r="GSS21" s="94"/>
      <c r="GST21" s="94"/>
      <c r="GSU21" s="94"/>
      <c r="GSV21" s="94"/>
      <c r="GSW21" s="94"/>
      <c r="GSX21" s="94"/>
      <c r="GSY21" s="94"/>
      <c r="GSZ21" s="94"/>
      <c r="GTA21" s="94"/>
      <c r="GTB21" s="94"/>
      <c r="GTC21" s="94"/>
      <c r="GTD21" s="94"/>
      <c r="GTE21" s="94"/>
      <c r="GTF21" s="94"/>
      <c r="GTG21" s="94"/>
      <c r="GTH21" s="94"/>
      <c r="GTI21" s="94"/>
      <c r="GTJ21" s="94"/>
      <c r="GTK21" s="94"/>
      <c r="GTL21" s="94"/>
      <c r="GTM21" s="94"/>
      <c r="GTN21" s="94"/>
      <c r="GTO21" s="94"/>
      <c r="GTP21" s="94"/>
      <c r="GTQ21" s="94"/>
      <c r="GTR21" s="94"/>
      <c r="GTS21" s="94"/>
      <c r="GTT21" s="94"/>
      <c r="GTU21" s="94"/>
      <c r="GTV21" s="94"/>
      <c r="GTW21" s="94"/>
      <c r="GTX21" s="94"/>
      <c r="GTY21" s="94"/>
      <c r="GTZ21" s="94"/>
      <c r="GUA21" s="94"/>
      <c r="GUB21" s="94"/>
      <c r="GUC21" s="94"/>
      <c r="GUD21" s="94"/>
      <c r="GUE21" s="94"/>
      <c r="GUF21" s="94"/>
      <c r="GUG21" s="94"/>
      <c r="GUH21" s="94"/>
      <c r="GUI21" s="94"/>
      <c r="GUJ21" s="94"/>
      <c r="GUK21" s="94"/>
      <c r="GUL21" s="94"/>
      <c r="GUM21" s="94"/>
      <c r="GUN21" s="94"/>
      <c r="GUO21" s="94"/>
      <c r="GUP21" s="94"/>
      <c r="GUQ21" s="94"/>
      <c r="GUR21" s="94"/>
      <c r="GUS21" s="94"/>
      <c r="GUT21" s="94"/>
      <c r="GUU21" s="94"/>
      <c r="GUV21" s="94"/>
      <c r="GUW21" s="94"/>
      <c r="GUX21" s="94"/>
      <c r="GUY21" s="94"/>
      <c r="GUZ21" s="94"/>
      <c r="GVA21" s="94"/>
      <c r="GVB21" s="94"/>
      <c r="GVC21" s="94"/>
      <c r="GVD21" s="94"/>
      <c r="GVE21" s="94"/>
      <c r="GVF21" s="94"/>
      <c r="GVG21" s="94"/>
      <c r="GVH21" s="94"/>
      <c r="GVI21" s="94"/>
      <c r="GVJ21" s="94"/>
      <c r="GVK21" s="94"/>
      <c r="GVL21" s="94"/>
      <c r="GVM21" s="94"/>
      <c r="GVN21" s="94"/>
      <c r="GVO21" s="94"/>
      <c r="GVP21" s="94"/>
      <c r="GVQ21" s="94"/>
      <c r="GVR21" s="94"/>
      <c r="GVS21" s="94"/>
      <c r="GVT21" s="94"/>
      <c r="GVU21" s="94"/>
      <c r="GVV21" s="94"/>
      <c r="GVW21" s="94"/>
      <c r="GVX21" s="94"/>
      <c r="GVY21" s="94"/>
      <c r="GVZ21" s="94"/>
      <c r="GWA21" s="94"/>
      <c r="GWB21" s="94"/>
      <c r="GWC21" s="94"/>
      <c r="GWD21" s="94"/>
      <c r="GWE21" s="94"/>
      <c r="GWF21" s="94"/>
      <c r="GWG21" s="94"/>
      <c r="GWH21" s="94"/>
      <c r="GWI21" s="94"/>
      <c r="GWJ21" s="94"/>
      <c r="GWK21" s="94"/>
      <c r="GWL21" s="94"/>
      <c r="GWM21" s="94"/>
      <c r="GWN21" s="94"/>
      <c r="GWO21" s="94"/>
      <c r="GWP21" s="94"/>
      <c r="GWQ21" s="94"/>
      <c r="GWR21" s="94"/>
      <c r="GWS21" s="94"/>
      <c r="GWT21" s="94"/>
      <c r="GWU21" s="94"/>
      <c r="GWV21" s="94"/>
      <c r="GWW21" s="94"/>
      <c r="GWX21" s="94"/>
      <c r="GWY21" s="94"/>
      <c r="GWZ21" s="94"/>
      <c r="GXA21" s="94"/>
      <c r="GXB21" s="94"/>
      <c r="GXC21" s="94"/>
      <c r="GXD21" s="94"/>
      <c r="GXE21" s="94"/>
      <c r="GXF21" s="94"/>
      <c r="GXG21" s="94"/>
      <c r="GXH21" s="94"/>
      <c r="GXI21" s="94"/>
      <c r="GXJ21" s="94"/>
      <c r="GXK21" s="94"/>
      <c r="GXL21" s="94"/>
      <c r="GXM21" s="94"/>
      <c r="GXN21" s="94"/>
      <c r="GXO21" s="94"/>
      <c r="GXP21" s="94"/>
      <c r="GXQ21" s="94"/>
      <c r="GXR21" s="94"/>
      <c r="GXS21" s="94"/>
      <c r="GXT21" s="94"/>
      <c r="GXU21" s="94"/>
      <c r="GXV21" s="94"/>
      <c r="GXW21" s="94"/>
      <c r="GXX21" s="94"/>
      <c r="GXY21" s="94"/>
      <c r="GXZ21" s="94"/>
      <c r="GYA21" s="94"/>
      <c r="GYB21" s="94"/>
      <c r="GYC21" s="94"/>
      <c r="GYD21" s="94"/>
      <c r="GYE21" s="94"/>
      <c r="GYF21" s="94"/>
      <c r="GYG21" s="94"/>
      <c r="GYH21" s="94"/>
      <c r="GYI21" s="94"/>
      <c r="GYJ21" s="94"/>
      <c r="GYK21" s="94"/>
      <c r="GYL21" s="94"/>
      <c r="GYM21" s="94"/>
      <c r="GYN21" s="94"/>
      <c r="GYO21" s="94"/>
      <c r="GYP21" s="94"/>
      <c r="GYQ21" s="94"/>
      <c r="GYR21" s="94"/>
      <c r="GYS21" s="94"/>
      <c r="GYT21" s="94"/>
      <c r="GYU21" s="94"/>
      <c r="GYV21" s="94"/>
      <c r="GYW21" s="94"/>
      <c r="GYX21" s="94"/>
      <c r="GYY21" s="94"/>
      <c r="GYZ21" s="94"/>
      <c r="GZA21" s="94"/>
      <c r="GZB21" s="94"/>
      <c r="GZC21" s="94"/>
      <c r="GZD21" s="94"/>
      <c r="GZE21" s="94"/>
      <c r="GZF21" s="94"/>
      <c r="GZG21" s="94"/>
      <c r="GZH21" s="94"/>
      <c r="GZI21" s="94"/>
      <c r="GZJ21" s="94"/>
      <c r="GZK21" s="94"/>
      <c r="GZL21" s="94"/>
      <c r="GZM21" s="94"/>
      <c r="GZN21" s="94"/>
      <c r="GZO21" s="94"/>
      <c r="GZP21" s="94"/>
      <c r="GZQ21" s="94"/>
      <c r="GZR21" s="94"/>
      <c r="GZS21" s="94"/>
      <c r="GZT21" s="94"/>
      <c r="GZU21" s="94"/>
      <c r="GZV21" s="94"/>
      <c r="GZW21" s="94"/>
      <c r="GZX21" s="94"/>
      <c r="GZY21" s="94"/>
      <c r="GZZ21" s="94"/>
      <c r="HAA21" s="94"/>
      <c r="HAB21" s="94"/>
      <c r="HAC21" s="94"/>
      <c r="HAD21" s="94"/>
      <c r="HAE21" s="94"/>
      <c r="HAF21" s="94"/>
      <c r="HAG21" s="94"/>
      <c r="HAH21" s="94"/>
      <c r="HAI21" s="94"/>
      <c r="HAJ21" s="94"/>
      <c r="HAK21" s="94"/>
      <c r="HAL21" s="94"/>
      <c r="HAM21" s="94"/>
      <c r="HAN21" s="94"/>
      <c r="HAO21" s="94"/>
      <c r="HAP21" s="94"/>
      <c r="HAQ21" s="94"/>
      <c r="HAR21" s="94"/>
      <c r="HAS21" s="94"/>
      <c r="HAT21" s="94"/>
      <c r="HAU21" s="94"/>
      <c r="HAV21" s="94"/>
      <c r="HAW21" s="94"/>
      <c r="HAX21" s="94"/>
      <c r="HAY21" s="94"/>
      <c r="HAZ21" s="94"/>
      <c r="HBA21" s="94"/>
      <c r="HBB21" s="94"/>
      <c r="HBC21" s="94"/>
      <c r="HBD21" s="94"/>
      <c r="HBE21" s="94"/>
      <c r="HBF21" s="94"/>
      <c r="HBG21" s="94"/>
      <c r="HBH21" s="94"/>
      <c r="HBI21" s="94"/>
      <c r="HBJ21" s="94"/>
      <c r="HBK21" s="94"/>
      <c r="HBL21" s="94"/>
      <c r="HBM21" s="94"/>
      <c r="HBN21" s="94"/>
      <c r="HBO21" s="94"/>
      <c r="HBP21" s="94"/>
      <c r="HBQ21" s="94"/>
      <c r="HBR21" s="94"/>
      <c r="HBS21" s="94"/>
      <c r="HBT21" s="94"/>
      <c r="HBU21" s="94"/>
      <c r="HBV21" s="94"/>
      <c r="HBW21" s="94"/>
      <c r="HBX21" s="94"/>
      <c r="HBY21" s="94"/>
      <c r="HBZ21" s="94"/>
      <c r="HCA21" s="94"/>
      <c r="HCB21" s="94"/>
      <c r="HCC21" s="94"/>
      <c r="HCD21" s="94"/>
      <c r="HCE21" s="94"/>
      <c r="HCF21" s="94"/>
      <c r="HCG21" s="94"/>
      <c r="HCH21" s="94"/>
      <c r="HCI21" s="94"/>
      <c r="HCJ21" s="94"/>
      <c r="HCK21" s="94"/>
      <c r="HCL21" s="94"/>
      <c r="HCM21" s="94"/>
      <c r="HCN21" s="94"/>
      <c r="HCO21" s="94"/>
      <c r="HCP21" s="94"/>
      <c r="HCQ21" s="94"/>
      <c r="HCR21" s="94"/>
      <c r="HCS21" s="94"/>
      <c r="HCT21" s="94"/>
      <c r="HCU21" s="94"/>
      <c r="HCV21" s="94"/>
      <c r="HCW21" s="94"/>
      <c r="HCX21" s="94"/>
      <c r="HCY21" s="94"/>
      <c r="HCZ21" s="94"/>
      <c r="HDA21" s="94"/>
      <c r="HDB21" s="94"/>
      <c r="HDC21" s="94"/>
      <c r="HDD21" s="94"/>
      <c r="HDE21" s="94"/>
      <c r="HDF21" s="94"/>
      <c r="HDG21" s="94"/>
      <c r="HDH21" s="94"/>
      <c r="HDI21" s="94"/>
      <c r="HDJ21" s="94"/>
      <c r="HDK21" s="94"/>
      <c r="HDL21" s="94"/>
      <c r="HDM21" s="94"/>
      <c r="HDN21" s="94"/>
      <c r="HDO21" s="94"/>
      <c r="HDP21" s="94"/>
      <c r="HDQ21" s="94"/>
      <c r="HDR21" s="94"/>
      <c r="HDS21" s="94"/>
      <c r="HDT21" s="94"/>
      <c r="HDU21" s="94"/>
      <c r="HDV21" s="94"/>
      <c r="HDW21" s="94"/>
      <c r="HDX21" s="94"/>
      <c r="HDY21" s="94"/>
      <c r="HDZ21" s="94"/>
      <c r="HEA21" s="94"/>
      <c r="HEB21" s="94"/>
      <c r="HEC21" s="94"/>
      <c r="HED21" s="94"/>
      <c r="HEE21" s="94"/>
      <c r="HEF21" s="94"/>
      <c r="HEG21" s="94"/>
      <c r="HEH21" s="94"/>
      <c r="HEI21" s="94"/>
      <c r="HEJ21" s="94"/>
      <c r="HEK21" s="94"/>
      <c r="HEL21" s="94"/>
      <c r="HEM21" s="94"/>
      <c r="HEN21" s="94"/>
      <c r="HEO21" s="94"/>
      <c r="HEP21" s="94"/>
      <c r="HEQ21" s="94"/>
      <c r="HER21" s="94"/>
      <c r="HES21" s="94"/>
      <c r="HET21" s="94"/>
      <c r="HEU21" s="94"/>
      <c r="HEV21" s="94"/>
      <c r="HEW21" s="94"/>
      <c r="HEX21" s="94"/>
      <c r="HEY21" s="94"/>
      <c r="HEZ21" s="94"/>
      <c r="HFA21" s="94"/>
      <c r="HFB21" s="94"/>
      <c r="HFC21" s="94"/>
      <c r="HFD21" s="94"/>
      <c r="HFE21" s="94"/>
      <c r="HFF21" s="94"/>
      <c r="HFG21" s="94"/>
      <c r="HFH21" s="94"/>
      <c r="HFI21" s="94"/>
      <c r="HFJ21" s="94"/>
      <c r="HFK21" s="94"/>
      <c r="HFL21" s="94"/>
      <c r="HFM21" s="94"/>
      <c r="HFN21" s="94"/>
      <c r="HFO21" s="94"/>
      <c r="HFP21" s="94"/>
      <c r="HFQ21" s="94"/>
      <c r="HFR21" s="94"/>
      <c r="HFS21" s="94"/>
      <c r="HFT21" s="94"/>
      <c r="HFU21" s="94"/>
      <c r="HFV21" s="94"/>
      <c r="HFW21" s="94"/>
      <c r="HFX21" s="94"/>
      <c r="HFY21" s="94"/>
      <c r="HFZ21" s="94"/>
      <c r="HGA21" s="94"/>
      <c r="HGB21" s="94"/>
      <c r="HGC21" s="94"/>
      <c r="HGD21" s="94"/>
      <c r="HGE21" s="94"/>
      <c r="HGF21" s="94"/>
      <c r="HGG21" s="94"/>
      <c r="HGH21" s="94"/>
      <c r="HGI21" s="94"/>
      <c r="HGJ21" s="94"/>
      <c r="HGK21" s="94"/>
      <c r="HGL21" s="94"/>
      <c r="HGM21" s="94"/>
      <c r="HGN21" s="94"/>
      <c r="HGO21" s="94"/>
      <c r="HGP21" s="94"/>
      <c r="HGQ21" s="94"/>
      <c r="HGR21" s="94"/>
      <c r="HGS21" s="94"/>
      <c r="HGT21" s="94"/>
      <c r="HGU21" s="94"/>
      <c r="HGV21" s="94"/>
      <c r="HGW21" s="94"/>
      <c r="HGX21" s="94"/>
      <c r="HGY21" s="94"/>
      <c r="HGZ21" s="94"/>
      <c r="HHA21" s="94"/>
      <c r="HHB21" s="94"/>
      <c r="HHC21" s="94"/>
      <c r="HHD21" s="94"/>
      <c r="HHE21" s="94"/>
      <c r="HHF21" s="94"/>
      <c r="HHG21" s="94"/>
      <c r="HHH21" s="94"/>
      <c r="HHI21" s="94"/>
      <c r="HHJ21" s="94"/>
      <c r="HHK21" s="94"/>
      <c r="HHL21" s="94"/>
      <c r="HHM21" s="94"/>
      <c r="HHN21" s="94"/>
      <c r="HHO21" s="94"/>
      <c r="HHP21" s="94"/>
      <c r="HHQ21" s="94"/>
      <c r="HHR21" s="94"/>
      <c r="HHS21" s="94"/>
      <c r="HHT21" s="94"/>
      <c r="HHU21" s="94"/>
      <c r="HHV21" s="94"/>
      <c r="HHW21" s="94"/>
      <c r="HHX21" s="94"/>
      <c r="HHY21" s="94"/>
      <c r="HHZ21" s="94"/>
      <c r="HIA21" s="94"/>
      <c r="HIB21" s="94"/>
      <c r="HIC21" s="94"/>
      <c r="HID21" s="94"/>
      <c r="HIE21" s="94"/>
      <c r="HIF21" s="94"/>
      <c r="HIG21" s="94"/>
      <c r="HIH21" s="94"/>
      <c r="HII21" s="94"/>
      <c r="HIJ21" s="94"/>
      <c r="HIK21" s="94"/>
      <c r="HIL21" s="94"/>
      <c r="HIM21" s="94"/>
      <c r="HIN21" s="94"/>
      <c r="HIO21" s="94"/>
      <c r="HIP21" s="94"/>
      <c r="HIQ21" s="94"/>
      <c r="HIR21" s="94"/>
      <c r="HIS21" s="94"/>
      <c r="HIT21" s="94"/>
      <c r="HIU21" s="94"/>
      <c r="HIV21" s="94"/>
      <c r="HIW21" s="94"/>
      <c r="HIX21" s="94"/>
      <c r="HIY21" s="94"/>
      <c r="HIZ21" s="94"/>
      <c r="HJA21" s="94"/>
      <c r="HJB21" s="94"/>
      <c r="HJC21" s="94"/>
      <c r="HJD21" s="94"/>
      <c r="HJE21" s="94"/>
      <c r="HJF21" s="94"/>
      <c r="HJG21" s="94"/>
      <c r="HJH21" s="94"/>
      <c r="HJI21" s="94"/>
      <c r="HJJ21" s="94"/>
      <c r="HJK21" s="94"/>
      <c r="HJL21" s="94"/>
      <c r="HJM21" s="94"/>
      <c r="HJN21" s="94"/>
      <c r="HJO21" s="94"/>
      <c r="HJP21" s="94"/>
      <c r="HJQ21" s="94"/>
      <c r="HJR21" s="94"/>
      <c r="HJS21" s="94"/>
      <c r="HJT21" s="94"/>
      <c r="HJU21" s="94"/>
      <c r="HJV21" s="94"/>
      <c r="HJW21" s="94"/>
      <c r="HJX21" s="94"/>
      <c r="HJY21" s="94"/>
      <c r="HJZ21" s="94"/>
      <c r="HKA21" s="94"/>
      <c r="HKB21" s="94"/>
      <c r="HKC21" s="94"/>
      <c r="HKD21" s="94"/>
      <c r="HKE21" s="94"/>
      <c r="HKF21" s="94"/>
      <c r="HKG21" s="94"/>
      <c r="HKH21" s="94"/>
      <c r="HKI21" s="94"/>
      <c r="HKJ21" s="94"/>
      <c r="HKK21" s="94"/>
      <c r="HKL21" s="94"/>
      <c r="HKM21" s="94"/>
      <c r="HKN21" s="94"/>
      <c r="HKO21" s="94"/>
      <c r="HKP21" s="94"/>
      <c r="HKQ21" s="94"/>
      <c r="HKR21" s="94"/>
      <c r="HKS21" s="94"/>
      <c r="HKT21" s="94"/>
      <c r="HKU21" s="94"/>
      <c r="HKV21" s="94"/>
      <c r="HKW21" s="94"/>
      <c r="HKX21" s="94"/>
      <c r="HKY21" s="94"/>
      <c r="HKZ21" s="94"/>
      <c r="HLA21" s="94"/>
      <c r="HLB21" s="94"/>
      <c r="HLC21" s="94"/>
      <c r="HLD21" s="94"/>
      <c r="HLE21" s="94"/>
      <c r="HLF21" s="94"/>
      <c r="HLG21" s="94"/>
      <c r="HLH21" s="94"/>
      <c r="HLI21" s="94"/>
      <c r="HLJ21" s="94"/>
      <c r="HLK21" s="94"/>
      <c r="HLL21" s="94"/>
      <c r="HLM21" s="94"/>
      <c r="HLN21" s="94"/>
      <c r="HLO21" s="94"/>
      <c r="HLP21" s="94"/>
      <c r="HLQ21" s="94"/>
      <c r="HLR21" s="94"/>
      <c r="HLS21" s="94"/>
      <c r="HLT21" s="94"/>
      <c r="HLU21" s="94"/>
      <c r="HLV21" s="94"/>
      <c r="HLW21" s="94"/>
      <c r="HLX21" s="94"/>
      <c r="HLY21" s="94"/>
      <c r="HLZ21" s="94"/>
      <c r="HMA21" s="94"/>
      <c r="HMB21" s="94"/>
      <c r="HMC21" s="94"/>
      <c r="HMD21" s="94"/>
      <c r="HME21" s="94"/>
      <c r="HMF21" s="94"/>
      <c r="HMG21" s="94"/>
      <c r="HMH21" s="94"/>
      <c r="HMI21" s="94"/>
      <c r="HMJ21" s="94"/>
      <c r="HMK21" s="94"/>
      <c r="HML21" s="94"/>
      <c r="HMM21" s="94"/>
      <c r="HMN21" s="94"/>
      <c r="HMO21" s="94"/>
      <c r="HMP21" s="94"/>
      <c r="HMQ21" s="94"/>
      <c r="HMR21" s="94"/>
      <c r="HMS21" s="94"/>
      <c r="HMT21" s="94"/>
      <c r="HMU21" s="94"/>
      <c r="HMV21" s="94"/>
      <c r="HMW21" s="94"/>
      <c r="HMX21" s="94"/>
      <c r="HMY21" s="94"/>
      <c r="HMZ21" s="94"/>
      <c r="HNA21" s="94"/>
      <c r="HNB21" s="94"/>
      <c r="HNC21" s="94"/>
      <c r="HND21" s="94"/>
      <c r="HNE21" s="94"/>
      <c r="HNF21" s="94"/>
      <c r="HNG21" s="94"/>
      <c r="HNH21" s="94"/>
      <c r="HNI21" s="94"/>
      <c r="HNJ21" s="94"/>
      <c r="HNK21" s="94"/>
      <c r="HNL21" s="94"/>
      <c r="HNM21" s="94"/>
      <c r="HNN21" s="94"/>
      <c r="HNO21" s="94"/>
      <c r="HNP21" s="94"/>
      <c r="HNQ21" s="94"/>
      <c r="HNR21" s="94"/>
      <c r="HNS21" s="94"/>
      <c r="HNT21" s="94"/>
      <c r="HNU21" s="94"/>
      <c r="HNV21" s="94"/>
      <c r="HNW21" s="94"/>
      <c r="HNX21" s="94"/>
      <c r="HNY21" s="94"/>
      <c r="HNZ21" s="94"/>
      <c r="HOA21" s="94"/>
      <c r="HOB21" s="94"/>
      <c r="HOC21" s="94"/>
      <c r="HOD21" s="94"/>
      <c r="HOE21" s="94"/>
      <c r="HOF21" s="94"/>
      <c r="HOG21" s="94"/>
      <c r="HOH21" s="94"/>
      <c r="HOI21" s="94"/>
      <c r="HOJ21" s="94"/>
      <c r="HOK21" s="94"/>
      <c r="HOL21" s="94"/>
      <c r="HOM21" s="94"/>
      <c r="HON21" s="94"/>
      <c r="HOO21" s="94"/>
      <c r="HOP21" s="94"/>
      <c r="HOQ21" s="94"/>
      <c r="HOR21" s="94"/>
      <c r="HOS21" s="94"/>
      <c r="HOT21" s="94"/>
      <c r="HOU21" s="94"/>
      <c r="HOV21" s="94"/>
      <c r="HOW21" s="94"/>
      <c r="HOX21" s="94"/>
      <c r="HOY21" s="94"/>
      <c r="HOZ21" s="94"/>
      <c r="HPA21" s="94"/>
      <c r="HPB21" s="94"/>
      <c r="HPC21" s="94"/>
      <c r="HPD21" s="94"/>
      <c r="HPE21" s="94"/>
      <c r="HPF21" s="94"/>
      <c r="HPG21" s="94"/>
      <c r="HPH21" s="94"/>
      <c r="HPI21" s="94"/>
      <c r="HPJ21" s="94"/>
      <c r="HPK21" s="94"/>
      <c r="HPL21" s="94"/>
      <c r="HPM21" s="94"/>
      <c r="HPN21" s="94"/>
      <c r="HPO21" s="94"/>
      <c r="HPP21" s="94"/>
      <c r="HPQ21" s="94"/>
      <c r="HPR21" s="94"/>
      <c r="HPS21" s="94"/>
      <c r="HPT21" s="94"/>
      <c r="HPU21" s="94"/>
      <c r="HPV21" s="94"/>
      <c r="HPW21" s="94"/>
      <c r="HPX21" s="94"/>
      <c r="HPY21" s="94"/>
      <c r="HPZ21" s="94"/>
      <c r="HQA21" s="94"/>
      <c r="HQB21" s="94"/>
      <c r="HQC21" s="94"/>
      <c r="HQD21" s="94"/>
      <c r="HQE21" s="94"/>
      <c r="HQF21" s="94"/>
      <c r="HQG21" s="94"/>
      <c r="HQH21" s="94"/>
      <c r="HQI21" s="94"/>
      <c r="HQJ21" s="94"/>
      <c r="HQK21" s="94"/>
      <c r="HQL21" s="94"/>
      <c r="HQM21" s="94"/>
      <c r="HQN21" s="94"/>
      <c r="HQO21" s="94"/>
      <c r="HQP21" s="94"/>
      <c r="HQQ21" s="94"/>
      <c r="HQR21" s="94"/>
      <c r="HQS21" s="94"/>
      <c r="HQT21" s="94"/>
      <c r="HQU21" s="94"/>
      <c r="HQV21" s="94"/>
      <c r="HQW21" s="94"/>
      <c r="HQX21" s="94"/>
      <c r="HQY21" s="94"/>
      <c r="HQZ21" s="94"/>
      <c r="HRA21" s="94"/>
      <c r="HRB21" s="94"/>
      <c r="HRC21" s="94"/>
      <c r="HRD21" s="94"/>
      <c r="HRE21" s="94"/>
      <c r="HRF21" s="94"/>
      <c r="HRG21" s="94"/>
      <c r="HRH21" s="94"/>
      <c r="HRI21" s="94"/>
      <c r="HRJ21" s="94"/>
      <c r="HRK21" s="94"/>
      <c r="HRL21" s="94"/>
      <c r="HRM21" s="94"/>
      <c r="HRN21" s="94"/>
      <c r="HRO21" s="94"/>
      <c r="HRP21" s="94"/>
      <c r="HRQ21" s="94"/>
      <c r="HRR21" s="94"/>
      <c r="HRS21" s="94"/>
      <c r="HRT21" s="94"/>
      <c r="HRU21" s="94"/>
      <c r="HRV21" s="94"/>
      <c r="HRW21" s="94"/>
      <c r="HRX21" s="94"/>
      <c r="HRY21" s="94"/>
      <c r="HRZ21" s="94"/>
      <c r="HSA21" s="94"/>
      <c r="HSB21" s="94"/>
      <c r="HSC21" s="94"/>
      <c r="HSD21" s="94"/>
      <c r="HSE21" s="94"/>
      <c r="HSF21" s="94"/>
      <c r="HSG21" s="94"/>
      <c r="HSH21" s="94"/>
      <c r="HSI21" s="94"/>
      <c r="HSJ21" s="94"/>
      <c r="HSK21" s="94"/>
      <c r="HSL21" s="94"/>
      <c r="HSM21" s="94"/>
      <c r="HSN21" s="94"/>
      <c r="HSO21" s="94"/>
      <c r="HSP21" s="94"/>
      <c r="HSQ21" s="94"/>
      <c r="HSR21" s="94"/>
      <c r="HSS21" s="94"/>
      <c r="HST21" s="94"/>
      <c r="HSU21" s="94"/>
      <c r="HSV21" s="94"/>
      <c r="HSW21" s="94"/>
      <c r="HSX21" s="94"/>
      <c r="HSY21" s="94"/>
      <c r="HSZ21" s="94"/>
      <c r="HTA21" s="94"/>
      <c r="HTB21" s="94"/>
      <c r="HTC21" s="94"/>
      <c r="HTD21" s="94"/>
      <c r="HTE21" s="94"/>
      <c r="HTF21" s="94"/>
      <c r="HTG21" s="94"/>
      <c r="HTH21" s="94"/>
      <c r="HTI21" s="94"/>
      <c r="HTJ21" s="94"/>
      <c r="HTK21" s="94"/>
      <c r="HTL21" s="94"/>
      <c r="HTM21" s="94"/>
      <c r="HTN21" s="94"/>
      <c r="HTO21" s="94"/>
      <c r="HTP21" s="94"/>
      <c r="HTQ21" s="94"/>
      <c r="HTR21" s="94"/>
      <c r="HTS21" s="94"/>
      <c r="HTT21" s="94"/>
      <c r="HTU21" s="94"/>
      <c r="HTV21" s="94"/>
      <c r="HTW21" s="94"/>
      <c r="HTX21" s="94"/>
      <c r="HTY21" s="94"/>
      <c r="HTZ21" s="94"/>
      <c r="HUA21" s="94"/>
      <c r="HUB21" s="94"/>
      <c r="HUC21" s="94"/>
      <c r="HUD21" s="94"/>
      <c r="HUE21" s="94"/>
      <c r="HUF21" s="94"/>
      <c r="HUG21" s="94"/>
      <c r="HUH21" s="94"/>
      <c r="HUI21" s="94"/>
      <c r="HUJ21" s="94"/>
      <c r="HUK21" s="94"/>
      <c r="HUL21" s="94"/>
      <c r="HUM21" s="94"/>
      <c r="HUN21" s="94"/>
      <c r="HUO21" s="94"/>
      <c r="HUP21" s="94"/>
      <c r="HUQ21" s="94"/>
      <c r="HUR21" s="94"/>
      <c r="HUS21" s="94"/>
      <c r="HUT21" s="94"/>
      <c r="HUU21" s="94"/>
      <c r="HUV21" s="94"/>
      <c r="HUW21" s="94"/>
      <c r="HUX21" s="94"/>
      <c r="HUY21" s="94"/>
      <c r="HUZ21" s="94"/>
      <c r="HVA21" s="94"/>
      <c r="HVB21" s="94"/>
      <c r="HVC21" s="94"/>
      <c r="HVD21" s="94"/>
      <c r="HVE21" s="94"/>
      <c r="HVF21" s="94"/>
      <c r="HVG21" s="94"/>
      <c r="HVH21" s="94"/>
      <c r="HVI21" s="94"/>
      <c r="HVJ21" s="94"/>
      <c r="HVK21" s="94"/>
      <c r="HVL21" s="94"/>
      <c r="HVM21" s="94"/>
      <c r="HVN21" s="94"/>
      <c r="HVO21" s="94"/>
      <c r="HVP21" s="94"/>
      <c r="HVQ21" s="94"/>
      <c r="HVR21" s="94"/>
      <c r="HVS21" s="94"/>
      <c r="HVT21" s="94"/>
      <c r="HVU21" s="94"/>
      <c r="HVV21" s="94"/>
      <c r="HVW21" s="94"/>
      <c r="HVX21" s="94"/>
      <c r="HVY21" s="94"/>
      <c r="HVZ21" s="94"/>
      <c r="HWA21" s="94"/>
      <c r="HWB21" s="94"/>
      <c r="HWC21" s="94"/>
      <c r="HWD21" s="94"/>
      <c r="HWE21" s="94"/>
      <c r="HWF21" s="94"/>
      <c r="HWG21" s="94"/>
      <c r="HWH21" s="94"/>
      <c r="HWI21" s="94"/>
      <c r="HWJ21" s="94"/>
      <c r="HWK21" s="94"/>
      <c r="HWL21" s="94"/>
      <c r="HWM21" s="94"/>
      <c r="HWN21" s="94"/>
      <c r="HWO21" s="94"/>
      <c r="HWP21" s="94"/>
      <c r="HWQ21" s="94"/>
      <c r="HWR21" s="94"/>
      <c r="HWS21" s="94"/>
      <c r="HWT21" s="94"/>
      <c r="HWU21" s="94"/>
      <c r="HWV21" s="94"/>
      <c r="HWW21" s="94"/>
      <c r="HWX21" s="94"/>
      <c r="HWY21" s="94"/>
      <c r="HWZ21" s="94"/>
      <c r="HXA21" s="94"/>
      <c r="HXB21" s="94"/>
      <c r="HXC21" s="94"/>
      <c r="HXD21" s="94"/>
      <c r="HXE21" s="94"/>
      <c r="HXF21" s="94"/>
      <c r="HXG21" s="94"/>
      <c r="HXH21" s="94"/>
      <c r="HXI21" s="94"/>
      <c r="HXJ21" s="94"/>
      <c r="HXK21" s="94"/>
      <c r="HXL21" s="94"/>
      <c r="HXM21" s="94"/>
      <c r="HXN21" s="94"/>
      <c r="HXO21" s="94"/>
      <c r="HXP21" s="94"/>
      <c r="HXQ21" s="94"/>
      <c r="HXR21" s="94"/>
      <c r="HXS21" s="94"/>
      <c r="HXT21" s="94"/>
      <c r="HXU21" s="94"/>
      <c r="HXV21" s="94"/>
      <c r="HXW21" s="94"/>
      <c r="HXX21" s="94"/>
      <c r="HXY21" s="94"/>
      <c r="HXZ21" s="94"/>
      <c r="HYA21" s="94"/>
      <c r="HYB21" s="94"/>
      <c r="HYC21" s="94"/>
      <c r="HYD21" s="94"/>
      <c r="HYE21" s="94"/>
      <c r="HYF21" s="94"/>
      <c r="HYG21" s="94"/>
      <c r="HYH21" s="94"/>
      <c r="HYI21" s="94"/>
      <c r="HYJ21" s="94"/>
      <c r="HYK21" s="94"/>
      <c r="HYL21" s="94"/>
      <c r="HYM21" s="94"/>
      <c r="HYN21" s="94"/>
      <c r="HYO21" s="94"/>
      <c r="HYP21" s="94"/>
      <c r="HYQ21" s="94"/>
      <c r="HYR21" s="94"/>
      <c r="HYS21" s="94"/>
      <c r="HYT21" s="94"/>
      <c r="HYU21" s="94"/>
      <c r="HYV21" s="94"/>
      <c r="HYW21" s="94"/>
      <c r="HYX21" s="94"/>
      <c r="HYY21" s="94"/>
      <c r="HYZ21" s="94"/>
      <c r="HZA21" s="94"/>
      <c r="HZB21" s="94"/>
      <c r="HZC21" s="94"/>
      <c r="HZD21" s="94"/>
      <c r="HZE21" s="94"/>
      <c r="HZF21" s="94"/>
      <c r="HZG21" s="94"/>
      <c r="HZH21" s="94"/>
      <c r="HZI21" s="94"/>
      <c r="HZJ21" s="94"/>
      <c r="HZK21" s="94"/>
      <c r="HZL21" s="94"/>
      <c r="HZM21" s="94"/>
      <c r="HZN21" s="94"/>
      <c r="HZO21" s="94"/>
      <c r="HZP21" s="94"/>
      <c r="HZQ21" s="94"/>
      <c r="HZR21" s="94"/>
      <c r="HZS21" s="94"/>
      <c r="HZT21" s="94"/>
      <c r="HZU21" s="94"/>
      <c r="HZV21" s="94"/>
      <c r="HZW21" s="94"/>
      <c r="HZX21" s="94"/>
      <c r="HZY21" s="94"/>
      <c r="HZZ21" s="94"/>
      <c r="IAA21" s="94"/>
      <c r="IAB21" s="94"/>
      <c r="IAC21" s="94"/>
      <c r="IAD21" s="94"/>
      <c r="IAE21" s="94"/>
      <c r="IAF21" s="94"/>
      <c r="IAG21" s="94"/>
      <c r="IAH21" s="94"/>
      <c r="IAI21" s="94"/>
      <c r="IAJ21" s="94"/>
      <c r="IAK21" s="94"/>
      <c r="IAL21" s="94"/>
      <c r="IAM21" s="94"/>
      <c r="IAN21" s="94"/>
      <c r="IAO21" s="94"/>
      <c r="IAP21" s="94"/>
      <c r="IAQ21" s="94"/>
      <c r="IAR21" s="94"/>
      <c r="IAS21" s="94"/>
      <c r="IAT21" s="94"/>
      <c r="IAU21" s="94"/>
      <c r="IAV21" s="94"/>
      <c r="IAW21" s="94"/>
      <c r="IAX21" s="94"/>
      <c r="IAY21" s="94"/>
      <c r="IAZ21" s="94"/>
      <c r="IBA21" s="94"/>
      <c r="IBB21" s="94"/>
      <c r="IBC21" s="94"/>
      <c r="IBD21" s="94"/>
      <c r="IBE21" s="94"/>
      <c r="IBF21" s="94"/>
      <c r="IBG21" s="94"/>
      <c r="IBH21" s="94"/>
      <c r="IBI21" s="94"/>
      <c r="IBJ21" s="94"/>
      <c r="IBK21" s="94"/>
      <c r="IBL21" s="94"/>
      <c r="IBM21" s="94"/>
      <c r="IBN21" s="94"/>
      <c r="IBO21" s="94"/>
      <c r="IBP21" s="94"/>
      <c r="IBQ21" s="94"/>
      <c r="IBR21" s="94"/>
      <c r="IBS21" s="94"/>
      <c r="IBT21" s="94"/>
      <c r="IBU21" s="94"/>
      <c r="IBV21" s="94"/>
      <c r="IBW21" s="94"/>
      <c r="IBX21" s="94"/>
      <c r="IBY21" s="94"/>
      <c r="IBZ21" s="94"/>
      <c r="ICA21" s="94"/>
      <c r="ICB21" s="94"/>
      <c r="ICC21" s="94"/>
      <c r="ICD21" s="94"/>
      <c r="ICE21" s="94"/>
      <c r="ICF21" s="94"/>
      <c r="ICG21" s="94"/>
      <c r="ICH21" s="94"/>
      <c r="ICI21" s="94"/>
      <c r="ICJ21" s="94"/>
      <c r="ICK21" s="94"/>
      <c r="ICL21" s="94"/>
      <c r="ICM21" s="94"/>
      <c r="ICN21" s="94"/>
      <c r="ICO21" s="94"/>
      <c r="ICP21" s="94"/>
      <c r="ICQ21" s="94"/>
      <c r="ICR21" s="94"/>
      <c r="ICS21" s="94"/>
      <c r="ICT21" s="94"/>
      <c r="ICU21" s="94"/>
      <c r="ICV21" s="94"/>
      <c r="ICW21" s="94"/>
      <c r="ICX21" s="94"/>
      <c r="ICY21" s="94"/>
      <c r="ICZ21" s="94"/>
      <c r="IDA21" s="94"/>
      <c r="IDB21" s="94"/>
      <c r="IDC21" s="94"/>
      <c r="IDD21" s="94"/>
      <c r="IDE21" s="94"/>
      <c r="IDF21" s="94"/>
      <c r="IDG21" s="94"/>
      <c r="IDH21" s="94"/>
      <c r="IDI21" s="94"/>
      <c r="IDJ21" s="94"/>
      <c r="IDK21" s="94"/>
      <c r="IDL21" s="94"/>
      <c r="IDM21" s="94"/>
      <c r="IDN21" s="94"/>
      <c r="IDO21" s="94"/>
      <c r="IDP21" s="94"/>
      <c r="IDQ21" s="94"/>
      <c r="IDR21" s="94"/>
      <c r="IDS21" s="94"/>
      <c r="IDT21" s="94"/>
      <c r="IDU21" s="94"/>
      <c r="IDV21" s="94"/>
      <c r="IDW21" s="94"/>
      <c r="IDX21" s="94"/>
      <c r="IDY21" s="94"/>
      <c r="IDZ21" s="94"/>
      <c r="IEA21" s="94"/>
      <c r="IEB21" s="94"/>
      <c r="IEC21" s="94"/>
      <c r="IED21" s="94"/>
      <c r="IEE21" s="94"/>
      <c r="IEF21" s="94"/>
      <c r="IEG21" s="94"/>
      <c r="IEH21" s="94"/>
      <c r="IEI21" s="94"/>
      <c r="IEJ21" s="94"/>
      <c r="IEK21" s="94"/>
      <c r="IEL21" s="94"/>
      <c r="IEM21" s="94"/>
      <c r="IEN21" s="94"/>
      <c r="IEO21" s="94"/>
      <c r="IEP21" s="94"/>
      <c r="IEQ21" s="94"/>
      <c r="IER21" s="94"/>
      <c r="IES21" s="94"/>
      <c r="IET21" s="94"/>
      <c r="IEU21" s="94"/>
      <c r="IEV21" s="94"/>
      <c r="IEW21" s="94"/>
      <c r="IEX21" s="94"/>
      <c r="IEY21" s="94"/>
      <c r="IEZ21" s="94"/>
      <c r="IFA21" s="94"/>
      <c r="IFB21" s="94"/>
      <c r="IFC21" s="94"/>
      <c r="IFD21" s="94"/>
      <c r="IFE21" s="94"/>
      <c r="IFF21" s="94"/>
      <c r="IFG21" s="94"/>
      <c r="IFH21" s="94"/>
      <c r="IFI21" s="94"/>
      <c r="IFJ21" s="94"/>
      <c r="IFK21" s="94"/>
      <c r="IFL21" s="94"/>
      <c r="IFM21" s="94"/>
      <c r="IFN21" s="94"/>
      <c r="IFO21" s="94"/>
      <c r="IFP21" s="94"/>
      <c r="IFQ21" s="94"/>
      <c r="IFR21" s="94"/>
      <c r="IFS21" s="94"/>
      <c r="IFT21" s="94"/>
      <c r="IFU21" s="94"/>
      <c r="IFV21" s="94"/>
      <c r="IFW21" s="94"/>
      <c r="IFX21" s="94"/>
      <c r="IFY21" s="94"/>
      <c r="IFZ21" s="94"/>
      <c r="IGA21" s="94"/>
      <c r="IGB21" s="94"/>
      <c r="IGC21" s="94"/>
      <c r="IGD21" s="94"/>
      <c r="IGE21" s="94"/>
      <c r="IGF21" s="94"/>
      <c r="IGG21" s="94"/>
      <c r="IGH21" s="94"/>
      <c r="IGI21" s="94"/>
      <c r="IGJ21" s="94"/>
      <c r="IGK21" s="94"/>
      <c r="IGL21" s="94"/>
      <c r="IGM21" s="94"/>
      <c r="IGN21" s="94"/>
      <c r="IGO21" s="94"/>
      <c r="IGP21" s="94"/>
      <c r="IGQ21" s="94"/>
      <c r="IGR21" s="94"/>
      <c r="IGS21" s="94"/>
      <c r="IGT21" s="94"/>
      <c r="IGU21" s="94"/>
      <c r="IGV21" s="94"/>
      <c r="IGW21" s="94"/>
      <c r="IGX21" s="94"/>
      <c r="IGY21" s="94"/>
      <c r="IGZ21" s="94"/>
      <c r="IHA21" s="94"/>
      <c r="IHB21" s="94"/>
      <c r="IHC21" s="94"/>
      <c r="IHD21" s="94"/>
      <c r="IHE21" s="94"/>
      <c r="IHF21" s="94"/>
      <c r="IHG21" s="94"/>
      <c r="IHH21" s="94"/>
      <c r="IHI21" s="94"/>
      <c r="IHJ21" s="94"/>
      <c r="IHK21" s="94"/>
      <c r="IHL21" s="94"/>
      <c r="IHM21" s="94"/>
      <c r="IHN21" s="94"/>
      <c r="IHO21" s="94"/>
      <c r="IHP21" s="94"/>
      <c r="IHQ21" s="94"/>
      <c r="IHR21" s="94"/>
      <c r="IHS21" s="94"/>
      <c r="IHT21" s="94"/>
      <c r="IHU21" s="94"/>
      <c r="IHV21" s="94"/>
      <c r="IHW21" s="94"/>
      <c r="IHX21" s="94"/>
      <c r="IHY21" s="94"/>
      <c r="IHZ21" s="94"/>
      <c r="IIA21" s="94"/>
      <c r="IIB21" s="94"/>
      <c r="IIC21" s="94"/>
      <c r="IID21" s="94"/>
      <c r="IIE21" s="94"/>
      <c r="IIF21" s="94"/>
      <c r="IIG21" s="94"/>
      <c r="IIH21" s="94"/>
      <c r="III21" s="94"/>
      <c r="IIJ21" s="94"/>
      <c r="IIK21" s="94"/>
      <c r="IIL21" s="94"/>
      <c r="IIM21" s="94"/>
      <c r="IIN21" s="94"/>
      <c r="IIO21" s="94"/>
      <c r="IIP21" s="94"/>
      <c r="IIQ21" s="94"/>
      <c r="IIR21" s="94"/>
      <c r="IIS21" s="94"/>
      <c r="IIT21" s="94"/>
      <c r="IIU21" s="94"/>
      <c r="IIV21" s="94"/>
      <c r="IIW21" s="94"/>
      <c r="IIX21" s="94"/>
      <c r="IIY21" s="94"/>
      <c r="IIZ21" s="94"/>
      <c r="IJA21" s="94"/>
      <c r="IJB21" s="94"/>
      <c r="IJC21" s="94"/>
      <c r="IJD21" s="94"/>
      <c r="IJE21" s="94"/>
      <c r="IJF21" s="94"/>
      <c r="IJG21" s="94"/>
      <c r="IJH21" s="94"/>
      <c r="IJI21" s="94"/>
      <c r="IJJ21" s="94"/>
      <c r="IJK21" s="94"/>
      <c r="IJL21" s="94"/>
      <c r="IJM21" s="94"/>
      <c r="IJN21" s="94"/>
      <c r="IJO21" s="94"/>
      <c r="IJP21" s="94"/>
      <c r="IJQ21" s="94"/>
      <c r="IJR21" s="94"/>
      <c r="IJS21" s="94"/>
      <c r="IJT21" s="94"/>
      <c r="IJU21" s="94"/>
      <c r="IJV21" s="94"/>
      <c r="IJW21" s="94"/>
      <c r="IJX21" s="94"/>
      <c r="IJY21" s="94"/>
      <c r="IJZ21" s="94"/>
      <c r="IKA21" s="94"/>
      <c r="IKB21" s="94"/>
      <c r="IKC21" s="94"/>
      <c r="IKD21" s="94"/>
      <c r="IKE21" s="94"/>
      <c r="IKF21" s="94"/>
      <c r="IKG21" s="94"/>
      <c r="IKH21" s="94"/>
      <c r="IKI21" s="94"/>
      <c r="IKJ21" s="94"/>
      <c r="IKK21" s="94"/>
      <c r="IKL21" s="94"/>
      <c r="IKM21" s="94"/>
      <c r="IKN21" s="94"/>
      <c r="IKO21" s="94"/>
      <c r="IKP21" s="94"/>
      <c r="IKQ21" s="94"/>
      <c r="IKR21" s="94"/>
      <c r="IKS21" s="94"/>
      <c r="IKT21" s="94"/>
      <c r="IKU21" s="94"/>
      <c r="IKV21" s="94"/>
      <c r="IKW21" s="94"/>
      <c r="IKX21" s="94"/>
      <c r="IKY21" s="94"/>
      <c r="IKZ21" s="94"/>
      <c r="ILA21" s="94"/>
      <c r="ILB21" s="94"/>
      <c r="ILC21" s="94"/>
      <c r="ILD21" s="94"/>
      <c r="ILE21" s="94"/>
      <c r="ILF21" s="94"/>
      <c r="ILG21" s="94"/>
      <c r="ILH21" s="94"/>
      <c r="ILI21" s="94"/>
      <c r="ILJ21" s="94"/>
      <c r="ILK21" s="94"/>
      <c r="ILL21" s="94"/>
      <c r="ILM21" s="94"/>
      <c r="ILN21" s="94"/>
      <c r="ILO21" s="94"/>
      <c r="ILP21" s="94"/>
      <c r="ILQ21" s="94"/>
      <c r="ILR21" s="94"/>
      <c r="ILS21" s="94"/>
      <c r="ILT21" s="94"/>
      <c r="ILU21" s="94"/>
      <c r="ILV21" s="94"/>
      <c r="ILW21" s="94"/>
      <c r="ILX21" s="94"/>
      <c r="ILY21" s="94"/>
      <c r="ILZ21" s="94"/>
      <c r="IMA21" s="94"/>
      <c r="IMB21" s="94"/>
      <c r="IMC21" s="94"/>
      <c r="IMD21" s="94"/>
      <c r="IME21" s="94"/>
      <c r="IMF21" s="94"/>
      <c r="IMG21" s="94"/>
      <c r="IMH21" s="94"/>
      <c r="IMI21" s="94"/>
      <c r="IMJ21" s="94"/>
      <c r="IMK21" s="94"/>
      <c r="IML21" s="94"/>
      <c r="IMM21" s="94"/>
      <c r="IMN21" s="94"/>
      <c r="IMO21" s="94"/>
      <c r="IMP21" s="94"/>
      <c r="IMQ21" s="94"/>
      <c r="IMR21" s="94"/>
      <c r="IMS21" s="94"/>
      <c r="IMT21" s="94"/>
      <c r="IMU21" s="94"/>
      <c r="IMV21" s="94"/>
      <c r="IMW21" s="94"/>
      <c r="IMX21" s="94"/>
      <c r="IMY21" s="94"/>
      <c r="IMZ21" s="94"/>
      <c r="INA21" s="94"/>
      <c r="INB21" s="94"/>
      <c r="INC21" s="94"/>
      <c r="IND21" s="94"/>
      <c r="INE21" s="94"/>
      <c r="INF21" s="94"/>
      <c r="ING21" s="94"/>
      <c r="INH21" s="94"/>
      <c r="INI21" s="94"/>
      <c r="INJ21" s="94"/>
      <c r="INK21" s="94"/>
      <c r="INL21" s="94"/>
      <c r="INM21" s="94"/>
      <c r="INN21" s="94"/>
      <c r="INO21" s="94"/>
      <c r="INP21" s="94"/>
      <c r="INQ21" s="94"/>
      <c r="INR21" s="94"/>
      <c r="INS21" s="94"/>
      <c r="INT21" s="94"/>
      <c r="INU21" s="94"/>
      <c r="INV21" s="94"/>
      <c r="INW21" s="94"/>
      <c r="INX21" s="94"/>
      <c r="INY21" s="94"/>
      <c r="INZ21" s="94"/>
      <c r="IOA21" s="94"/>
      <c r="IOB21" s="94"/>
      <c r="IOC21" s="94"/>
      <c r="IOD21" s="94"/>
      <c r="IOE21" s="94"/>
      <c r="IOF21" s="94"/>
      <c r="IOG21" s="94"/>
      <c r="IOH21" s="94"/>
      <c r="IOI21" s="94"/>
      <c r="IOJ21" s="94"/>
      <c r="IOK21" s="94"/>
      <c r="IOL21" s="94"/>
      <c r="IOM21" s="94"/>
      <c r="ION21" s="94"/>
      <c r="IOO21" s="94"/>
      <c r="IOP21" s="94"/>
      <c r="IOQ21" s="94"/>
      <c r="IOR21" s="94"/>
      <c r="IOS21" s="94"/>
      <c r="IOT21" s="94"/>
      <c r="IOU21" s="94"/>
      <c r="IOV21" s="94"/>
      <c r="IOW21" s="94"/>
      <c r="IOX21" s="94"/>
      <c r="IOY21" s="94"/>
      <c r="IOZ21" s="94"/>
      <c r="IPA21" s="94"/>
      <c r="IPB21" s="94"/>
      <c r="IPC21" s="94"/>
      <c r="IPD21" s="94"/>
      <c r="IPE21" s="94"/>
      <c r="IPF21" s="94"/>
      <c r="IPG21" s="94"/>
      <c r="IPH21" s="94"/>
      <c r="IPI21" s="94"/>
      <c r="IPJ21" s="94"/>
      <c r="IPK21" s="94"/>
      <c r="IPL21" s="94"/>
      <c r="IPM21" s="94"/>
      <c r="IPN21" s="94"/>
      <c r="IPO21" s="94"/>
      <c r="IPP21" s="94"/>
      <c r="IPQ21" s="94"/>
      <c r="IPR21" s="94"/>
      <c r="IPS21" s="94"/>
      <c r="IPT21" s="94"/>
      <c r="IPU21" s="94"/>
      <c r="IPV21" s="94"/>
      <c r="IPW21" s="94"/>
      <c r="IPX21" s="94"/>
      <c r="IPY21" s="94"/>
      <c r="IPZ21" s="94"/>
      <c r="IQA21" s="94"/>
      <c r="IQB21" s="94"/>
      <c r="IQC21" s="94"/>
      <c r="IQD21" s="94"/>
      <c r="IQE21" s="94"/>
      <c r="IQF21" s="94"/>
      <c r="IQG21" s="94"/>
      <c r="IQH21" s="94"/>
      <c r="IQI21" s="94"/>
      <c r="IQJ21" s="94"/>
      <c r="IQK21" s="94"/>
      <c r="IQL21" s="94"/>
      <c r="IQM21" s="94"/>
      <c r="IQN21" s="94"/>
      <c r="IQO21" s="94"/>
      <c r="IQP21" s="94"/>
      <c r="IQQ21" s="94"/>
      <c r="IQR21" s="94"/>
      <c r="IQS21" s="94"/>
      <c r="IQT21" s="94"/>
      <c r="IQU21" s="94"/>
      <c r="IQV21" s="94"/>
      <c r="IQW21" s="94"/>
      <c r="IQX21" s="94"/>
      <c r="IQY21" s="94"/>
      <c r="IQZ21" s="94"/>
      <c r="IRA21" s="94"/>
      <c r="IRB21" s="94"/>
      <c r="IRC21" s="94"/>
      <c r="IRD21" s="94"/>
      <c r="IRE21" s="94"/>
      <c r="IRF21" s="94"/>
      <c r="IRG21" s="94"/>
      <c r="IRH21" s="94"/>
      <c r="IRI21" s="94"/>
      <c r="IRJ21" s="94"/>
      <c r="IRK21" s="94"/>
      <c r="IRL21" s="94"/>
      <c r="IRM21" s="94"/>
      <c r="IRN21" s="94"/>
      <c r="IRO21" s="94"/>
      <c r="IRP21" s="94"/>
      <c r="IRQ21" s="94"/>
      <c r="IRR21" s="94"/>
      <c r="IRS21" s="94"/>
      <c r="IRT21" s="94"/>
      <c r="IRU21" s="94"/>
      <c r="IRV21" s="94"/>
      <c r="IRW21" s="94"/>
      <c r="IRX21" s="94"/>
      <c r="IRY21" s="94"/>
      <c r="IRZ21" s="94"/>
      <c r="ISA21" s="94"/>
      <c r="ISB21" s="94"/>
      <c r="ISC21" s="94"/>
      <c r="ISD21" s="94"/>
      <c r="ISE21" s="94"/>
      <c r="ISF21" s="94"/>
      <c r="ISG21" s="94"/>
      <c r="ISH21" s="94"/>
      <c r="ISI21" s="94"/>
      <c r="ISJ21" s="94"/>
      <c r="ISK21" s="94"/>
      <c r="ISL21" s="94"/>
      <c r="ISM21" s="94"/>
      <c r="ISN21" s="94"/>
      <c r="ISO21" s="94"/>
      <c r="ISP21" s="94"/>
      <c r="ISQ21" s="94"/>
      <c r="ISR21" s="94"/>
      <c r="ISS21" s="94"/>
      <c r="IST21" s="94"/>
      <c r="ISU21" s="94"/>
      <c r="ISV21" s="94"/>
      <c r="ISW21" s="94"/>
      <c r="ISX21" s="94"/>
      <c r="ISY21" s="94"/>
      <c r="ISZ21" s="94"/>
      <c r="ITA21" s="94"/>
      <c r="ITB21" s="94"/>
      <c r="ITC21" s="94"/>
      <c r="ITD21" s="94"/>
      <c r="ITE21" s="94"/>
      <c r="ITF21" s="94"/>
      <c r="ITG21" s="94"/>
      <c r="ITH21" s="94"/>
      <c r="ITI21" s="94"/>
      <c r="ITJ21" s="94"/>
      <c r="ITK21" s="94"/>
      <c r="ITL21" s="94"/>
      <c r="ITM21" s="94"/>
      <c r="ITN21" s="94"/>
      <c r="ITO21" s="94"/>
      <c r="ITP21" s="94"/>
      <c r="ITQ21" s="94"/>
      <c r="ITR21" s="94"/>
      <c r="ITS21" s="94"/>
      <c r="ITT21" s="94"/>
      <c r="ITU21" s="94"/>
      <c r="ITV21" s="94"/>
      <c r="ITW21" s="94"/>
      <c r="ITX21" s="94"/>
      <c r="ITY21" s="94"/>
      <c r="ITZ21" s="94"/>
      <c r="IUA21" s="94"/>
      <c r="IUB21" s="94"/>
      <c r="IUC21" s="94"/>
      <c r="IUD21" s="94"/>
      <c r="IUE21" s="94"/>
      <c r="IUF21" s="94"/>
      <c r="IUG21" s="94"/>
      <c r="IUH21" s="94"/>
      <c r="IUI21" s="94"/>
      <c r="IUJ21" s="94"/>
      <c r="IUK21" s="94"/>
      <c r="IUL21" s="94"/>
      <c r="IUM21" s="94"/>
      <c r="IUN21" s="94"/>
      <c r="IUO21" s="94"/>
      <c r="IUP21" s="94"/>
      <c r="IUQ21" s="94"/>
      <c r="IUR21" s="94"/>
      <c r="IUS21" s="94"/>
      <c r="IUT21" s="94"/>
      <c r="IUU21" s="94"/>
      <c r="IUV21" s="94"/>
      <c r="IUW21" s="94"/>
      <c r="IUX21" s="94"/>
      <c r="IUY21" s="94"/>
      <c r="IUZ21" s="94"/>
      <c r="IVA21" s="94"/>
      <c r="IVB21" s="94"/>
      <c r="IVC21" s="94"/>
      <c r="IVD21" s="94"/>
      <c r="IVE21" s="94"/>
      <c r="IVF21" s="94"/>
      <c r="IVG21" s="94"/>
      <c r="IVH21" s="94"/>
      <c r="IVI21" s="94"/>
      <c r="IVJ21" s="94"/>
      <c r="IVK21" s="94"/>
      <c r="IVL21" s="94"/>
      <c r="IVM21" s="94"/>
      <c r="IVN21" s="94"/>
      <c r="IVO21" s="94"/>
      <c r="IVP21" s="94"/>
      <c r="IVQ21" s="94"/>
      <c r="IVR21" s="94"/>
      <c r="IVS21" s="94"/>
      <c r="IVT21" s="94"/>
      <c r="IVU21" s="94"/>
      <c r="IVV21" s="94"/>
      <c r="IVW21" s="94"/>
      <c r="IVX21" s="94"/>
      <c r="IVY21" s="94"/>
      <c r="IVZ21" s="94"/>
      <c r="IWA21" s="94"/>
      <c r="IWB21" s="94"/>
      <c r="IWC21" s="94"/>
      <c r="IWD21" s="94"/>
      <c r="IWE21" s="94"/>
      <c r="IWF21" s="94"/>
      <c r="IWG21" s="94"/>
      <c r="IWH21" s="94"/>
      <c r="IWI21" s="94"/>
      <c r="IWJ21" s="94"/>
      <c r="IWK21" s="94"/>
      <c r="IWL21" s="94"/>
      <c r="IWM21" s="94"/>
      <c r="IWN21" s="94"/>
      <c r="IWO21" s="94"/>
      <c r="IWP21" s="94"/>
      <c r="IWQ21" s="94"/>
      <c r="IWR21" s="94"/>
      <c r="IWS21" s="94"/>
      <c r="IWT21" s="94"/>
      <c r="IWU21" s="94"/>
      <c r="IWV21" s="94"/>
      <c r="IWW21" s="94"/>
      <c r="IWX21" s="94"/>
      <c r="IWY21" s="94"/>
      <c r="IWZ21" s="94"/>
      <c r="IXA21" s="94"/>
      <c r="IXB21" s="94"/>
      <c r="IXC21" s="94"/>
      <c r="IXD21" s="94"/>
      <c r="IXE21" s="94"/>
      <c r="IXF21" s="94"/>
      <c r="IXG21" s="94"/>
      <c r="IXH21" s="94"/>
      <c r="IXI21" s="94"/>
      <c r="IXJ21" s="94"/>
      <c r="IXK21" s="94"/>
      <c r="IXL21" s="94"/>
      <c r="IXM21" s="94"/>
      <c r="IXN21" s="94"/>
      <c r="IXO21" s="94"/>
      <c r="IXP21" s="94"/>
      <c r="IXQ21" s="94"/>
      <c r="IXR21" s="94"/>
      <c r="IXS21" s="94"/>
      <c r="IXT21" s="94"/>
      <c r="IXU21" s="94"/>
      <c r="IXV21" s="94"/>
      <c r="IXW21" s="94"/>
      <c r="IXX21" s="94"/>
      <c r="IXY21" s="94"/>
      <c r="IXZ21" s="94"/>
      <c r="IYA21" s="94"/>
      <c r="IYB21" s="94"/>
      <c r="IYC21" s="94"/>
      <c r="IYD21" s="94"/>
      <c r="IYE21" s="94"/>
      <c r="IYF21" s="94"/>
      <c r="IYG21" s="94"/>
      <c r="IYH21" s="94"/>
      <c r="IYI21" s="94"/>
      <c r="IYJ21" s="94"/>
      <c r="IYK21" s="94"/>
      <c r="IYL21" s="94"/>
      <c r="IYM21" s="94"/>
      <c r="IYN21" s="94"/>
      <c r="IYO21" s="94"/>
      <c r="IYP21" s="94"/>
      <c r="IYQ21" s="94"/>
      <c r="IYR21" s="94"/>
      <c r="IYS21" s="94"/>
      <c r="IYT21" s="94"/>
      <c r="IYU21" s="94"/>
      <c r="IYV21" s="94"/>
      <c r="IYW21" s="94"/>
      <c r="IYX21" s="94"/>
      <c r="IYY21" s="94"/>
      <c r="IYZ21" s="94"/>
      <c r="IZA21" s="94"/>
      <c r="IZB21" s="94"/>
      <c r="IZC21" s="94"/>
      <c r="IZD21" s="94"/>
      <c r="IZE21" s="94"/>
      <c r="IZF21" s="94"/>
      <c r="IZG21" s="94"/>
      <c r="IZH21" s="94"/>
      <c r="IZI21" s="94"/>
      <c r="IZJ21" s="94"/>
      <c r="IZK21" s="94"/>
      <c r="IZL21" s="94"/>
      <c r="IZM21" s="94"/>
      <c r="IZN21" s="94"/>
      <c r="IZO21" s="94"/>
      <c r="IZP21" s="94"/>
      <c r="IZQ21" s="94"/>
      <c r="IZR21" s="94"/>
      <c r="IZS21" s="94"/>
      <c r="IZT21" s="94"/>
      <c r="IZU21" s="94"/>
      <c r="IZV21" s="94"/>
      <c r="IZW21" s="94"/>
      <c r="IZX21" s="94"/>
      <c r="IZY21" s="94"/>
      <c r="IZZ21" s="94"/>
      <c r="JAA21" s="94"/>
      <c r="JAB21" s="94"/>
      <c r="JAC21" s="94"/>
      <c r="JAD21" s="94"/>
      <c r="JAE21" s="94"/>
      <c r="JAF21" s="94"/>
      <c r="JAG21" s="94"/>
      <c r="JAH21" s="94"/>
      <c r="JAI21" s="94"/>
      <c r="JAJ21" s="94"/>
      <c r="JAK21" s="94"/>
      <c r="JAL21" s="94"/>
      <c r="JAM21" s="94"/>
      <c r="JAN21" s="94"/>
      <c r="JAO21" s="94"/>
      <c r="JAP21" s="94"/>
      <c r="JAQ21" s="94"/>
      <c r="JAR21" s="94"/>
      <c r="JAS21" s="94"/>
      <c r="JAT21" s="94"/>
      <c r="JAU21" s="94"/>
      <c r="JAV21" s="94"/>
      <c r="JAW21" s="94"/>
      <c r="JAX21" s="94"/>
      <c r="JAY21" s="94"/>
      <c r="JAZ21" s="94"/>
      <c r="JBA21" s="94"/>
      <c r="JBB21" s="94"/>
      <c r="JBC21" s="94"/>
      <c r="JBD21" s="94"/>
      <c r="JBE21" s="94"/>
      <c r="JBF21" s="94"/>
      <c r="JBG21" s="94"/>
      <c r="JBH21" s="94"/>
      <c r="JBI21" s="94"/>
      <c r="JBJ21" s="94"/>
      <c r="JBK21" s="94"/>
      <c r="JBL21" s="94"/>
      <c r="JBM21" s="94"/>
      <c r="JBN21" s="94"/>
      <c r="JBO21" s="94"/>
      <c r="JBP21" s="94"/>
      <c r="JBQ21" s="94"/>
      <c r="JBR21" s="94"/>
      <c r="JBS21" s="94"/>
      <c r="JBT21" s="94"/>
      <c r="JBU21" s="94"/>
      <c r="JBV21" s="94"/>
      <c r="JBW21" s="94"/>
      <c r="JBX21" s="94"/>
      <c r="JBY21" s="94"/>
      <c r="JBZ21" s="94"/>
      <c r="JCA21" s="94"/>
      <c r="JCB21" s="94"/>
      <c r="JCC21" s="94"/>
      <c r="JCD21" s="94"/>
      <c r="JCE21" s="94"/>
      <c r="JCF21" s="94"/>
      <c r="JCG21" s="94"/>
      <c r="JCH21" s="94"/>
      <c r="JCI21" s="94"/>
      <c r="JCJ21" s="94"/>
      <c r="JCK21" s="94"/>
      <c r="JCL21" s="94"/>
      <c r="JCM21" s="94"/>
      <c r="JCN21" s="94"/>
      <c r="JCO21" s="94"/>
      <c r="JCP21" s="94"/>
      <c r="JCQ21" s="94"/>
      <c r="JCR21" s="94"/>
      <c r="JCS21" s="94"/>
      <c r="JCT21" s="94"/>
      <c r="JCU21" s="94"/>
      <c r="JCV21" s="94"/>
      <c r="JCW21" s="94"/>
      <c r="JCX21" s="94"/>
      <c r="JCY21" s="94"/>
      <c r="JCZ21" s="94"/>
      <c r="JDA21" s="94"/>
      <c r="JDB21" s="94"/>
      <c r="JDC21" s="94"/>
      <c r="JDD21" s="94"/>
      <c r="JDE21" s="94"/>
      <c r="JDF21" s="94"/>
      <c r="JDG21" s="94"/>
      <c r="JDH21" s="94"/>
      <c r="JDI21" s="94"/>
      <c r="JDJ21" s="94"/>
      <c r="JDK21" s="94"/>
      <c r="JDL21" s="94"/>
      <c r="JDM21" s="94"/>
      <c r="JDN21" s="94"/>
      <c r="JDO21" s="94"/>
      <c r="JDP21" s="94"/>
      <c r="JDQ21" s="94"/>
      <c r="JDR21" s="94"/>
      <c r="JDS21" s="94"/>
      <c r="JDT21" s="94"/>
      <c r="JDU21" s="94"/>
      <c r="JDV21" s="94"/>
      <c r="JDW21" s="94"/>
      <c r="JDX21" s="94"/>
      <c r="JDY21" s="94"/>
      <c r="JDZ21" s="94"/>
      <c r="JEA21" s="94"/>
      <c r="JEB21" s="94"/>
      <c r="JEC21" s="94"/>
      <c r="JED21" s="94"/>
      <c r="JEE21" s="94"/>
      <c r="JEF21" s="94"/>
      <c r="JEG21" s="94"/>
      <c r="JEH21" s="94"/>
      <c r="JEI21" s="94"/>
      <c r="JEJ21" s="94"/>
      <c r="JEK21" s="94"/>
      <c r="JEL21" s="94"/>
      <c r="JEM21" s="94"/>
      <c r="JEN21" s="94"/>
      <c r="JEO21" s="94"/>
      <c r="JEP21" s="94"/>
      <c r="JEQ21" s="94"/>
      <c r="JER21" s="94"/>
      <c r="JES21" s="94"/>
      <c r="JET21" s="94"/>
      <c r="JEU21" s="94"/>
      <c r="JEV21" s="94"/>
      <c r="JEW21" s="94"/>
      <c r="JEX21" s="94"/>
      <c r="JEY21" s="94"/>
      <c r="JEZ21" s="94"/>
      <c r="JFA21" s="94"/>
      <c r="JFB21" s="94"/>
      <c r="JFC21" s="94"/>
      <c r="JFD21" s="94"/>
      <c r="JFE21" s="94"/>
      <c r="JFF21" s="94"/>
      <c r="JFG21" s="94"/>
      <c r="JFH21" s="94"/>
      <c r="JFI21" s="94"/>
      <c r="JFJ21" s="94"/>
      <c r="JFK21" s="94"/>
      <c r="JFL21" s="94"/>
      <c r="JFM21" s="94"/>
      <c r="JFN21" s="94"/>
      <c r="JFO21" s="94"/>
      <c r="JFP21" s="94"/>
      <c r="JFQ21" s="94"/>
      <c r="JFR21" s="94"/>
      <c r="JFS21" s="94"/>
      <c r="JFT21" s="94"/>
      <c r="JFU21" s="94"/>
      <c r="JFV21" s="94"/>
      <c r="JFW21" s="94"/>
      <c r="JFX21" s="94"/>
      <c r="JFY21" s="94"/>
      <c r="JFZ21" s="94"/>
      <c r="JGA21" s="94"/>
      <c r="JGB21" s="94"/>
      <c r="JGC21" s="94"/>
      <c r="JGD21" s="94"/>
      <c r="JGE21" s="94"/>
      <c r="JGF21" s="94"/>
      <c r="JGG21" s="94"/>
      <c r="JGH21" s="94"/>
      <c r="JGI21" s="94"/>
      <c r="JGJ21" s="94"/>
      <c r="JGK21" s="94"/>
      <c r="JGL21" s="94"/>
      <c r="JGM21" s="94"/>
      <c r="JGN21" s="94"/>
      <c r="JGO21" s="94"/>
      <c r="JGP21" s="94"/>
      <c r="JGQ21" s="94"/>
      <c r="JGR21" s="94"/>
      <c r="JGS21" s="94"/>
      <c r="JGT21" s="94"/>
      <c r="JGU21" s="94"/>
      <c r="JGV21" s="94"/>
      <c r="JGW21" s="94"/>
      <c r="JGX21" s="94"/>
      <c r="JGY21" s="94"/>
      <c r="JGZ21" s="94"/>
      <c r="JHA21" s="94"/>
      <c r="JHB21" s="94"/>
      <c r="JHC21" s="94"/>
      <c r="JHD21" s="94"/>
      <c r="JHE21" s="94"/>
      <c r="JHF21" s="94"/>
      <c r="JHG21" s="94"/>
      <c r="JHH21" s="94"/>
      <c r="JHI21" s="94"/>
      <c r="JHJ21" s="94"/>
      <c r="JHK21" s="94"/>
      <c r="JHL21" s="94"/>
      <c r="JHM21" s="94"/>
      <c r="JHN21" s="94"/>
      <c r="JHO21" s="94"/>
      <c r="JHP21" s="94"/>
      <c r="JHQ21" s="94"/>
      <c r="JHR21" s="94"/>
      <c r="JHS21" s="94"/>
      <c r="JHT21" s="94"/>
      <c r="JHU21" s="94"/>
      <c r="JHV21" s="94"/>
      <c r="JHW21" s="94"/>
      <c r="JHX21" s="94"/>
      <c r="JHY21" s="94"/>
      <c r="JHZ21" s="94"/>
      <c r="JIA21" s="94"/>
      <c r="JIB21" s="94"/>
      <c r="JIC21" s="94"/>
      <c r="JID21" s="94"/>
      <c r="JIE21" s="94"/>
      <c r="JIF21" s="94"/>
      <c r="JIG21" s="94"/>
      <c r="JIH21" s="94"/>
      <c r="JII21" s="94"/>
      <c r="JIJ21" s="94"/>
      <c r="JIK21" s="94"/>
      <c r="JIL21" s="94"/>
      <c r="JIM21" s="94"/>
      <c r="JIN21" s="94"/>
      <c r="JIO21" s="94"/>
      <c r="JIP21" s="94"/>
      <c r="JIQ21" s="94"/>
      <c r="JIR21" s="94"/>
      <c r="JIS21" s="94"/>
      <c r="JIT21" s="94"/>
      <c r="JIU21" s="94"/>
      <c r="JIV21" s="94"/>
      <c r="JIW21" s="94"/>
      <c r="JIX21" s="94"/>
      <c r="JIY21" s="94"/>
      <c r="JIZ21" s="94"/>
      <c r="JJA21" s="94"/>
      <c r="JJB21" s="94"/>
      <c r="JJC21" s="94"/>
      <c r="JJD21" s="94"/>
      <c r="JJE21" s="94"/>
      <c r="JJF21" s="94"/>
      <c r="JJG21" s="94"/>
      <c r="JJH21" s="94"/>
      <c r="JJI21" s="94"/>
      <c r="JJJ21" s="94"/>
      <c r="JJK21" s="94"/>
      <c r="JJL21" s="94"/>
      <c r="JJM21" s="94"/>
      <c r="JJN21" s="94"/>
      <c r="JJO21" s="94"/>
      <c r="JJP21" s="94"/>
      <c r="JJQ21" s="94"/>
      <c r="JJR21" s="94"/>
      <c r="JJS21" s="94"/>
      <c r="JJT21" s="94"/>
      <c r="JJU21" s="94"/>
      <c r="JJV21" s="94"/>
      <c r="JJW21" s="94"/>
      <c r="JJX21" s="94"/>
      <c r="JJY21" s="94"/>
      <c r="JJZ21" s="94"/>
      <c r="JKA21" s="94"/>
      <c r="JKB21" s="94"/>
      <c r="JKC21" s="94"/>
      <c r="JKD21" s="94"/>
      <c r="JKE21" s="94"/>
      <c r="JKF21" s="94"/>
      <c r="JKG21" s="94"/>
      <c r="JKH21" s="94"/>
      <c r="JKI21" s="94"/>
      <c r="JKJ21" s="94"/>
      <c r="JKK21" s="94"/>
      <c r="JKL21" s="94"/>
      <c r="JKM21" s="94"/>
      <c r="JKN21" s="94"/>
      <c r="JKO21" s="94"/>
      <c r="JKP21" s="94"/>
      <c r="JKQ21" s="94"/>
      <c r="JKR21" s="94"/>
      <c r="JKS21" s="94"/>
      <c r="JKT21" s="94"/>
      <c r="JKU21" s="94"/>
      <c r="JKV21" s="94"/>
      <c r="JKW21" s="94"/>
      <c r="JKX21" s="94"/>
      <c r="JKY21" s="94"/>
      <c r="JKZ21" s="94"/>
      <c r="JLA21" s="94"/>
      <c r="JLB21" s="94"/>
      <c r="JLC21" s="94"/>
      <c r="JLD21" s="94"/>
      <c r="JLE21" s="94"/>
      <c r="JLF21" s="94"/>
      <c r="JLG21" s="94"/>
      <c r="JLH21" s="94"/>
      <c r="JLI21" s="94"/>
      <c r="JLJ21" s="94"/>
      <c r="JLK21" s="94"/>
      <c r="JLL21" s="94"/>
      <c r="JLM21" s="94"/>
      <c r="JLN21" s="94"/>
      <c r="JLO21" s="94"/>
      <c r="JLP21" s="94"/>
      <c r="JLQ21" s="94"/>
      <c r="JLR21" s="94"/>
      <c r="JLS21" s="94"/>
      <c r="JLT21" s="94"/>
      <c r="JLU21" s="94"/>
      <c r="JLV21" s="94"/>
      <c r="JLW21" s="94"/>
      <c r="JLX21" s="94"/>
      <c r="JLY21" s="94"/>
      <c r="JLZ21" s="94"/>
      <c r="JMA21" s="94"/>
      <c r="JMB21" s="94"/>
      <c r="JMC21" s="94"/>
      <c r="JMD21" s="94"/>
      <c r="JME21" s="94"/>
      <c r="JMF21" s="94"/>
      <c r="JMG21" s="94"/>
      <c r="JMH21" s="94"/>
      <c r="JMI21" s="94"/>
      <c r="JMJ21" s="94"/>
      <c r="JMK21" s="94"/>
      <c r="JML21" s="94"/>
      <c r="JMM21" s="94"/>
      <c r="JMN21" s="94"/>
      <c r="JMO21" s="94"/>
      <c r="JMP21" s="94"/>
      <c r="JMQ21" s="94"/>
      <c r="JMR21" s="94"/>
      <c r="JMS21" s="94"/>
      <c r="JMT21" s="94"/>
      <c r="JMU21" s="94"/>
      <c r="JMV21" s="94"/>
      <c r="JMW21" s="94"/>
      <c r="JMX21" s="94"/>
      <c r="JMY21" s="94"/>
      <c r="JMZ21" s="94"/>
      <c r="JNA21" s="94"/>
      <c r="JNB21" s="94"/>
      <c r="JNC21" s="94"/>
      <c r="JND21" s="94"/>
      <c r="JNE21" s="94"/>
      <c r="JNF21" s="94"/>
      <c r="JNG21" s="94"/>
      <c r="JNH21" s="94"/>
      <c r="JNI21" s="94"/>
      <c r="JNJ21" s="94"/>
      <c r="JNK21" s="94"/>
      <c r="JNL21" s="94"/>
      <c r="JNM21" s="94"/>
      <c r="JNN21" s="94"/>
      <c r="JNO21" s="94"/>
      <c r="JNP21" s="94"/>
      <c r="JNQ21" s="94"/>
      <c r="JNR21" s="94"/>
      <c r="JNS21" s="94"/>
      <c r="JNT21" s="94"/>
      <c r="JNU21" s="94"/>
      <c r="JNV21" s="94"/>
      <c r="JNW21" s="94"/>
      <c r="JNX21" s="94"/>
      <c r="JNY21" s="94"/>
      <c r="JNZ21" s="94"/>
      <c r="JOA21" s="94"/>
      <c r="JOB21" s="94"/>
      <c r="JOC21" s="94"/>
      <c r="JOD21" s="94"/>
      <c r="JOE21" s="94"/>
      <c r="JOF21" s="94"/>
      <c r="JOG21" s="94"/>
      <c r="JOH21" s="94"/>
      <c r="JOI21" s="94"/>
      <c r="JOJ21" s="94"/>
      <c r="JOK21" s="94"/>
      <c r="JOL21" s="94"/>
      <c r="JOM21" s="94"/>
      <c r="JON21" s="94"/>
      <c r="JOO21" s="94"/>
      <c r="JOP21" s="94"/>
      <c r="JOQ21" s="94"/>
      <c r="JOR21" s="94"/>
      <c r="JOS21" s="94"/>
      <c r="JOT21" s="94"/>
      <c r="JOU21" s="94"/>
      <c r="JOV21" s="94"/>
      <c r="JOW21" s="94"/>
      <c r="JOX21" s="94"/>
      <c r="JOY21" s="94"/>
      <c r="JOZ21" s="94"/>
      <c r="JPA21" s="94"/>
      <c r="JPB21" s="94"/>
      <c r="JPC21" s="94"/>
      <c r="JPD21" s="94"/>
      <c r="JPE21" s="94"/>
      <c r="JPF21" s="94"/>
      <c r="JPG21" s="94"/>
      <c r="JPH21" s="94"/>
      <c r="JPI21" s="94"/>
      <c r="JPJ21" s="94"/>
      <c r="JPK21" s="94"/>
      <c r="JPL21" s="94"/>
      <c r="JPM21" s="94"/>
      <c r="JPN21" s="94"/>
      <c r="JPO21" s="94"/>
      <c r="JPP21" s="94"/>
      <c r="JPQ21" s="94"/>
      <c r="JPR21" s="94"/>
      <c r="JPS21" s="94"/>
      <c r="JPT21" s="94"/>
      <c r="JPU21" s="94"/>
      <c r="JPV21" s="94"/>
      <c r="JPW21" s="94"/>
      <c r="JPX21" s="94"/>
      <c r="JPY21" s="94"/>
      <c r="JPZ21" s="94"/>
      <c r="JQA21" s="94"/>
      <c r="JQB21" s="94"/>
      <c r="JQC21" s="94"/>
      <c r="JQD21" s="94"/>
      <c r="JQE21" s="94"/>
      <c r="JQF21" s="94"/>
      <c r="JQG21" s="94"/>
      <c r="JQH21" s="94"/>
      <c r="JQI21" s="94"/>
      <c r="JQJ21" s="94"/>
      <c r="JQK21" s="94"/>
      <c r="JQL21" s="94"/>
      <c r="JQM21" s="94"/>
      <c r="JQN21" s="94"/>
      <c r="JQO21" s="94"/>
      <c r="JQP21" s="94"/>
      <c r="JQQ21" s="94"/>
      <c r="JQR21" s="94"/>
      <c r="JQS21" s="94"/>
      <c r="JQT21" s="94"/>
      <c r="JQU21" s="94"/>
      <c r="JQV21" s="94"/>
      <c r="JQW21" s="94"/>
      <c r="JQX21" s="94"/>
      <c r="JQY21" s="94"/>
      <c r="JQZ21" s="94"/>
      <c r="JRA21" s="94"/>
      <c r="JRB21" s="94"/>
      <c r="JRC21" s="94"/>
      <c r="JRD21" s="94"/>
      <c r="JRE21" s="94"/>
      <c r="JRF21" s="94"/>
      <c r="JRG21" s="94"/>
      <c r="JRH21" s="94"/>
      <c r="JRI21" s="94"/>
      <c r="JRJ21" s="94"/>
      <c r="JRK21" s="94"/>
      <c r="JRL21" s="94"/>
      <c r="JRM21" s="94"/>
      <c r="JRN21" s="94"/>
      <c r="JRO21" s="94"/>
      <c r="JRP21" s="94"/>
      <c r="JRQ21" s="94"/>
      <c r="JRR21" s="94"/>
      <c r="JRS21" s="94"/>
      <c r="JRT21" s="94"/>
      <c r="JRU21" s="94"/>
      <c r="JRV21" s="94"/>
      <c r="JRW21" s="94"/>
      <c r="JRX21" s="94"/>
      <c r="JRY21" s="94"/>
      <c r="JRZ21" s="94"/>
      <c r="JSA21" s="94"/>
      <c r="JSB21" s="94"/>
      <c r="JSC21" s="94"/>
      <c r="JSD21" s="94"/>
      <c r="JSE21" s="94"/>
      <c r="JSF21" s="94"/>
      <c r="JSG21" s="94"/>
      <c r="JSH21" s="94"/>
      <c r="JSI21" s="94"/>
      <c r="JSJ21" s="94"/>
      <c r="JSK21" s="94"/>
      <c r="JSL21" s="94"/>
      <c r="JSM21" s="94"/>
      <c r="JSN21" s="94"/>
      <c r="JSO21" s="94"/>
      <c r="JSP21" s="94"/>
      <c r="JSQ21" s="94"/>
      <c r="JSR21" s="94"/>
      <c r="JSS21" s="94"/>
      <c r="JST21" s="94"/>
      <c r="JSU21" s="94"/>
      <c r="JSV21" s="94"/>
      <c r="JSW21" s="94"/>
      <c r="JSX21" s="94"/>
      <c r="JSY21" s="94"/>
      <c r="JSZ21" s="94"/>
      <c r="JTA21" s="94"/>
      <c r="JTB21" s="94"/>
      <c r="JTC21" s="94"/>
      <c r="JTD21" s="94"/>
      <c r="JTE21" s="94"/>
      <c r="JTF21" s="94"/>
      <c r="JTG21" s="94"/>
      <c r="JTH21" s="94"/>
      <c r="JTI21" s="94"/>
      <c r="JTJ21" s="94"/>
      <c r="JTK21" s="94"/>
      <c r="JTL21" s="94"/>
      <c r="JTM21" s="94"/>
      <c r="JTN21" s="94"/>
      <c r="JTO21" s="94"/>
      <c r="JTP21" s="94"/>
      <c r="JTQ21" s="94"/>
      <c r="JTR21" s="94"/>
      <c r="JTS21" s="94"/>
      <c r="JTT21" s="94"/>
      <c r="JTU21" s="94"/>
      <c r="JTV21" s="94"/>
      <c r="JTW21" s="94"/>
      <c r="JTX21" s="94"/>
      <c r="JTY21" s="94"/>
      <c r="JTZ21" s="94"/>
      <c r="JUA21" s="94"/>
      <c r="JUB21" s="94"/>
      <c r="JUC21" s="94"/>
      <c r="JUD21" s="94"/>
      <c r="JUE21" s="94"/>
      <c r="JUF21" s="94"/>
      <c r="JUG21" s="94"/>
      <c r="JUH21" s="94"/>
      <c r="JUI21" s="94"/>
      <c r="JUJ21" s="94"/>
      <c r="JUK21" s="94"/>
      <c r="JUL21" s="94"/>
      <c r="JUM21" s="94"/>
      <c r="JUN21" s="94"/>
      <c r="JUO21" s="94"/>
      <c r="JUP21" s="94"/>
      <c r="JUQ21" s="94"/>
      <c r="JUR21" s="94"/>
      <c r="JUS21" s="94"/>
      <c r="JUT21" s="94"/>
      <c r="JUU21" s="94"/>
      <c r="JUV21" s="94"/>
      <c r="JUW21" s="94"/>
      <c r="JUX21" s="94"/>
      <c r="JUY21" s="94"/>
      <c r="JUZ21" s="94"/>
      <c r="JVA21" s="94"/>
      <c r="JVB21" s="94"/>
      <c r="JVC21" s="94"/>
      <c r="JVD21" s="94"/>
      <c r="JVE21" s="94"/>
      <c r="JVF21" s="94"/>
      <c r="JVG21" s="94"/>
      <c r="JVH21" s="94"/>
      <c r="JVI21" s="94"/>
      <c r="JVJ21" s="94"/>
      <c r="JVK21" s="94"/>
      <c r="JVL21" s="94"/>
      <c r="JVM21" s="94"/>
      <c r="JVN21" s="94"/>
      <c r="JVO21" s="94"/>
      <c r="JVP21" s="94"/>
      <c r="JVQ21" s="94"/>
      <c r="JVR21" s="94"/>
      <c r="JVS21" s="94"/>
      <c r="JVT21" s="94"/>
      <c r="JVU21" s="94"/>
      <c r="JVV21" s="94"/>
      <c r="JVW21" s="94"/>
      <c r="JVX21" s="94"/>
      <c r="JVY21" s="94"/>
      <c r="JVZ21" s="94"/>
      <c r="JWA21" s="94"/>
      <c r="JWB21" s="94"/>
      <c r="JWC21" s="94"/>
      <c r="JWD21" s="94"/>
      <c r="JWE21" s="94"/>
      <c r="JWF21" s="94"/>
      <c r="JWG21" s="94"/>
      <c r="JWH21" s="94"/>
      <c r="JWI21" s="94"/>
      <c r="JWJ21" s="94"/>
      <c r="JWK21" s="94"/>
      <c r="JWL21" s="94"/>
      <c r="JWM21" s="94"/>
      <c r="JWN21" s="94"/>
      <c r="JWO21" s="94"/>
      <c r="JWP21" s="94"/>
      <c r="JWQ21" s="94"/>
      <c r="JWR21" s="94"/>
      <c r="JWS21" s="94"/>
      <c r="JWT21" s="94"/>
      <c r="JWU21" s="94"/>
      <c r="JWV21" s="94"/>
      <c r="JWW21" s="94"/>
      <c r="JWX21" s="94"/>
      <c r="JWY21" s="94"/>
      <c r="JWZ21" s="94"/>
      <c r="JXA21" s="94"/>
      <c r="JXB21" s="94"/>
      <c r="JXC21" s="94"/>
      <c r="JXD21" s="94"/>
      <c r="JXE21" s="94"/>
      <c r="JXF21" s="94"/>
      <c r="JXG21" s="94"/>
      <c r="JXH21" s="94"/>
      <c r="JXI21" s="94"/>
      <c r="JXJ21" s="94"/>
      <c r="JXK21" s="94"/>
      <c r="JXL21" s="94"/>
      <c r="JXM21" s="94"/>
      <c r="JXN21" s="94"/>
      <c r="JXO21" s="94"/>
      <c r="JXP21" s="94"/>
      <c r="JXQ21" s="94"/>
      <c r="JXR21" s="94"/>
      <c r="JXS21" s="94"/>
      <c r="JXT21" s="94"/>
      <c r="JXU21" s="94"/>
      <c r="JXV21" s="94"/>
      <c r="JXW21" s="94"/>
      <c r="JXX21" s="94"/>
      <c r="JXY21" s="94"/>
      <c r="JXZ21" s="94"/>
      <c r="JYA21" s="94"/>
      <c r="JYB21" s="94"/>
      <c r="JYC21" s="94"/>
      <c r="JYD21" s="94"/>
      <c r="JYE21" s="94"/>
      <c r="JYF21" s="94"/>
      <c r="JYG21" s="94"/>
      <c r="JYH21" s="94"/>
      <c r="JYI21" s="94"/>
      <c r="JYJ21" s="94"/>
      <c r="JYK21" s="94"/>
      <c r="JYL21" s="94"/>
      <c r="JYM21" s="94"/>
      <c r="JYN21" s="94"/>
      <c r="JYO21" s="94"/>
      <c r="JYP21" s="94"/>
      <c r="JYQ21" s="94"/>
      <c r="JYR21" s="94"/>
      <c r="JYS21" s="94"/>
      <c r="JYT21" s="94"/>
      <c r="JYU21" s="94"/>
      <c r="JYV21" s="94"/>
      <c r="JYW21" s="94"/>
      <c r="JYX21" s="94"/>
      <c r="JYY21" s="94"/>
      <c r="JYZ21" s="94"/>
      <c r="JZA21" s="94"/>
      <c r="JZB21" s="94"/>
      <c r="JZC21" s="94"/>
      <c r="JZD21" s="94"/>
      <c r="JZE21" s="94"/>
      <c r="JZF21" s="94"/>
      <c r="JZG21" s="94"/>
      <c r="JZH21" s="94"/>
      <c r="JZI21" s="94"/>
      <c r="JZJ21" s="94"/>
      <c r="JZK21" s="94"/>
      <c r="JZL21" s="94"/>
      <c r="JZM21" s="94"/>
      <c r="JZN21" s="94"/>
      <c r="JZO21" s="94"/>
      <c r="JZP21" s="94"/>
      <c r="JZQ21" s="94"/>
      <c r="JZR21" s="94"/>
      <c r="JZS21" s="94"/>
      <c r="JZT21" s="94"/>
      <c r="JZU21" s="94"/>
      <c r="JZV21" s="94"/>
      <c r="JZW21" s="94"/>
      <c r="JZX21" s="94"/>
      <c r="JZY21" s="94"/>
      <c r="JZZ21" s="94"/>
      <c r="KAA21" s="94"/>
      <c r="KAB21" s="94"/>
      <c r="KAC21" s="94"/>
      <c r="KAD21" s="94"/>
      <c r="KAE21" s="94"/>
      <c r="KAF21" s="94"/>
      <c r="KAG21" s="94"/>
      <c r="KAH21" s="94"/>
      <c r="KAI21" s="94"/>
      <c r="KAJ21" s="94"/>
      <c r="KAK21" s="94"/>
      <c r="KAL21" s="94"/>
      <c r="KAM21" s="94"/>
      <c r="KAN21" s="94"/>
      <c r="KAO21" s="94"/>
      <c r="KAP21" s="94"/>
      <c r="KAQ21" s="94"/>
      <c r="KAR21" s="94"/>
      <c r="KAS21" s="94"/>
      <c r="KAT21" s="94"/>
      <c r="KAU21" s="94"/>
      <c r="KAV21" s="94"/>
      <c r="KAW21" s="94"/>
      <c r="KAX21" s="94"/>
      <c r="KAY21" s="94"/>
      <c r="KAZ21" s="94"/>
      <c r="KBA21" s="94"/>
      <c r="KBB21" s="94"/>
      <c r="KBC21" s="94"/>
      <c r="KBD21" s="94"/>
      <c r="KBE21" s="94"/>
      <c r="KBF21" s="94"/>
      <c r="KBG21" s="94"/>
      <c r="KBH21" s="94"/>
      <c r="KBI21" s="94"/>
      <c r="KBJ21" s="94"/>
      <c r="KBK21" s="94"/>
      <c r="KBL21" s="94"/>
      <c r="KBM21" s="94"/>
      <c r="KBN21" s="94"/>
      <c r="KBO21" s="94"/>
      <c r="KBP21" s="94"/>
      <c r="KBQ21" s="94"/>
      <c r="KBR21" s="94"/>
      <c r="KBS21" s="94"/>
      <c r="KBT21" s="94"/>
      <c r="KBU21" s="94"/>
      <c r="KBV21" s="94"/>
      <c r="KBW21" s="94"/>
      <c r="KBX21" s="94"/>
      <c r="KBY21" s="94"/>
      <c r="KBZ21" s="94"/>
      <c r="KCA21" s="94"/>
      <c r="KCB21" s="94"/>
      <c r="KCC21" s="94"/>
      <c r="KCD21" s="94"/>
      <c r="KCE21" s="94"/>
      <c r="KCF21" s="94"/>
      <c r="KCG21" s="94"/>
      <c r="KCH21" s="94"/>
      <c r="KCI21" s="94"/>
      <c r="KCJ21" s="94"/>
      <c r="KCK21" s="94"/>
      <c r="KCL21" s="94"/>
      <c r="KCM21" s="94"/>
      <c r="KCN21" s="94"/>
      <c r="KCO21" s="94"/>
      <c r="KCP21" s="94"/>
      <c r="KCQ21" s="94"/>
      <c r="KCR21" s="94"/>
      <c r="KCS21" s="94"/>
      <c r="KCT21" s="94"/>
      <c r="KCU21" s="94"/>
      <c r="KCV21" s="94"/>
      <c r="KCW21" s="94"/>
      <c r="KCX21" s="94"/>
      <c r="KCY21" s="94"/>
      <c r="KCZ21" s="94"/>
      <c r="KDA21" s="94"/>
      <c r="KDB21" s="94"/>
      <c r="KDC21" s="94"/>
      <c r="KDD21" s="94"/>
      <c r="KDE21" s="94"/>
      <c r="KDF21" s="94"/>
      <c r="KDG21" s="94"/>
      <c r="KDH21" s="94"/>
      <c r="KDI21" s="94"/>
      <c r="KDJ21" s="94"/>
      <c r="KDK21" s="94"/>
      <c r="KDL21" s="94"/>
      <c r="KDM21" s="94"/>
      <c r="KDN21" s="94"/>
      <c r="KDO21" s="94"/>
      <c r="KDP21" s="94"/>
      <c r="KDQ21" s="94"/>
      <c r="KDR21" s="94"/>
      <c r="KDS21" s="94"/>
      <c r="KDT21" s="94"/>
      <c r="KDU21" s="94"/>
      <c r="KDV21" s="94"/>
      <c r="KDW21" s="94"/>
      <c r="KDX21" s="94"/>
      <c r="KDY21" s="94"/>
      <c r="KDZ21" s="94"/>
      <c r="KEA21" s="94"/>
      <c r="KEB21" s="94"/>
      <c r="KEC21" s="94"/>
      <c r="KED21" s="94"/>
      <c r="KEE21" s="94"/>
      <c r="KEF21" s="94"/>
      <c r="KEG21" s="94"/>
      <c r="KEH21" s="94"/>
      <c r="KEI21" s="94"/>
      <c r="KEJ21" s="94"/>
      <c r="KEK21" s="94"/>
      <c r="KEL21" s="94"/>
      <c r="KEM21" s="94"/>
      <c r="KEN21" s="94"/>
      <c r="KEO21" s="94"/>
      <c r="KEP21" s="94"/>
      <c r="KEQ21" s="94"/>
      <c r="KER21" s="94"/>
      <c r="KES21" s="94"/>
      <c r="KET21" s="94"/>
      <c r="KEU21" s="94"/>
      <c r="KEV21" s="94"/>
      <c r="KEW21" s="94"/>
      <c r="KEX21" s="94"/>
      <c r="KEY21" s="94"/>
      <c r="KEZ21" s="94"/>
      <c r="KFA21" s="94"/>
      <c r="KFB21" s="94"/>
      <c r="KFC21" s="94"/>
      <c r="KFD21" s="94"/>
      <c r="KFE21" s="94"/>
      <c r="KFF21" s="94"/>
      <c r="KFG21" s="94"/>
      <c r="KFH21" s="94"/>
      <c r="KFI21" s="94"/>
      <c r="KFJ21" s="94"/>
      <c r="KFK21" s="94"/>
      <c r="KFL21" s="94"/>
      <c r="KFM21" s="94"/>
      <c r="KFN21" s="94"/>
      <c r="KFO21" s="94"/>
      <c r="KFP21" s="94"/>
      <c r="KFQ21" s="94"/>
      <c r="KFR21" s="94"/>
      <c r="KFS21" s="94"/>
      <c r="KFT21" s="94"/>
      <c r="KFU21" s="94"/>
      <c r="KFV21" s="94"/>
      <c r="KFW21" s="94"/>
      <c r="KFX21" s="94"/>
      <c r="KFY21" s="94"/>
      <c r="KFZ21" s="94"/>
      <c r="KGA21" s="94"/>
      <c r="KGB21" s="94"/>
      <c r="KGC21" s="94"/>
      <c r="KGD21" s="94"/>
      <c r="KGE21" s="94"/>
      <c r="KGF21" s="94"/>
      <c r="KGG21" s="94"/>
      <c r="KGH21" s="94"/>
      <c r="KGI21" s="94"/>
      <c r="KGJ21" s="94"/>
      <c r="KGK21" s="94"/>
      <c r="KGL21" s="94"/>
      <c r="KGM21" s="94"/>
      <c r="KGN21" s="94"/>
      <c r="KGO21" s="94"/>
      <c r="KGP21" s="94"/>
      <c r="KGQ21" s="94"/>
      <c r="KGR21" s="94"/>
      <c r="KGS21" s="94"/>
      <c r="KGT21" s="94"/>
      <c r="KGU21" s="94"/>
      <c r="KGV21" s="94"/>
      <c r="KGW21" s="94"/>
      <c r="KGX21" s="94"/>
      <c r="KGY21" s="94"/>
      <c r="KGZ21" s="94"/>
      <c r="KHA21" s="94"/>
      <c r="KHB21" s="94"/>
      <c r="KHC21" s="94"/>
      <c r="KHD21" s="94"/>
      <c r="KHE21" s="94"/>
      <c r="KHF21" s="94"/>
      <c r="KHG21" s="94"/>
      <c r="KHH21" s="94"/>
      <c r="KHI21" s="94"/>
      <c r="KHJ21" s="94"/>
      <c r="KHK21" s="94"/>
      <c r="KHL21" s="94"/>
      <c r="KHM21" s="94"/>
      <c r="KHN21" s="94"/>
      <c r="KHO21" s="94"/>
      <c r="KHP21" s="94"/>
      <c r="KHQ21" s="94"/>
      <c r="KHR21" s="94"/>
      <c r="KHS21" s="94"/>
      <c r="KHT21" s="94"/>
      <c r="KHU21" s="94"/>
      <c r="KHV21" s="94"/>
      <c r="KHW21" s="94"/>
      <c r="KHX21" s="94"/>
      <c r="KHY21" s="94"/>
      <c r="KHZ21" s="94"/>
      <c r="KIA21" s="94"/>
      <c r="KIB21" s="94"/>
      <c r="KIC21" s="94"/>
      <c r="KID21" s="94"/>
      <c r="KIE21" s="94"/>
      <c r="KIF21" s="94"/>
      <c r="KIG21" s="94"/>
      <c r="KIH21" s="94"/>
      <c r="KII21" s="94"/>
      <c r="KIJ21" s="94"/>
      <c r="KIK21" s="94"/>
      <c r="KIL21" s="94"/>
      <c r="KIM21" s="94"/>
      <c r="KIN21" s="94"/>
      <c r="KIO21" s="94"/>
      <c r="KIP21" s="94"/>
      <c r="KIQ21" s="94"/>
      <c r="KIR21" s="94"/>
      <c r="KIS21" s="94"/>
      <c r="KIT21" s="94"/>
      <c r="KIU21" s="94"/>
      <c r="KIV21" s="94"/>
      <c r="KIW21" s="94"/>
      <c r="KIX21" s="94"/>
      <c r="KIY21" s="94"/>
      <c r="KIZ21" s="94"/>
      <c r="KJA21" s="94"/>
      <c r="KJB21" s="94"/>
      <c r="KJC21" s="94"/>
      <c r="KJD21" s="94"/>
      <c r="KJE21" s="94"/>
      <c r="KJF21" s="94"/>
      <c r="KJG21" s="94"/>
      <c r="KJH21" s="94"/>
      <c r="KJI21" s="94"/>
      <c r="KJJ21" s="94"/>
      <c r="KJK21" s="94"/>
      <c r="KJL21" s="94"/>
      <c r="KJM21" s="94"/>
      <c r="KJN21" s="94"/>
      <c r="KJO21" s="94"/>
      <c r="KJP21" s="94"/>
      <c r="KJQ21" s="94"/>
      <c r="KJR21" s="94"/>
      <c r="KJS21" s="94"/>
      <c r="KJT21" s="94"/>
      <c r="KJU21" s="94"/>
      <c r="KJV21" s="94"/>
      <c r="KJW21" s="94"/>
      <c r="KJX21" s="94"/>
      <c r="KJY21" s="94"/>
      <c r="KJZ21" s="94"/>
      <c r="KKA21" s="94"/>
      <c r="KKB21" s="94"/>
      <c r="KKC21" s="94"/>
      <c r="KKD21" s="94"/>
      <c r="KKE21" s="94"/>
      <c r="KKF21" s="94"/>
      <c r="KKG21" s="94"/>
      <c r="KKH21" s="94"/>
      <c r="KKI21" s="94"/>
      <c r="KKJ21" s="94"/>
      <c r="KKK21" s="94"/>
      <c r="KKL21" s="94"/>
      <c r="KKM21" s="94"/>
      <c r="KKN21" s="94"/>
      <c r="KKO21" s="94"/>
      <c r="KKP21" s="94"/>
      <c r="KKQ21" s="94"/>
      <c r="KKR21" s="94"/>
      <c r="KKS21" s="94"/>
      <c r="KKT21" s="94"/>
      <c r="KKU21" s="94"/>
      <c r="KKV21" s="94"/>
      <c r="KKW21" s="94"/>
      <c r="KKX21" s="94"/>
      <c r="KKY21" s="94"/>
      <c r="KKZ21" s="94"/>
      <c r="KLA21" s="94"/>
      <c r="KLB21" s="94"/>
      <c r="KLC21" s="94"/>
      <c r="KLD21" s="94"/>
      <c r="KLE21" s="94"/>
      <c r="KLF21" s="94"/>
      <c r="KLG21" s="94"/>
      <c r="KLH21" s="94"/>
      <c r="KLI21" s="94"/>
      <c r="KLJ21" s="94"/>
      <c r="KLK21" s="94"/>
      <c r="KLL21" s="94"/>
      <c r="KLM21" s="94"/>
      <c r="KLN21" s="94"/>
      <c r="KLO21" s="94"/>
      <c r="KLP21" s="94"/>
      <c r="KLQ21" s="94"/>
      <c r="KLR21" s="94"/>
      <c r="KLS21" s="94"/>
      <c r="KLT21" s="94"/>
      <c r="KLU21" s="94"/>
      <c r="KLV21" s="94"/>
      <c r="KLW21" s="94"/>
      <c r="KLX21" s="94"/>
      <c r="KLY21" s="94"/>
      <c r="KLZ21" s="94"/>
      <c r="KMA21" s="94"/>
      <c r="KMB21" s="94"/>
      <c r="KMC21" s="94"/>
      <c r="KMD21" s="94"/>
      <c r="KME21" s="94"/>
      <c r="KMF21" s="94"/>
      <c r="KMG21" s="94"/>
      <c r="KMH21" s="94"/>
      <c r="KMI21" s="94"/>
      <c r="KMJ21" s="94"/>
      <c r="KMK21" s="94"/>
      <c r="KML21" s="94"/>
      <c r="KMM21" s="94"/>
      <c r="KMN21" s="94"/>
      <c r="KMO21" s="94"/>
      <c r="KMP21" s="94"/>
      <c r="KMQ21" s="94"/>
      <c r="KMR21" s="94"/>
      <c r="KMS21" s="94"/>
      <c r="KMT21" s="94"/>
      <c r="KMU21" s="94"/>
      <c r="KMV21" s="94"/>
      <c r="KMW21" s="94"/>
      <c r="KMX21" s="94"/>
      <c r="KMY21" s="94"/>
      <c r="KMZ21" s="94"/>
      <c r="KNA21" s="94"/>
      <c r="KNB21" s="94"/>
      <c r="KNC21" s="94"/>
      <c r="KND21" s="94"/>
      <c r="KNE21" s="94"/>
      <c r="KNF21" s="94"/>
      <c r="KNG21" s="94"/>
      <c r="KNH21" s="94"/>
      <c r="KNI21" s="94"/>
      <c r="KNJ21" s="94"/>
      <c r="KNK21" s="94"/>
      <c r="KNL21" s="94"/>
      <c r="KNM21" s="94"/>
      <c r="KNN21" s="94"/>
      <c r="KNO21" s="94"/>
      <c r="KNP21" s="94"/>
      <c r="KNQ21" s="94"/>
      <c r="KNR21" s="94"/>
      <c r="KNS21" s="94"/>
      <c r="KNT21" s="94"/>
      <c r="KNU21" s="94"/>
      <c r="KNV21" s="94"/>
      <c r="KNW21" s="94"/>
      <c r="KNX21" s="94"/>
      <c r="KNY21" s="94"/>
      <c r="KNZ21" s="94"/>
      <c r="KOA21" s="94"/>
      <c r="KOB21" s="94"/>
      <c r="KOC21" s="94"/>
      <c r="KOD21" s="94"/>
      <c r="KOE21" s="94"/>
      <c r="KOF21" s="94"/>
      <c r="KOG21" s="94"/>
      <c r="KOH21" s="94"/>
      <c r="KOI21" s="94"/>
      <c r="KOJ21" s="94"/>
      <c r="KOK21" s="94"/>
      <c r="KOL21" s="94"/>
      <c r="KOM21" s="94"/>
      <c r="KON21" s="94"/>
      <c r="KOO21" s="94"/>
      <c r="KOP21" s="94"/>
      <c r="KOQ21" s="94"/>
      <c r="KOR21" s="94"/>
      <c r="KOS21" s="94"/>
      <c r="KOT21" s="94"/>
      <c r="KOU21" s="94"/>
      <c r="KOV21" s="94"/>
      <c r="KOW21" s="94"/>
      <c r="KOX21" s="94"/>
      <c r="KOY21" s="94"/>
      <c r="KOZ21" s="94"/>
      <c r="KPA21" s="94"/>
      <c r="KPB21" s="94"/>
      <c r="KPC21" s="94"/>
      <c r="KPD21" s="94"/>
      <c r="KPE21" s="94"/>
      <c r="KPF21" s="94"/>
      <c r="KPG21" s="94"/>
      <c r="KPH21" s="94"/>
      <c r="KPI21" s="94"/>
      <c r="KPJ21" s="94"/>
      <c r="KPK21" s="94"/>
      <c r="KPL21" s="94"/>
      <c r="KPM21" s="94"/>
      <c r="KPN21" s="94"/>
      <c r="KPO21" s="94"/>
      <c r="KPP21" s="94"/>
      <c r="KPQ21" s="94"/>
      <c r="KPR21" s="94"/>
      <c r="KPS21" s="94"/>
      <c r="KPT21" s="94"/>
      <c r="KPU21" s="94"/>
      <c r="KPV21" s="94"/>
      <c r="KPW21" s="94"/>
      <c r="KPX21" s="94"/>
      <c r="KPY21" s="94"/>
      <c r="KPZ21" s="94"/>
      <c r="KQA21" s="94"/>
      <c r="KQB21" s="94"/>
      <c r="KQC21" s="94"/>
      <c r="KQD21" s="94"/>
      <c r="KQE21" s="94"/>
      <c r="KQF21" s="94"/>
      <c r="KQG21" s="94"/>
      <c r="KQH21" s="94"/>
      <c r="KQI21" s="94"/>
      <c r="KQJ21" s="94"/>
      <c r="KQK21" s="94"/>
      <c r="KQL21" s="94"/>
      <c r="KQM21" s="94"/>
      <c r="KQN21" s="94"/>
      <c r="KQO21" s="94"/>
      <c r="KQP21" s="94"/>
      <c r="KQQ21" s="94"/>
      <c r="KQR21" s="94"/>
      <c r="KQS21" s="94"/>
      <c r="KQT21" s="94"/>
      <c r="KQU21" s="94"/>
      <c r="KQV21" s="94"/>
      <c r="KQW21" s="94"/>
      <c r="KQX21" s="94"/>
      <c r="KQY21" s="94"/>
      <c r="KQZ21" s="94"/>
      <c r="KRA21" s="94"/>
      <c r="KRB21" s="94"/>
      <c r="KRC21" s="94"/>
      <c r="KRD21" s="94"/>
      <c r="KRE21" s="94"/>
      <c r="KRF21" s="94"/>
      <c r="KRG21" s="94"/>
      <c r="KRH21" s="94"/>
      <c r="KRI21" s="94"/>
      <c r="KRJ21" s="94"/>
      <c r="KRK21" s="94"/>
      <c r="KRL21" s="94"/>
      <c r="KRM21" s="94"/>
      <c r="KRN21" s="94"/>
      <c r="KRO21" s="94"/>
      <c r="KRP21" s="94"/>
      <c r="KRQ21" s="94"/>
      <c r="KRR21" s="94"/>
      <c r="KRS21" s="94"/>
      <c r="KRT21" s="94"/>
      <c r="KRU21" s="94"/>
      <c r="KRV21" s="94"/>
      <c r="KRW21" s="94"/>
      <c r="KRX21" s="94"/>
      <c r="KRY21" s="94"/>
      <c r="KRZ21" s="94"/>
      <c r="KSA21" s="94"/>
      <c r="KSB21" s="94"/>
      <c r="KSC21" s="94"/>
      <c r="KSD21" s="94"/>
      <c r="KSE21" s="94"/>
      <c r="KSF21" s="94"/>
      <c r="KSG21" s="94"/>
      <c r="KSH21" s="94"/>
      <c r="KSI21" s="94"/>
      <c r="KSJ21" s="94"/>
      <c r="KSK21" s="94"/>
      <c r="KSL21" s="94"/>
      <c r="KSM21" s="94"/>
      <c r="KSN21" s="94"/>
      <c r="KSO21" s="94"/>
      <c r="KSP21" s="94"/>
      <c r="KSQ21" s="94"/>
      <c r="KSR21" s="94"/>
      <c r="KSS21" s="94"/>
      <c r="KST21" s="94"/>
      <c r="KSU21" s="94"/>
      <c r="KSV21" s="94"/>
      <c r="KSW21" s="94"/>
      <c r="KSX21" s="94"/>
      <c r="KSY21" s="94"/>
      <c r="KSZ21" s="94"/>
      <c r="KTA21" s="94"/>
      <c r="KTB21" s="94"/>
      <c r="KTC21" s="94"/>
      <c r="KTD21" s="94"/>
      <c r="KTE21" s="94"/>
      <c r="KTF21" s="94"/>
      <c r="KTG21" s="94"/>
      <c r="KTH21" s="94"/>
      <c r="KTI21" s="94"/>
      <c r="KTJ21" s="94"/>
      <c r="KTK21" s="94"/>
      <c r="KTL21" s="94"/>
      <c r="KTM21" s="94"/>
      <c r="KTN21" s="94"/>
      <c r="KTO21" s="94"/>
      <c r="KTP21" s="94"/>
      <c r="KTQ21" s="94"/>
      <c r="KTR21" s="94"/>
      <c r="KTS21" s="94"/>
      <c r="KTT21" s="94"/>
      <c r="KTU21" s="94"/>
      <c r="KTV21" s="94"/>
      <c r="KTW21" s="94"/>
      <c r="KTX21" s="94"/>
      <c r="KTY21" s="94"/>
      <c r="KTZ21" s="94"/>
      <c r="KUA21" s="94"/>
      <c r="KUB21" s="94"/>
      <c r="KUC21" s="94"/>
      <c r="KUD21" s="94"/>
      <c r="KUE21" s="94"/>
      <c r="KUF21" s="94"/>
      <c r="KUG21" s="94"/>
      <c r="KUH21" s="94"/>
      <c r="KUI21" s="94"/>
      <c r="KUJ21" s="94"/>
      <c r="KUK21" s="94"/>
      <c r="KUL21" s="94"/>
      <c r="KUM21" s="94"/>
      <c r="KUN21" s="94"/>
      <c r="KUO21" s="94"/>
      <c r="KUP21" s="94"/>
      <c r="KUQ21" s="94"/>
      <c r="KUR21" s="94"/>
      <c r="KUS21" s="94"/>
      <c r="KUT21" s="94"/>
      <c r="KUU21" s="94"/>
      <c r="KUV21" s="94"/>
      <c r="KUW21" s="94"/>
      <c r="KUX21" s="94"/>
      <c r="KUY21" s="94"/>
      <c r="KUZ21" s="94"/>
      <c r="KVA21" s="94"/>
      <c r="KVB21" s="94"/>
      <c r="KVC21" s="94"/>
      <c r="KVD21" s="94"/>
      <c r="KVE21" s="94"/>
      <c r="KVF21" s="94"/>
      <c r="KVG21" s="94"/>
      <c r="KVH21" s="94"/>
      <c r="KVI21" s="94"/>
      <c r="KVJ21" s="94"/>
      <c r="KVK21" s="94"/>
      <c r="KVL21" s="94"/>
      <c r="KVM21" s="94"/>
      <c r="KVN21" s="94"/>
      <c r="KVO21" s="94"/>
      <c r="KVP21" s="94"/>
      <c r="KVQ21" s="94"/>
      <c r="KVR21" s="94"/>
      <c r="KVS21" s="94"/>
      <c r="KVT21" s="94"/>
      <c r="KVU21" s="94"/>
      <c r="KVV21" s="94"/>
      <c r="KVW21" s="94"/>
      <c r="KVX21" s="94"/>
      <c r="KVY21" s="94"/>
      <c r="KVZ21" s="94"/>
      <c r="KWA21" s="94"/>
      <c r="KWB21" s="94"/>
      <c r="KWC21" s="94"/>
      <c r="KWD21" s="94"/>
      <c r="KWE21" s="94"/>
      <c r="KWF21" s="94"/>
      <c r="KWG21" s="94"/>
      <c r="KWH21" s="94"/>
      <c r="KWI21" s="94"/>
      <c r="KWJ21" s="94"/>
      <c r="KWK21" s="94"/>
      <c r="KWL21" s="94"/>
      <c r="KWM21" s="94"/>
      <c r="KWN21" s="94"/>
      <c r="KWO21" s="94"/>
      <c r="KWP21" s="94"/>
      <c r="KWQ21" s="94"/>
      <c r="KWR21" s="94"/>
      <c r="KWS21" s="94"/>
      <c r="KWT21" s="94"/>
      <c r="KWU21" s="94"/>
      <c r="KWV21" s="94"/>
      <c r="KWW21" s="94"/>
      <c r="KWX21" s="94"/>
      <c r="KWY21" s="94"/>
      <c r="KWZ21" s="94"/>
      <c r="KXA21" s="94"/>
      <c r="KXB21" s="94"/>
      <c r="KXC21" s="94"/>
      <c r="KXD21" s="94"/>
      <c r="KXE21" s="94"/>
      <c r="KXF21" s="94"/>
      <c r="KXG21" s="94"/>
      <c r="KXH21" s="94"/>
      <c r="KXI21" s="94"/>
      <c r="KXJ21" s="94"/>
      <c r="KXK21" s="94"/>
      <c r="KXL21" s="94"/>
      <c r="KXM21" s="94"/>
      <c r="KXN21" s="94"/>
      <c r="KXO21" s="94"/>
      <c r="KXP21" s="94"/>
      <c r="KXQ21" s="94"/>
      <c r="KXR21" s="94"/>
      <c r="KXS21" s="94"/>
      <c r="KXT21" s="94"/>
      <c r="KXU21" s="94"/>
      <c r="KXV21" s="94"/>
      <c r="KXW21" s="94"/>
      <c r="KXX21" s="94"/>
      <c r="KXY21" s="94"/>
      <c r="KXZ21" s="94"/>
      <c r="KYA21" s="94"/>
      <c r="KYB21" s="94"/>
      <c r="KYC21" s="94"/>
      <c r="KYD21" s="94"/>
      <c r="KYE21" s="94"/>
      <c r="KYF21" s="94"/>
      <c r="KYG21" s="94"/>
      <c r="KYH21" s="94"/>
      <c r="KYI21" s="94"/>
      <c r="KYJ21" s="94"/>
      <c r="KYK21" s="94"/>
      <c r="KYL21" s="94"/>
      <c r="KYM21" s="94"/>
      <c r="KYN21" s="94"/>
      <c r="KYO21" s="94"/>
      <c r="KYP21" s="94"/>
      <c r="KYQ21" s="94"/>
      <c r="KYR21" s="94"/>
      <c r="KYS21" s="94"/>
      <c r="KYT21" s="94"/>
      <c r="KYU21" s="94"/>
      <c r="KYV21" s="94"/>
      <c r="KYW21" s="94"/>
      <c r="KYX21" s="94"/>
      <c r="KYY21" s="94"/>
      <c r="KYZ21" s="94"/>
      <c r="KZA21" s="94"/>
      <c r="KZB21" s="94"/>
      <c r="KZC21" s="94"/>
      <c r="KZD21" s="94"/>
      <c r="KZE21" s="94"/>
      <c r="KZF21" s="94"/>
      <c r="KZG21" s="94"/>
      <c r="KZH21" s="94"/>
      <c r="KZI21" s="94"/>
      <c r="KZJ21" s="94"/>
      <c r="KZK21" s="94"/>
      <c r="KZL21" s="94"/>
      <c r="KZM21" s="94"/>
      <c r="KZN21" s="94"/>
      <c r="KZO21" s="94"/>
      <c r="KZP21" s="94"/>
      <c r="KZQ21" s="94"/>
      <c r="KZR21" s="94"/>
      <c r="KZS21" s="94"/>
      <c r="KZT21" s="94"/>
      <c r="KZU21" s="94"/>
      <c r="KZV21" s="94"/>
      <c r="KZW21" s="94"/>
      <c r="KZX21" s="94"/>
      <c r="KZY21" s="94"/>
      <c r="KZZ21" s="94"/>
      <c r="LAA21" s="94"/>
      <c r="LAB21" s="94"/>
      <c r="LAC21" s="94"/>
      <c r="LAD21" s="94"/>
      <c r="LAE21" s="94"/>
      <c r="LAF21" s="94"/>
      <c r="LAG21" s="94"/>
      <c r="LAH21" s="94"/>
      <c r="LAI21" s="94"/>
      <c r="LAJ21" s="94"/>
      <c r="LAK21" s="94"/>
      <c r="LAL21" s="94"/>
      <c r="LAM21" s="94"/>
      <c r="LAN21" s="94"/>
      <c r="LAO21" s="94"/>
      <c r="LAP21" s="94"/>
      <c r="LAQ21" s="94"/>
      <c r="LAR21" s="94"/>
      <c r="LAS21" s="94"/>
      <c r="LAT21" s="94"/>
      <c r="LAU21" s="94"/>
      <c r="LAV21" s="94"/>
      <c r="LAW21" s="94"/>
      <c r="LAX21" s="94"/>
      <c r="LAY21" s="94"/>
      <c r="LAZ21" s="94"/>
      <c r="LBA21" s="94"/>
      <c r="LBB21" s="94"/>
      <c r="LBC21" s="94"/>
      <c r="LBD21" s="94"/>
      <c r="LBE21" s="94"/>
      <c r="LBF21" s="94"/>
      <c r="LBG21" s="94"/>
      <c r="LBH21" s="94"/>
      <c r="LBI21" s="94"/>
      <c r="LBJ21" s="94"/>
      <c r="LBK21" s="94"/>
      <c r="LBL21" s="94"/>
      <c r="LBM21" s="94"/>
      <c r="LBN21" s="94"/>
      <c r="LBO21" s="94"/>
      <c r="LBP21" s="94"/>
      <c r="LBQ21" s="94"/>
      <c r="LBR21" s="94"/>
      <c r="LBS21" s="94"/>
      <c r="LBT21" s="94"/>
      <c r="LBU21" s="94"/>
      <c r="LBV21" s="94"/>
      <c r="LBW21" s="94"/>
      <c r="LBX21" s="94"/>
      <c r="LBY21" s="94"/>
      <c r="LBZ21" s="94"/>
      <c r="LCA21" s="94"/>
      <c r="LCB21" s="94"/>
      <c r="LCC21" s="94"/>
      <c r="LCD21" s="94"/>
      <c r="LCE21" s="94"/>
      <c r="LCF21" s="94"/>
      <c r="LCG21" s="94"/>
      <c r="LCH21" s="94"/>
      <c r="LCI21" s="94"/>
      <c r="LCJ21" s="94"/>
      <c r="LCK21" s="94"/>
      <c r="LCL21" s="94"/>
      <c r="LCM21" s="94"/>
      <c r="LCN21" s="94"/>
      <c r="LCO21" s="94"/>
      <c r="LCP21" s="94"/>
      <c r="LCQ21" s="94"/>
      <c r="LCR21" s="94"/>
      <c r="LCS21" s="94"/>
      <c r="LCT21" s="94"/>
      <c r="LCU21" s="94"/>
      <c r="LCV21" s="94"/>
      <c r="LCW21" s="94"/>
      <c r="LCX21" s="94"/>
      <c r="LCY21" s="94"/>
      <c r="LCZ21" s="94"/>
      <c r="LDA21" s="94"/>
      <c r="LDB21" s="94"/>
      <c r="LDC21" s="94"/>
      <c r="LDD21" s="94"/>
      <c r="LDE21" s="94"/>
      <c r="LDF21" s="94"/>
      <c r="LDG21" s="94"/>
      <c r="LDH21" s="94"/>
      <c r="LDI21" s="94"/>
      <c r="LDJ21" s="94"/>
      <c r="LDK21" s="94"/>
      <c r="LDL21" s="94"/>
      <c r="LDM21" s="94"/>
      <c r="LDN21" s="94"/>
      <c r="LDO21" s="94"/>
      <c r="LDP21" s="94"/>
      <c r="LDQ21" s="94"/>
      <c r="LDR21" s="94"/>
      <c r="LDS21" s="94"/>
      <c r="LDT21" s="94"/>
      <c r="LDU21" s="94"/>
      <c r="LDV21" s="94"/>
      <c r="LDW21" s="94"/>
      <c r="LDX21" s="94"/>
      <c r="LDY21" s="94"/>
      <c r="LDZ21" s="94"/>
      <c r="LEA21" s="94"/>
      <c r="LEB21" s="94"/>
      <c r="LEC21" s="94"/>
      <c r="LED21" s="94"/>
      <c r="LEE21" s="94"/>
      <c r="LEF21" s="94"/>
      <c r="LEG21" s="94"/>
      <c r="LEH21" s="94"/>
      <c r="LEI21" s="94"/>
      <c r="LEJ21" s="94"/>
      <c r="LEK21" s="94"/>
      <c r="LEL21" s="94"/>
      <c r="LEM21" s="94"/>
      <c r="LEN21" s="94"/>
      <c r="LEO21" s="94"/>
      <c r="LEP21" s="94"/>
      <c r="LEQ21" s="94"/>
      <c r="LER21" s="94"/>
      <c r="LES21" s="94"/>
      <c r="LET21" s="94"/>
      <c r="LEU21" s="94"/>
      <c r="LEV21" s="94"/>
      <c r="LEW21" s="94"/>
      <c r="LEX21" s="94"/>
      <c r="LEY21" s="94"/>
      <c r="LEZ21" s="94"/>
      <c r="LFA21" s="94"/>
      <c r="LFB21" s="94"/>
      <c r="LFC21" s="94"/>
      <c r="LFD21" s="94"/>
      <c r="LFE21" s="94"/>
      <c r="LFF21" s="94"/>
      <c r="LFG21" s="94"/>
      <c r="LFH21" s="94"/>
      <c r="LFI21" s="94"/>
      <c r="LFJ21" s="94"/>
      <c r="LFK21" s="94"/>
      <c r="LFL21" s="94"/>
      <c r="LFM21" s="94"/>
      <c r="LFN21" s="94"/>
      <c r="LFO21" s="94"/>
      <c r="LFP21" s="94"/>
      <c r="LFQ21" s="94"/>
      <c r="LFR21" s="94"/>
      <c r="LFS21" s="94"/>
      <c r="LFT21" s="94"/>
      <c r="LFU21" s="94"/>
      <c r="LFV21" s="94"/>
      <c r="LFW21" s="94"/>
      <c r="LFX21" s="94"/>
      <c r="LFY21" s="94"/>
      <c r="LFZ21" s="94"/>
      <c r="LGA21" s="94"/>
      <c r="LGB21" s="94"/>
      <c r="LGC21" s="94"/>
      <c r="LGD21" s="94"/>
      <c r="LGE21" s="94"/>
      <c r="LGF21" s="94"/>
      <c r="LGG21" s="94"/>
      <c r="LGH21" s="94"/>
      <c r="LGI21" s="94"/>
      <c r="LGJ21" s="94"/>
      <c r="LGK21" s="94"/>
      <c r="LGL21" s="94"/>
      <c r="LGM21" s="94"/>
      <c r="LGN21" s="94"/>
      <c r="LGO21" s="94"/>
      <c r="LGP21" s="94"/>
      <c r="LGQ21" s="94"/>
      <c r="LGR21" s="94"/>
      <c r="LGS21" s="94"/>
      <c r="LGT21" s="94"/>
      <c r="LGU21" s="94"/>
      <c r="LGV21" s="94"/>
      <c r="LGW21" s="94"/>
      <c r="LGX21" s="94"/>
      <c r="LGY21" s="94"/>
      <c r="LGZ21" s="94"/>
      <c r="LHA21" s="94"/>
      <c r="LHB21" s="94"/>
      <c r="LHC21" s="94"/>
      <c r="LHD21" s="94"/>
      <c r="LHE21" s="94"/>
      <c r="LHF21" s="94"/>
      <c r="LHG21" s="94"/>
      <c r="LHH21" s="94"/>
      <c r="LHI21" s="94"/>
      <c r="LHJ21" s="94"/>
      <c r="LHK21" s="94"/>
      <c r="LHL21" s="94"/>
      <c r="LHM21" s="94"/>
      <c r="LHN21" s="94"/>
      <c r="LHO21" s="94"/>
      <c r="LHP21" s="94"/>
      <c r="LHQ21" s="94"/>
      <c r="LHR21" s="94"/>
      <c r="LHS21" s="94"/>
      <c r="LHT21" s="94"/>
      <c r="LHU21" s="94"/>
      <c r="LHV21" s="94"/>
      <c r="LHW21" s="94"/>
      <c r="LHX21" s="94"/>
      <c r="LHY21" s="94"/>
      <c r="LHZ21" s="94"/>
      <c r="LIA21" s="94"/>
      <c r="LIB21" s="94"/>
      <c r="LIC21" s="94"/>
      <c r="LID21" s="94"/>
      <c r="LIE21" s="94"/>
      <c r="LIF21" s="94"/>
      <c r="LIG21" s="94"/>
      <c r="LIH21" s="94"/>
      <c r="LII21" s="94"/>
      <c r="LIJ21" s="94"/>
      <c r="LIK21" s="94"/>
      <c r="LIL21" s="94"/>
      <c r="LIM21" s="94"/>
      <c r="LIN21" s="94"/>
      <c r="LIO21" s="94"/>
      <c r="LIP21" s="94"/>
      <c r="LIQ21" s="94"/>
      <c r="LIR21" s="94"/>
      <c r="LIS21" s="94"/>
      <c r="LIT21" s="94"/>
      <c r="LIU21" s="94"/>
      <c r="LIV21" s="94"/>
      <c r="LIW21" s="94"/>
      <c r="LIX21" s="94"/>
      <c r="LIY21" s="94"/>
      <c r="LIZ21" s="94"/>
      <c r="LJA21" s="94"/>
      <c r="LJB21" s="94"/>
      <c r="LJC21" s="94"/>
      <c r="LJD21" s="94"/>
      <c r="LJE21" s="94"/>
      <c r="LJF21" s="94"/>
      <c r="LJG21" s="94"/>
      <c r="LJH21" s="94"/>
      <c r="LJI21" s="94"/>
      <c r="LJJ21" s="94"/>
      <c r="LJK21" s="94"/>
      <c r="LJL21" s="94"/>
      <c r="LJM21" s="94"/>
      <c r="LJN21" s="94"/>
      <c r="LJO21" s="94"/>
      <c r="LJP21" s="94"/>
      <c r="LJQ21" s="94"/>
      <c r="LJR21" s="94"/>
      <c r="LJS21" s="94"/>
      <c r="LJT21" s="94"/>
      <c r="LJU21" s="94"/>
      <c r="LJV21" s="94"/>
      <c r="LJW21" s="94"/>
      <c r="LJX21" s="94"/>
      <c r="LJY21" s="94"/>
      <c r="LJZ21" s="94"/>
      <c r="LKA21" s="94"/>
      <c r="LKB21" s="94"/>
      <c r="LKC21" s="94"/>
      <c r="LKD21" s="94"/>
      <c r="LKE21" s="94"/>
      <c r="LKF21" s="94"/>
      <c r="LKG21" s="94"/>
      <c r="LKH21" s="94"/>
      <c r="LKI21" s="94"/>
      <c r="LKJ21" s="94"/>
      <c r="LKK21" s="94"/>
      <c r="LKL21" s="94"/>
      <c r="LKM21" s="94"/>
      <c r="LKN21" s="94"/>
      <c r="LKO21" s="94"/>
      <c r="LKP21" s="94"/>
      <c r="LKQ21" s="94"/>
      <c r="LKR21" s="94"/>
      <c r="LKS21" s="94"/>
      <c r="LKT21" s="94"/>
      <c r="LKU21" s="94"/>
      <c r="LKV21" s="94"/>
      <c r="LKW21" s="94"/>
      <c r="LKX21" s="94"/>
      <c r="LKY21" s="94"/>
      <c r="LKZ21" s="94"/>
      <c r="LLA21" s="94"/>
      <c r="LLB21" s="94"/>
      <c r="LLC21" s="94"/>
      <c r="LLD21" s="94"/>
      <c r="LLE21" s="94"/>
      <c r="LLF21" s="94"/>
      <c r="LLG21" s="94"/>
      <c r="LLH21" s="94"/>
      <c r="LLI21" s="94"/>
      <c r="LLJ21" s="94"/>
      <c r="LLK21" s="94"/>
      <c r="LLL21" s="94"/>
      <c r="LLM21" s="94"/>
      <c r="LLN21" s="94"/>
      <c r="LLO21" s="94"/>
      <c r="LLP21" s="94"/>
      <c r="LLQ21" s="94"/>
      <c r="LLR21" s="94"/>
      <c r="LLS21" s="94"/>
      <c r="LLT21" s="94"/>
      <c r="LLU21" s="94"/>
      <c r="LLV21" s="94"/>
      <c r="LLW21" s="94"/>
      <c r="LLX21" s="94"/>
      <c r="LLY21" s="94"/>
      <c r="LLZ21" s="94"/>
      <c r="LMA21" s="94"/>
      <c r="LMB21" s="94"/>
      <c r="LMC21" s="94"/>
      <c r="LMD21" s="94"/>
      <c r="LME21" s="94"/>
      <c r="LMF21" s="94"/>
      <c r="LMG21" s="94"/>
      <c r="LMH21" s="94"/>
      <c r="LMI21" s="94"/>
      <c r="LMJ21" s="94"/>
      <c r="LMK21" s="94"/>
      <c r="LML21" s="94"/>
      <c r="LMM21" s="94"/>
      <c r="LMN21" s="94"/>
      <c r="LMO21" s="94"/>
      <c r="LMP21" s="94"/>
      <c r="LMQ21" s="94"/>
      <c r="LMR21" s="94"/>
      <c r="LMS21" s="94"/>
      <c r="LMT21" s="94"/>
      <c r="LMU21" s="94"/>
      <c r="LMV21" s="94"/>
      <c r="LMW21" s="94"/>
      <c r="LMX21" s="94"/>
      <c r="LMY21" s="94"/>
      <c r="LMZ21" s="94"/>
      <c r="LNA21" s="94"/>
      <c r="LNB21" s="94"/>
      <c r="LNC21" s="94"/>
      <c r="LND21" s="94"/>
      <c r="LNE21" s="94"/>
      <c r="LNF21" s="94"/>
      <c r="LNG21" s="94"/>
      <c r="LNH21" s="94"/>
      <c r="LNI21" s="94"/>
      <c r="LNJ21" s="94"/>
      <c r="LNK21" s="94"/>
      <c r="LNL21" s="94"/>
      <c r="LNM21" s="94"/>
      <c r="LNN21" s="94"/>
      <c r="LNO21" s="94"/>
      <c r="LNP21" s="94"/>
      <c r="LNQ21" s="94"/>
      <c r="LNR21" s="94"/>
      <c r="LNS21" s="94"/>
      <c r="LNT21" s="94"/>
      <c r="LNU21" s="94"/>
      <c r="LNV21" s="94"/>
      <c r="LNW21" s="94"/>
      <c r="LNX21" s="94"/>
      <c r="LNY21" s="94"/>
      <c r="LNZ21" s="94"/>
      <c r="LOA21" s="94"/>
      <c r="LOB21" s="94"/>
      <c r="LOC21" s="94"/>
      <c r="LOD21" s="94"/>
      <c r="LOE21" s="94"/>
      <c r="LOF21" s="94"/>
      <c r="LOG21" s="94"/>
      <c r="LOH21" s="94"/>
      <c r="LOI21" s="94"/>
      <c r="LOJ21" s="94"/>
      <c r="LOK21" s="94"/>
      <c r="LOL21" s="94"/>
      <c r="LOM21" s="94"/>
      <c r="LON21" s="94"/>
      <c r="LOO21" s="94"/>
      <c r="LOP21" s="94"/>
      <c r="LOQ21" s="94"/>
      <c r="LOR21" s="94"/>
      <c r="LOS21" s="94"/>
      <c r="LOT21" s="94"/>
      <c r="LOU21" s="94"/>
      <c r="LOV21" s="94"/>
      <c r="LOW21" s="94"/>
      <c r="LOX21" s="94"/>
      <c r="LOY21" s="94"/>
      <c r="LOZ21" s="94"/>
      <c r="LPA21" s="94"/>
      <c r="LPB21" s="94"/>
      <c r="LPC21" s="94"/>
      <c r="LPD21" s="94"/>
      <c r="LPE21" s="94"/>
      <c r="LPF21" s="94"/>
      <c r="LPG21" s="94"/>
      <c r="LPH21" s="94"/>
      <c r="LPI21" s="94"/>
      <c r="LPJ21" s="94"/>
      <c r="LPK21" s="94"/>
      <c r="LPL21" s="94"/>
      <c r="LPM21" s="94"/>
      <c r="LPN21" s="94"/>
      <c r="LPO21" s="94"/>
      <c r="LPP21" s="94"/>
      <c r="LPQ21" s="94"/>
      <c r="LPR21" s="94"/>
      <c r="LPS21" s="94"/>
      <c r="LPT21" s="94"/>
      <c r="LPU21" s="94"/>
      <c r="LPV21" s="94"/>
      <c r="LPW21" s="94"/>
      <c r="LPX21" s="94"/>
      <c r="LPY21" s="94"/>
      <c r="LPZ21" s="94"/>
      <c r="LQA21" s="94"/>
      <c r="LQB21" s="94"/>
      <c r="LQC21" s="94"/>
      <c r="LQD21" s="94"/>
      <c r="LQE21" s="94"/>
      <c r="LQF21" s="94"/>
      <c r="LQG21" s="94"/>
      <c r="LQH21" s="94"/>
      <c r="LQI21" s="94"/>
      <c r="LQJ21" s="94"/>
      <c r="LQK21" s="94"/>
      <c r="LQL21" s="94"/>
      <c r="LQM21" s="94"/>
      <c r="LQN21" s="94"/>
      <c r="LQO21" s="94"/>
      <c r="LQP21" s="94"/>
      <c r="LQQ21" s="94"/>
      <c r="LQR21" s="94"/>
      <c r="LQS21" s="94"/>
      <c r="LQT21" s="94"/>
      <c r="LQU21" s="94"/>
      <c r="LQV21" s="94"/>
      <c r="LQW21" s="94"/>
      <c r="LQX21" s="94"/>
      <c r="LQY21" s="94"/>
      <c r="LQZ21" s="94"/>
      <c r="LRA21" s="94"/>
      <c r="LRB21" s="94"/>
      <c r="LRC21" s="94"/>
      <c r="LRD21" s="94"/>
      <c r="LRE21" s="94"/>
      <c r="LRF21" s="94"/>
      <c r="LRG21" s="94"/>
      <c r="LRH21" s="94"/>
      <c r="LRI21" s="94"/>
      <c r="LRJ21" s="94"/>
      <c r="LRK21" s="94"/>
      <c r="LRL21" s="94"/>
      <c r="LRM21" s="94"/>
      <c r="LRN21" s="94"/>
      <c r="LRO21" s="94"/>
      <c r="LRP21" s="94"/>
      <c r="LRQ21" s="94"/>
      <c r="LRR21" s="94"/>
      <c r="LRS21" s="94"/>
      <c r="LRT21" s="94"/>
      <c r="LRU21" s="94"/>
      <c r="LRV21" s="94"/>
      <c r="LRW21" s="94"/>
      <c r="LRX21" s="94"/>
      <c r="LRY21" s="94"/>
      <c r="LRZ21" s="94"/>
      <c r="LSA21" s="94"/>
      <c r="LSB21" s="94"/>
      <c r="LSC21" s="94"/>
      <c r="LSD21" s="94"/>
      <c r="LSE21" s="94"/>
      <c r="LSF21" s="94"/>
      <c r="LSG21" s="94"/>
      <c r="LSH21" s="94"/>
      <c r="LSI21" s="94"/>
      <c r="LSJ21" s="94"/>
      <c r="LSK21" s="94"/>
      <c r="LSL21" s="94"/>
      <c r="LSM21" s="94"/>
      <c r="LSN21" s="94"/>
      <c r="LSO21" s="94"/>
      <c r="LSP21" s="94"/>
      <c r="LSQ21" s="94"/>
      <c r="LSR21" s="94"/>
      <c r="LSS21" s="94"/>
      <c r="LST21" s="94"/>
      <c r="LSU21" s="94"/>
      <c r="LSV21" s="94"/>
      <c r="LSW21" s="94"/>
      <c r="LSX21" s="94"/>
      <c r="LSY21" s="94"/>
      <c r="LSZ21" s="94"/>
      <c r="LTA21" s="94"/>
      <c r="LTB21" s="94"/>
      <c r="LTC21" s="94"/>
      <c r="LTD21" s="94"/>
      <c r="LTE21" s="94"/>
      <c r="LTF21" s="94"/>
      <c r="LTG21" s="94"/>
      <c r="LTH21" s="94"/>
      <c r="LTI21" s="94"/>
      <c r="LTJ21" s="94"/>
      <c r="LTK21" s="94"/>
      <c r="LTL21" s="94"/>
      <c r="LTM21" s="94"/>
      <c r="LTN21" s="94"/>
      <c r="LTO21" s="94"/>
      <c r="LTP21" s="94"/>
      <c r="LTQ21" s="94"/>
      <c r="LTR21" s="94"/>
      <c r="LTS21" s="94"/>
      <c r="LTT21" s="94"/>
      <c r="LTU21" s="94"/>
      <c r="LTV21" s="94"/>
      <c r="LTW21" s="94"/>
      <c r="LTX21" s="94"/>
      <c r="LTY21" s="94"/>
      <c r="LTZ21" s="94"/>
      <c r="LUA21" s="94"/>
      <c r="LUB21" s="94"/>
      <c r="LUC21" s="94"/>
      <c r="LUD21" s="94"/>
      <c r="LUE21" s="94"/>
      <c r="LUF21" s="94"/>
      <c r="LUG21" s="94"/>
      <c r="LUH21" s="94"/>
      <c r="LUI21" s="94"/>
      <c r="LUJ21" s="94"/>
      <c r="LUK21" s="94"/>
      <c r="LUL21" s="94"/>
      <c r="LUM21" s="94"/>
      <c r="LUN21" s="94"/>
      <c r="LUO21" s="94"/>
      <c r="LUP21" s="94"/>
      <c r="LUQ21" s="94"/>
      <c r="LUR21" s="94"/>
      <c r="LUS21" s="94"/>
      <c r="LUT21" s="94"/>
      <c r="LUU21" s="94"/>
      <c r="LUV21" s="94"/>
      <c r="LUW21" s="94"/>
      <c r="LUX21" s="94"/>
      <c r="LUY21" s="94"/>
      <c r="LUZ21" s="94"/>
      <c r="LVA21" s="94"/>
      <c r="LVB21" s="94"/>
      <c r="LVC21" s="94"/>
      <c r="LVD21" s="94"/>
      <c r="LVE21" s="94"/>
      <c r="LVF21" s="94"/>
      <c r="LVG21" s="94"/>
      <c r="LVH21" s="94"/>
      <c r="LVI21" s="94"/>
      <c r="LVJ21" s="94"/>
      <c r="LVK21" s="94"/>
      <c r="LVL21" s="94"/>
      <c r="LVM21" s="94"/>
      <c r="LVN21" s="94"/>
      <c r="LVO21" s="94"/>
      <c r="LVP21" s="94"/>
      <c r="LVQ21" s="94"/>
      <c r="LVR21" s="94"/>
      <c r="LVS21" s="94"/>
      <c r="LVT21" s="94"/>
      <c r="LVU21" s="94"/>
      <c r="LVV21" s="94"/>
      <c r="LVW21" s="94"/>
      <c r="LVX21" s="94"/>
      <c r="LVY21" s="94"/>
      <c r="LVZ21" s="94"/>
      <c r="LWA21" s="94"/>
      <c r="LWB21" s="94"/>
      <c r="LWC21" s="94"/>
      <c r="LWD21" s="94"/>
      <c r="LWE21" s="94"/>
      <c r="LWF21" s="94"/>
      <c r="LWG21" s="94"/>
      <c r="LWH21" s="94"/>
      <c r="LWI21" s="94"/>
      <c r="LWJ21" s="94"/>
      <c r="LWK21" s="94"/>
      <c r="LWL21" s="94"/>
      <c r="LWM21" s="94"/>
      <c r="LWN21" s="94"/>
      <c r="LWO21" s="94"/>
      <c r="LWP21" s="94"/>
      <c r="LWQ21" s="94"/>
      <c r="LWR21" s="94"/>
      <c r="LWS21" s="94"/>
      <c r="LWT21" s="94"/>
      <c r="LWU21" s="94"/>
      <c r="LWV21" s="94"/>
      <c r="LWW21" s="94"/>
      <c r="LWX21" s="94"/>
      <c r="LWY21" s="94"/>
      <c r="LWZ21" s="94"/>
      <c r="LXA21" s="94"/>
      <c r="LXB21" s="94"/>
      <c r="LXC21" s="94"/>
      <c r="LXD21" s="94"/>
      <c r="LXE21" s="94"/>
      <c r="LXF21" s="94"/>
      <c r="LXG21" s="94"/>
      <c r="LXH21" s="94"/>
      <c r="LXI21" s="94"/>
      <c r="LXJ21" s="94"/>
      <c r="LXK21" s="94"/>
      <c r="LXL21" s="94"/>
      <c r="LXM21" s="94"/>
      <c r="LXN21" s="94"/>
      <c r="LXO21" s="94"/>
      <c r="LXP21" s="94"/>
      <c r="LXQ21" s="94"/>
      <c r="LXR21" s="94"/>
      <c r="LXS21" s="94"/>
      <c r="LXT21" s="94"/>
      <c r="LXU21" s="94"/>
      <c r="LXV21" s="94"/>
      <c r="LXW21" s="94"/>
      <c r="LXX21" s="94"/>
      <c r="LXY21" s="94"/>
      <c r="LXZ21" s="94"/>
      <c r="LYA21" s="94"/>
      <c r="LYB21" s="94"/>
      <c r="LYC21" s="94"/>
      <c r="LYD21" s="94"/>
      <c r="LYE21" s="94"/>
      <c r="LYF21" s="94"/>
      <c r="LYG21" s="94"/>
      <c r="LYH21" s="94"/>
      <c r="LYI21" s="94"/>
      <c r="LYJ21" s="94"/>
      <c r="LYK21" s="94"/>
      <c r="LYL21" s="94"/>
      <c r="LYM21" s="94"/>
      <c r="LYN21" s="94"/>
      <c r="LYO21" s="94"/>
      <c r="LYP21" s="94"/>
      <c r="LYQ21" s="94"/>
      <c r="LYR21" s="94"/>
      <c r="LYS21" s="94"/>
      <c r="LYT21" s="94"/>
      <c r="LYU21" s="94"/>
      <c r="LYV21" s="94"/>
      <c r="LYW21" s="94"/>
      <c r="LYX21" s="94"/>
      <c r="LYY21" s="94"/>
      <c r="LYZ21" s="94"/>
      <c r="LZA21" s="94"/>
      <c r="LZB21" s="94"/>
      <c r="LZC21" s="94"/>
      <c r="LZD21" s="94"/>
      <c r="LZE21" s="94"/>
      <c r="LZF21" s="94"/>
      <c r="LZG21" s="94"/>
      <c r="LZH21" s="94"/>
      <c r="LZI21" s="94"/>
      <c r="LZJ21" s="94"/>
      <c r="LZK21" s="94"/>
      <c r="LZL21" s="94"/>
      <c r="LZM21" s="94"/>
      <c r="LZN21" s="94"/>
      <c r="LZO21" s="94"/>
      <c r="LZP21" s="94"/>
      <c r="LZQ21" s="94"/>
      <c r="LZR21" s="94"/>
      <c r="LZS21" s="94"/>
      <c r="LZT21" s="94"/>
      <c r="LZU21" s="94"/>
      <c r="LZV21" s="94"/>
      <c r="LZW21" s="94"/>
      <c r="LZX21" s="94"/>
      <c r="LZY21" s="94"/>
      <c r="LZZ21" s="94"/>
      <c r="MAA21" s="94"/>
      <c r="MAB21" s="94"/>
      <c r="MAC21" s="94"/>
      <c r="MAD21" s="94"/>
      <c r="MAE21" s="94"/>
      <c r="MAF21" s="94"/>
      <c r="MAG21" s="94"/>
      <c r="MAH21" s="94"/>
      <c r="MAI21" s="94"/>
      <c r="MAJ21" s="94"/>
      <c r="MAK21" s="94"/>
      <c r="MAL21" s="94"/>
      <c r="MAM21" s="94"/>
      <c r="MAN21" s="94"/>
      <c r="MAO21" s="94"/>
      <c r="MAP21" s="94"/>
      <c r="MAQ21" s="94"/>
      <c r="MAR21" s="94"/>
      <c r="MAS21" s="94"/>
      <c r="MAT21" s="94"/>
      <c r="MAU21" s="94"/>
      <c r="MAV21" s="94"/>
      <c r="MAW21" s="94"/>
      <c r="MAX21" s="94"/>
      <c r="MAY21" s="94"/>
      <c r="MAZ21" s="94"/>
      <c r="MBA21" s="94"/>
      <c r="MBB21" s="94"/>
      <c r="MBC21" s="94"/>
      <c r="MBD21" s="94"/>
      <c r="MBE21" s="94"/>
      <c r="MBF21" s="94"/>
      <c r="MBG21" s="94"/>
      <c r="MBH21" s="94"/>
      <c r="MBI21" s="94"/>
      <c r="MBJ21" s="94"/>
      <c r="MBK21" s="94"/>
      <c r="MBL21" s="94"/>
      <c r="MBM21" s="94"/>
      <c r="MBN21" s="94"/>
      <c r="MBO21" s="94"/>
      <c r="MBP21" s="94"/>
      <c r="MBQ21" s="94"/>
      <c r="MBR21" s="94"/>
      <c r="MBS21" s="94"/>
      <c r="MBT21" s="94"/>
      <c r="MBU21" s="94"/>
      <c r="MBV21" s="94"/>
      <c r="MBW21" s="94"/>
      <c r="MBX21" s="94"/>
      <c r="MBY21" s="94"/>
      <c r="MBZ21" s="94"/>
      <c r="MCA21" s="94"/>
      <c r="MCB21" s="94"/>
      <c r="MCC21" s="94"/>
      <c r="MCD21" s="94"/>
      <c r="MCE21" s="94"/>
      <c r="MCF21" s="94"/>
      <c r="MCG21" s="94"/>
      <c r="MCH21" s="94"/>
      <c r="MCI21" s="94"/>
      <c r="MCJ21" s="94"/>
      <c r="MCK21" s="94"/>
      <c r="MCL21" s="94"/>
      <c r="MCM21" s="94"/>
      <c r="MCN21" s="94"/>
      <c r="MCO21" s="94"/>
      <c r="MCP21" s="94"/>
      <c r="MCQ21" s="94"/>
      <c r="MCR21" s="94"/>
      <c r="MCS21" s="94"/>
      <c r="MCT21" s="94"/>
      <c r="MCU21" s="94"/>
      <c r="MCV21" s="94"/>
      <c r="MCW21" s="94"/>
      <c r="MCX21" s="94"/>
      <c r="MCY21" s="94"/>
      <c r="MCZ21" s="94"/>
      <c r="MDA21" s="94"/>
      <c r="MDB21" s="94"/>
      <c r="MDC21" s="94"/>
      <c r="MDD21" s="94"/>
      <c r="MDE21" s="94"/>
      <c r="MDF21" s="94"/>
      <c r="MDG21" s="94"/>
      <c r="MDH21" s="94"/>
      <c r="MDI21" s="94"/>
      <c r="MDJ21" s="94"/>
      <c r="MDK21" s="94"/>
      <c r="MDL21" s="94"/>
      <c r="MDM21" s="94"/>
      <c r="MDN21" s="94"/>
      <c r="MDO21" s="94"/>
      <c r="MDP21" s="94"/>
      <c r="MDQ21" s="94"/>
      <c r="MDR21" s="94"/>
      <c r="MDS21" s="94"/>
      <c r="MDT21" s="94"/>
      <c r="MDU21" s="94"/>
      <c r="MDV21" s="94"/>
      <c r="MDW21" s="94"/>
      <c r="MDX21" s="94"/>
      <c r="MDY21" s="94"/>
      <c r="MDZ21" s="94"/>
      <c r="MEA21" s="94"/>
      <c r="MEB21" s="94"/>
      <c r="MEC21" s="94"/>
      <c r="MED21" s="94"/>
      <c r="MEE21" s="94"/>
      <c r="MEF21" s="94"/>
      <c r="MEG21" s="94"/>
      <c r="MEH21" s="94"/>
      <c r="MEI21" s="94"/>
      <c r="MEJ21" s="94"/>
      <c r="MEK21" s="94"/>
      <c r="MEL21" s="94"/>
      <c r="MEM21" s="94"/>
      <c r="MEN21" s="94"/>
      <c r="MEO21" s="94"/>
      <c r="MEP21" s="94"/>
      <c r="MEQ21" s="94"/>
      <c r="MER21" s="94"/>
      <c r="MES21" s="94"/>
      <c r="MET21" s="94"/>
      <c r="MEU21" s="94"/>
      <c r="MEV21" s="94"/>
      <c r="MEW21" s="94"/>
      <c r="MEX21" s="94"/>
      <c r="MEY21" s="94"/>
      <c r="MEZ21" s="94"/>
      <c r="MFA21" s="94"/>
      <c r="MFB21" s="94"/>
      <c r="MFC21" s="94"/>
      <c r="MFD21" s="94"/>
      <c r="MFE21" s="94"/>
      <c r="MFF21" s="94"/>
      <c r="MFG21" s="94"/>
      <c r="MFH21" s="94"/>
      <c r="MFI21" s="94"/>
      <c r="MFJ21" s="94"/>
      <c r="MFK21" s="94"/>
      <c r="MFL21" s="94"/>
      <c r="MFM21" s="94"/>
      <c r="MFN21" s="94"/>
      <c r="MFO21" s="94"/>
      <c r="MFP21" s="94"/>
      <c r="MFQ21" s="94"/>
      <c r="MFR21" s="94"/>
      <c r="MFS21" s="94"/>
      <c r="MFT21" s="94"/>
      <c r="MFU21" s="94"/>
      <c r="MFV21" s="94"/>
      <c r="MFW21" s="94"/>
      <c r="MFX21" s="94"/>
      <c r="MFY21" s="94"/>
      <c r="MFZ21" s="94"/>
      <c r="MGA21" s="94"/>
      <c r="MGB21" s="94"/>
      <c r="MGC21" s="94"/>
      <c r="MGD21" s="94"/>
      <c r="MGE21" s="94"/>
      <c r="MGF21" s="94"/>
      <c r="MGG21" s="94"/>
      <c r="MGH21" s="94"/>
      <c r="MGI21" s="94"/>
      <c r="MGJ21" s="94"/>
      <c r="MGK21" s="94"/>
      <c r="MGL21" s="94"/>
      <c r="MGM21" s="94"/>
      <c r="MGN21" s="94"/>
      <c r="MGO21" s="94"/>
      <c r="MGP21" s="94"/>
      <c r="MGQ21" s="94"/>
      <c r="MGR21" s="94"/>
      <c r="MGS21" s="94"/>
      <c r="MGT21" s="94"/>
      <c r="MGU21" s="94"/>
      <c r="MGV21" s="94"/>
      <c r="MGW21" s="94"/>
      <c r="MGX21" s="94"/>
      <c r="MGY21" s="94"/>
      <c r="MGZ21" s="94"/>
      <c r="MHA21" s="94"/>
      <c r="MHB21" s="94"/>
      <c r="MHC21" s="94"/>
      <c r="MHD21" s="94"/>
      <c r="MHE21" s="94"/>
      <c r="MHF21" s="94"/>
      <c r="MHG21" s="94"/>
      <c r="MHH21" s="94"/>
      <c r="MHI21" s="94"/>
      <c r="MHJ21" s="94"/>
      <c r="MHK21" s="94"/>
      <c r="MHL21" s="94"/>
      <c r="MHM21" s="94"/>
      <c r="MHN21" s="94"/>
      <c r="MHO21" s="94"/>
      <c r="MHP21" s="94"/>
      <c r="MHQ21" s="94"/>
      <c r="MHR21" s="94"/>
      <c r="MHS21" s="94"/>
      <c r="MHT21" s="94"/>
      <c r="MHU21" s="94"/>
      <c r="MHV21" s="94"/>
      <c r="MHW21" s="94"/>
      <c r="MHX21" s="94"/>
      <c r="MHY21" s="94"/>
      <c r="MHZ21" s="94"/>
      <c r="MIA21" s="94"/>
      <c r="MIB21" s="94"/>
      <c r="MIC21" s="94"/>
      <c r="MID21" s="94"/>
      <c r="MIE21" s="94"/>
      <c r="MIF21" s="94"/>
      <c r="MIG21" s="94"/>
      <c r="MIH21" s="94"/>
      <c r="MII21" s="94"/>
      <c r="MIJ21" s="94"/>
      <c r="MIK21" s="94"/>
      <c r="MIL21" s="94"/>
      <c r="MIM21" s="94"/>
      <c r="MIN21" s="94"/>
      <c r="MIO21" s="94"/>
      <c r="MIP21" s="94"/>
      <c r="MIQ21" s="94"/>
      <c r="MIR21" s="94"/>
      <c r="MIS21" s="94"/>
      <c r="MIT21" s="94"/>
      <c r="MIU21" s="94"/>
      <c r="MIV21" s="94"/>
      <c r="MIW21" s="94"/>
      <c r="MIX21" s="94"/>
      <c r="MIY21" s="94"/>
      <c r="MIZ21" s="94"/>
      <c r="MJA21" s="94"/>
      <c r="MJB21" s="94"/>
      <c r="MJC21" s="94"/>
      <c r="MJD21" s="94"/>
      <c r="MJE21" s="94"/>
      <c r="MJF21" s="94"/>
      <c r="MJG21" s="94"/>
      <c r="MJH21" s="94"/>
      <c r="MJI21" s="94"/>
      <c r="MJJ21" s="94"/>
      <c r="MJK21" s="94"/>
      <c r="MJL21" s="94"/>
      <c r="MJM21" s="94"/>
      <c r="MJN21" s="94"/>
      <c r="MJO21" s="94"/>
      <c r="MJP21" s="94"/>
      <c r="MJQ21" s="94"/>
      <c r="MJR21" s="94"/>
      <c r="MJS21" s="94"/>
      <c r="MJT21" s="94"/>
      <c r="MJU21" s="94"/>
      <c r="MJV21" s="94"/>
      <c r="MJW21" s="94"/>
      <c r="MJX21" s="94"/>
      <c r="MJY21" s="94"/>
      <c r="MJZ21" s="94"/>
      <c r="MKA21" s="94"/>
      <c r="MKB21" s="94"/>
      <c r="MKC21" s="94"/>
      <c r="MKD21" s="94"/>
      <c r="MKE21" s="94"/>
      <c r="MKF21" s="94"/>
      <c r="MKG21" s="94"/>
      <c r="MKH21" s="94"/>
      <c r="MKI21" s="94"/>
      <c r="MKJ21" s="94"/>
      <c r="MKK21" s="94"/>
      <c r="MKL21" s="94"/>
      <c r="MKM21" s="94"/>
      <c r="MKN21" s="94"/>
      <c r="MKO21" s="94"/>
      <c r="MKP21" s="94"/>
      <c r="MKQ21" s="94"/>
      <c r="MKR21" s="94"/>
      <c r="MKS21" s="94"/>
      <c r="MKT21" s="94"/>
      <c r="MKU21" s="94"/>
      <c r="MKV21" s="94"/>
      <c r="MKW21" s="94"/>
      <c r="MKX21" s="94"/>
      <c r="MKY21" s="94"/>
      <c r="MKZ21" s="94"/>
      <c r="MLA21" s="94"/>
      <c r="MLB21" s="94"/>
      <c r="MLC21" s="94"/>
      <c r="MLD21" s="94"/>
      <c r="MLE21" s="94"/>
      <c r="MLF21" s="94"/>
      <c r="MLG21" s="94"/>
      <c r="MLH21" s="94"/>
      <c r="MLI21" s="94"/>
      <c r="MLJ21" s="94"/>
      <c r="MLK21" s="94"/>
      <c r="MLL21" s="94"/>
      <c r="MLM21" s="94"/>
      <c r="MLN21" s="94"/>
      <c r="MLO21" s="94"/>
      <c r="MLP21" s="94"/>
      <c r="MLQ21" s="94"/>
      <c r="MLR21" s="94"/>
      <c r="MLS21" s="94"/>
      <c r="MLT21" s="94"/>
      <c r="MLU21" s="94"/>
      <c r="MLV21" s="94"/>
      <c r="MLW21" s="94"/>
      <c r="MLX21" s="94"/>
      <c r="MLY21" s="94"/>
      <c r="MLZ21" s="94"/>
      <c r="MMA21" s="94"/>
      <c r="MMB21" s="94"/>
      <c r="MMC21" s="94"/>
      <c r="MMD21" s="94"/>
      <c r="MME21" s="94"/>
      <c r="MMF21" s="94"/>
      <c r="MMG21" s="94"/>
      <c r="MMH21" s="94"/>
      <c r="MMI21" s="94"/>
      <c r="MMJ21" s="94"/>
      <c r="MMK21" s="94"/>
      <c r="MML21" s="94"/>
      <c r="MMM21" s="94"/>
      <c r="MMN21" s="94"/>
      <c r="MMO21" s="94"/>
      <c r="MMP21" s="94"/>
      <c r="MMQ21" s="94"/>
      <c r="MMR21" s="94"/>
      <c r="MMS21" s="94"/>
      <c r="MMT21" s="94"/>
      <c r="MMU21" s="94"/>
      <c r="MMV21" s="94"/>
      <c r="MMW21" s="94"/>
      <c r="MMX21" s="94"/>
      <c r="MMY21" s="94"/>
      <c r="MMZ21" s="94"/>
      <c r="MNA21" s="94"/>
      <c r="MNB21" s="94"/>
      <c r="MNC21" s="94"/>
      <c r="MND21" s="94"/>
      <c r="MNE21" s="94"/>
      <c r="MNF21" s="94"/>
      <c r="MNG21" s="94"/>
      <c r="MNH21" s="94"/>
      <c r="MNI21" s="94"/>
      <c r="MNJ21" s="94"/>
      <c r="MNK21" s="94"/>
      <c r="MNL21" s="94"/>
      <c r="MNM21" s="94"/>
      <c r="MNN21" s="94"/>
      <c r="MNO21" s="94"/>
      <c r="MNP21" s="94"/>
      <c r="MNQ21" s="94"/>
      <c r="MNR21" s="94"/>
      <c r="MNS21" s="94"/>
      <c r="MNT21" s="94"/>
      <c r="MNU21" s="94"/>
      <c r="MNV21" s="94"/>
      <c r="MNW21" s="94"/>
      <c r="MNX21" s="94"/>
      <c r="MNY21" s="94"/>
      <c r="MNZ21" s="94"/>
      <c r="MOA21" s="94"/>
      <c r="MOB21" s="94"/>
      <c r="MOC21" s="94"/>
      <c r="MOD21" s="94"/>
      <c r="MOE21" s="94"/>
      <c r="MOF21" s="94"/>
      <c r="MOG21" s="94"/>
      <c r="MOH21" s="94"/>
      <c r="MOI21" s="94"/>
      <c r="MOJ21" s="94"/>
      <c r="MOK21" s="94"/>
      <c r="MOL21" s="94"/>
      <c r="MOM21" s="94"/>
      <c r="MON21" s="94"/>
      <c r="MOO21" s="94"/>
      <c r="MOP21" s="94"/>
      <c r="MOQ21" s="94"/>
      <c r="MOR21" s="94"/>
      <c r="MOS21" s="94"/>
      <c r="MOT21" s="94"/>
      <c r="MOU21" s="94"/>
      <c r="MOV21" s="94"/>
      <c r="MOW21" s="94"/>
      <c r="MOX21" s="94"/>
      <c r="MOY21" s="94"/>
      <c r="MOZ21" s="94"/>
      <c r="MPA21" s="94"/>
      <c r="MPB21" s="94"/>
      <c r="MPC21" s="94"/>
      <c r="MPD21" s="94"/>
      <c r="MPE21" s="94"/>
      <c r="MPF21" s="94"/>
      <c r="MPG21" s="94"/>
      <c r="MPH21" s="94"/>
      <c r="MPI21" s="94"/>
      <c r="MPJ21" s="94"/>
      <c r="MPK21" s="94"/>
      <c r="MPL21" s="94"/>
      <c r="MPM21" s="94"/>
      <c r="MPN21" s="94"/>
      <c r="MPO21" s="94"/>
      <c r="MPP21" s="94"/>
      <c r="MPQ21" s="94"/>
      <c r="MPR21" s="94"/>
      <c r="MPS21" s="94"/>
      <c r="MPT21" s="94"/>
      <c r="MPU21" s="94"/>
      <c r="MPV21" s="94"/>
      <c r="MPW21" s="94"/>
      <c r="MPX21" s="94"/>
      <c r="MPY21" s="94"/>
      <c r="MPZ21" s="94"/>
      <c r="MQA21" s="94"/>
      <c r="MQB21" s="94"/>
      <c r="MQC21" s="94"/>
      <c r="MQD21" s="94"/>
      <c r="MQE21" s="94"/>
      <c r="MQF21" s="94"/>
      <c r="MQG21" s="94"/>
      <c r="MQH21" s="94"/>
      <c r="MQI21" s="94"/>
      <c r="MQJ21" s="94"/>
      <c r="MQK21" s="94"/>
      <c r="MQL21" s="94"/>
      <c r="MQM21" s="94"/>
      <c r="MQN21" s="94"/>
      <c r="MQO21" s="94"/>
      <c r="MQP21" s="94"/>
      <c r="MQQ21" s="94"/>
      <c r="MQR21" s="94"/>
      <c r="MQS21" s="94"/>
      <c r="MQT21" s="94"/>
      <c r="MQU21" s="94"/>
      <c r="MQV21" s="94"/>
      <c r="MQW21" s="94"/>
      <c r="MQX21" s="94"/>
      <c r="MQY21" s="94"/>
      <c r="MQZ21" s="94"/>
      <c r="MRA21" s="94"/>
      <c r="MRB21" s="94"/>
      <c r="MRC21" s="94"/>
      <c r="MRD21" s="94"/>
      <c r="MRE21" s="94"/>
      <c r="MRF21" s="94"/>
      <c r="MRG21" s="94"/>
      <c r="MRH21" s="94"/>
      <c r="MRI21" s="94"/>
      <c r="MRJ21" s="94"/>
      <c r="MRK21" s="94"/>
      <c r="MRL21" s="94"/>
      <c r="MRM21" s="94"/>
      <c r="MRN21" s="94"/>
      <c r="MRO21" s="94"/>
      <c r="MRP21" s="94"/>
      <c r="MRQ21" s="94"/>
      <c r="MRR21" s="94"/>
      <c r="MRS21" s="94"/>
      <c r="MRT21" s="94"/>
      <c r="MRU21" s="94"/>
      <c r="MRV21" s="94"/>
      <c r="MRW21" s="94"/>
      <c r="MRX21" s="94"/>
      <c r="MRY21" s="94"/>
      <c r="MRZ21" s="94"/>
      <c r="MSA21" s="94"/>
      <c r="MSB21" s="94"/>
      <c r="MSC21" s="94"/>
      <c r="MSD21" s="94"/>
      <c r="MSE21" s="94"/>
      <c r="MSF21" s="94"/>
      <c r="MSG21" s="94"/>
      <c r="MSH21" s="94"/>
      <c r="MSI21" s="94"/>
      <c r="MSJ21" s="94"/>
      <c r="MSK21" s="94"/>
      <c r="MSL21" s="94"/>
      <c r="MSM21" s="94"/>
      <c r="MSN21" s="94"/>
      <c r="MSO21" s="94"/>
      <c r="MSP21" s="94"/>
      <c r="MSQ21" s="94"/>
      <c r="MSR21" s="94"/>
      <c r="MSS21" s="94"/>
      <c r="MST21" s="94"/>
      <c r="MSU21" s="94"/>
      <c r="MSV21" s="94"/>
      <c r="MSW21" s="94"/>
      <c r="MSX21" s="94"/>
      <c r="MSY21" s="94"/>
      <c r="MSZ21" s="94"/>
      <c r="MTA21" s="94"/>
      <c r="MTB21" s="94"/>
      <c r="MTC21" s="94"/>
      <c r="MTD21" s="94"/>
      <c r="MTE21" s="94"/>
      <c r="MTF21" s="94"/>
      <c r="MTG21" s="94"/>
      <c r="MTH21" s="94"/>
      <c r="MTI21" s="94"/>
      <c r="MTJ21" s="94"/>
      <c r="MTK21" s="94"/>
      <c r="MTL21" s="94"/>
      <c r="MTM21" s="94"/>
      <c r="MTN21" s="94"/>
      <c r="MTO21" s="94"/>
      <c r="MTP21" s="94"/>
      <c r="MTQ21" s="94"/>
      <c r="MTR21" s="94"/>
      <c r="MTS21" s="94"/>
      <c r="MTT21" s="94"/>
      <c r="MTU21" s="94"/>
      <c r="MTV21" s="94"/>
      <c r="MTW21" s="94"/>
      <c r="MTX21" s="94"/>
      <c r="MTY21" s="94"/>
      <c r="MTZ21" s="94"/>
      <c r="MUA21" s="94"/>
      <c r="MUB21" s="94"/>
      <c r="MUC21" s="94"/>
      <c r="MUD21" s="94"/>
      <c r="MUE21" s="94"/>
      <c r="MUF21" s="94"/>
      <c r="MUG21" s="94"/>
      <c r="MUH21" s="94"/>
      <c r="MUI21" s="94"/>
      <c r="MUJ21" s="94"/>
      <c r="MUK21" s="94"/>
      <c r="MUL21" s="94"/>
      <c r="MUM21" s="94"/>
      <c r="MUN21" s="94"/>
      <c r="MUO21" s="94"/>
      <c r="MUP21" s="94"/>
      <c r="MUQ21" s="94"/>
      <c r="MUR21" s="94"/>
      <c r="MUS21" s="94"/>
      <c r="MUT21" s="94"/>
      <c r="MUU21" s="94"/>
      <c r="MUV21" s="94"/>
      <c r="MUW21" s="94"/>
      <c r="MUX21" s="94"/>
      <c r="MUY21" s="94"/>
      <c r="MUZ21" s="94"/>
      <c r="MVA21" s="94"/>
      <c r="MVB21" s="94"/>
      <c r="MVC21" s="94"/>
      <c r="MVD21" s="94"/>
      <c r="MVE21" s="94"/>
      <c r="MVF21" s="94"/>
      <c r="MVG21" s="94"/>
      <c r="MVH21" s="94"/>
      <c r="MVI21" s="94"/>
      <c r="MVJ21" s="94"/>
      <c r="MVK21" s="94"/>
      <c r="MVL21" s="94"/>
      <c r="MVM21" s="94"/>
      <c r="MVN21" s="94"/>
      <c r="MVO21" s="94"/>
      <c r="MVP21" s="94"/>
      <c r="MVQ21" s="94"/>
      <c r="MVR21" s="94"/>
      <c r="MVS21" s="94"/>
      <c r="MVT21" s="94"/>
      <c r="MVU21" s="94"/>
      <c r="MVV21" s="94"/>
      <c r="MVW21" s="94"/>
      <c r="MVX21" s="94"/>
      <c r="MVY21" s="94"/>
      <c r="MVZ21" s="94"/>
      <c r="MWA21" s="94"/>
      <c r="MWB21" s="94"/>
      <c r="MWC21" s="94"/>
      <c r="MWD21" s="94"/>
      <c r="MWE21" s="94"/>
      <c r="MWF21" s="94"/>
      <c r="MWG21" s="94"/>
      <c r="MWH21" s="94"/>
      <c r="MWI21" s="94"/>
      <c r="MWJ21" s="94"/>
      <c r="MWK21" s="94"/>
      <c r="MWL21" s="94"/>
      <c r="MWM21" s="94"/>
      <c r="MWN21" s="94"/>
      <c r="MWO21" s="94"/>
      <c r="MWP21" s="94"/>
      <c r="MWQ21" s="94"/>
      <c r="MWR21" s="94"/>
      <c r="MWS21" s="94"/>
      <c r="MWT21" s="94"/>
      <c r="MWU21" s="94"/>
      <c r="MWV21" s="94"/>
      <c r="MWW21" s="94"/>
      <c r="MWX21" s="94"/>
      <c r="MWY21" s="94"/>
      <c r="MWZ21" s="94"/>
      <c r="MXA21" s="94"/>
      <c r="MXB21" s="94"/>
      <c r="MXC21" s="94"/>
      <c r="MXD21" s="94"/>
      <c r="MXE21" s="94"/>
      <c r="MXF21" s="94"/>
      <c r="MXG21" s="94"/>
      <c r="MXH21" s="94"/>
      <c r="MXI21" s="94"/>
      <c r="MXJ21" s="94"/>
      <c r="MXK21" s="94"/>
      <c r="MXL21" s="94"/>
      <c r="MXM21" s="94"/>
      <c r="MXN21" s="94"/>
      <c r="MXO21" s="94"/>
      <c r="MXP21" s="94"/>
      <c r="MXQ21" s="94"/>
      <c r="MXR21" s="94"/>
      <c r="MXS21" s="94"/>
      <c r="MXT21" s="94"/>
      <c r="MXU21" s="94"/>
      <c r="MXV21" s="94"/>
      <c r="MXW21" s="94"/>
      <c r="MXX21" s="94"/>
      <c r="MXY21" s="94"/>
      <c r="MXZ21" s="94"/>
      <c r="MYA21" s="94"/>
      <c r="MYB21" s="94"/>
      <c r="MYC21" s="94"/>
      <c r="MYD21" s="94"/>
      <c r="MYE21" s="94"/>
      <c r="MYF21" s="94"/>
      <c r="MYG21" s="94"/>
      <c r="MYH21" s="94"/>
      <c r="MYI21" s="94"/>
      <c r="MYJ21" s="94"/>
      <c r="MYK21" s="94"/>
      <c r="MYL21" s="94"/>
      <c r="MYM21" s="94"/>
      <c r="MYN21" s="94"/>
      <c r="MYO21" s="94"/>
      <c r="MYP21" s="94"/>
      <c r="MYQ21" s="94"/>
      <c r="MYR21" s="94"/>
      <c r="MYS21" s="94"/>
      <c r="MYT21" s="94"/>
      <c r="MYU21" s="94"/>
      <c r="MYV21" s="94"/>
      <c r="MYW21" s="94"/>
      <c r="MYX21" s="94"/>
      <c r="MYY21" s="94"/>
      <c r="MYZ21" s="94"/>
      <c r="MZA21" s="94"/>
      <c r="MZB21" s="94"/>
      <c r="MZC21" s="94"/>
      <c r="MZD21" s="94"/>
      <c r="MZE21" s="94"/>
      <c r="MZF21" s="94"/>
      <c r="MZG21" s="94"/>
      <c r="MZH21" s="94"/>
      <c r="MZI21" s="94"/>
      <c r="MZJ21" s="94"/>
      <c r="MZK21" s="94"/>
      <c r="MZL21" s="94"/>
      <c r="MZM21" s="94"/>
      <c r="MZN21" s="94"/>
      <c r="MZO21" s="94"/>
      <c r="MZP21" s="94"/>
      <c r="MZQ21" s="94"/>
      <c r="MZR21" s="94"/>
      <c r="MZS21" s="94"/>
      <c r="MZT21" s="94"/>
      <c r="MZU21" s="94"/>
      <c r="MZV21" s="94"/>
      <c r="MZW21" s="94"/>
      <c r="MZX21" s="94"/>
      <c r="MZY21" s="94"/>
      <c r="MZZ21" s="94"/>
      <c r="NAA21" s="94"/>
      <c r="NAB21" s="94"/>
      <c r="NAC21" s="94"/>
      <c r="NAD21" s="94"/>
      <c r="NAE21" s="94"/>
      <c r="NAF21" s="94"/>
      <c r="NAG21" s="94"/>
      <c r="NAH21" s="94"/>
      <c r="NAI21" s="94"/>
      <c r="NAJ21" s="94"/>
      <c r="NAK21" s="94"/>
      <c r="NAL21" s="94"/>
      <c r="NAM21" s="94"/>
      <c r="NAN21" s="94"/>
      <c r="NAO21" s="94"/>
      <c r="NAP21" s="94"/>
      <c r="NAQ21" s="94"/>
      <c r="NAR21" s="94"/>
      <c r="NAS21" s="94"/>
      <c r="NAT21" s="94"/>
      <c r="NAU21" s="94"/>
      <c r="NAV21" s="94"/>
      <c r="NAW21" s="94"/>
      <c r="NAX21" s="94"/>
      <c r="NAY21" s="94"/>
      <c r="NAZ21" s="94"/>
      <c r="NBA21" s="94"/>
      <c r="NBB21" s="94"/>
      <c r="NBC21" s="94"/>
      <c r="NBD21" s="94"/>
      <c r="NBE21" s="94"/>
      <c r="NBF21" s="94"/>
      <c r="NBG21" s="94"/>
      <c r="NBH21" s="94"/>
      <c r="NBI21" s="94"/>
      <c r="NBJ21" s="94"/>
      <c r="NBK21" s="94"/>
      <c r="NBL21" s="94"/>
      <c r="NBM21" s="94"/>
      <c r="NBN21" s="94"/>
      <c r="NBO21" s="94"/>
      <c r="NBP21" s="94"/>
      <c r="NBQ21" s="94"/>
      <c r="NBR21" s="94"/>
      <c r="NBS21" s="94"/>
      <c r="NBT21" s="94"/>
      <c r="NBU21" s="94"/>
      <c r="NBV21" s="94"/>
      <c r="NBW21" s="94"/>
      <c r="NBX21" s="94"/>
      <c r="NBY21" s="94"/>
      <c r="NBZ21" s="94"/>
      <c r="NCA21" s="94"/>
      <c r="NCB21" s="94"/>
      <c r="NCC21" s="94"/>
      <c r="NCD21" s="94"/>
      <c r="NCE21" s="94"/>
      <c r="NCF21" s="94"/>
      <c r="NCG21" s="94"/>
      <c r="NCH21" s="94"/>
      <c r="NCI21" s="94"/>
      <c r="NCJ21" s="94"/>
      <c r="NCK21" s="94"/>
      <c r="NCL21" s="94"/>
      <c r="NCM21" s="94"/>
      <c r="NCN21" s="94"/>
      <c r="NCO21" s="94"/>
      <c r="NCP21" s="94"/>
      <c r="NCQ21" s="94"/>
      <c r="NCR21" s="94"/>
      <c r="NCS21" s="94"/>
      <c r="NCT21" s="94"/>
      <c r="NCU21" s="94"/>
      <c r="NCV21" s="94"/>
      <c r="NCW21" s="94"/>
      <c r="NCX21" s="94"/>
      <c r="NCY21" s="94"/>
      <c r="NCZ21" s="94"/>
      <c r="NDA21" s="94"/>
      <c r="NDB21" s="94"/>
      <c r="NDC21" s="94"/>
      <c r="NDD21" s="94"/>
      <c r="NDE21" s="94"/>
      <c r="NDF21" s="94"/>
      <c r="NDG21" s="94"/>
      <c r="NDH21" s="94"/>
      <c r="NDI21" s="94"/>
      <c r="NDJ21" s="94"/>
      <c r="NDK21" s="94"/>
      <c r="NDL21" s="94"/>
      <c r="NDM21" s="94"/>
      <c r="NDN21" s="94"/>
      <c r="NDO21" s="94"/>
      <c r="NDP21" s="94"/>
      <c r="NDQ21" s="94"/>
      <c r="NDR21" s="94"/>
      <c r="NDS21" s="94"/>
      <c r="NDT21" s="94"/>
      <c r="NDU21" s="94"/>
      <c r="NDV21" s="94"/>
      <c r="NDW21" s="94"/>
      <c r="NDX21" s="94"/>
      <c r="NDY21" s="94"/>
      <c r="NDZ21" s="94"/>
      <c r="NEA21" s="94"/>
      <c r="NEB21" s="94"/>
      <c r="NEC21" s="94"/>
      <c r="NED21" s="94"/>
      <c r="NEE21" s="94"/>
      <c r="NEF21" s="94"/>
      <c r="NEG21" s="94"/>
      <c r="NEH21" s="94"/>
      <c r="NEI21" s="94"/>
      <c r="NEJ21" s="94"/>
      <c r="NEK21" s="94"/>
      <c r="NEL21" s="94"/>
      <c r="NEM21" s="94"/>
      <c r="NEN21" s="94"/>
      <c r="NEO21" s="94"/>
      <c r="NEP21" s="94"/>
      <c r="NEQ21" s="94"/>
      <c r="NER21" s="94"/>
      <c r="NES21" s="94"/>
      <c r="NET21" s="94"/>
      <c r="NEU21" s="94"/>
      <c r="NEV21" s="94"/>
      <c r="NEW21" s="94"/>
      <c r="NEX21" s="94"/>
      <c r="NEY21" s="94"/>
      <c r="NEZ21" s="94"/>
      <c r="NFA21" s="94"/>
      <c r="NFB21" s="94"/>
      <c r="NFC21" s="94"/>
      <c r="NFD21" s="94"/>
      <c r="NFE21" s="94"/>
      <c r="NFF21" s="94"/>
      <c r="NFG21" s="94"/>
      <c r="NFH21" s="94"/>
      <c r="NFI21" s="94"/>
      <c r="NFJ21" s="94"/>
      <c r="NFK21" s="94"/>
      <c r="NFL21" s="94"/>
      <c r="NFM21" s="94"/>
      <c r="NFN21" s="94"/>
      <c r="NFO21" s="94"/>
      <c r="NFP21" s="94"/>
      <c r="NFQ21" s="94"/>
      <c r="NFR21" s="94"/>
      <c r="NFS21" s="94"/>
      <c r="NFT21" s="94"/>
      <c r="NFU21" s="94"/>
      <c r="NFV21" s="94"/>
      <c r="NFW21" s="94"/>
      <c r="NFX21" s="94"/>
      <c r="NFY21" s="94"/>
      <c r="NFZ21" s="94"/>
      <c r="NGA21" s="94"/>
      <c r="NGB21" s="94"/>
      <c r="NGC21" s="94"/>
      <c r="NGD21" s="94"/>
      <c r="NGE21" s="94"/>
      <c r="NGF21" s="94"/>
      <c r="NGG21" s="94"/>
      <c r="NGH21" s="94"/>
      <c r="NGI21" s="94"/>
      <c r="NGJ21" s="94"/>
      <c r="NGK21" s="94"/>
      <c r="NGL21" s="94"/>
      <c r="NGM21" s="94"/>
      <c r="NGN21" s="94"/>
      <c r="NGO21" s="94"/>
      <c r="NGP21" s="94"/>
      <c r="NGQ21" s="94"/>
      <c r="NGR21" s="94"/>
      <c r="NGS21" s="94"/>
      <c r="NGT21" s="94"/>
      <c r="NGU21" s="94"/>
      <c r="NGV21" s="94"/>
      <c r="NGW21" s="94"/>
      <c r="NGX21" s="94"/>
      <c r="NGY21" s="94"/>
      <c r="NGZ21" s="94"/>
      <c r="NHA21" s="94"/>
      <c r="NHB21" s="94"/>
      <c r="NHC21" s="94"/>
      <c r="NHD21" s="94"/>
      <c r="NHE21" s="94"/>
      <c r="NHF21" s="94"/>
      <c r="NHG21" s="94"/>
      <c r="NHH21" s="94"/>
      <c r="NHI21" s="94"/>
      <c r="NHJ21" s="94"/>
      <c r="NHK21" s="94"/>
      <c r="NHL21" s="94"/>
      <c r="NHM21" s="94"/>
      <c r="NHN21" s="94"/>
      <c r="NHO21" s="94"/>
      <c r="NHP21" s="94"/>
      <c r="NHQ21" s="94"/>
      <c r="NHR21" s="94"/>
      <c r="NHS21" s="94"/>
      <c r="NHT21" s="94"/>
      <c r="NHU21" s="94"/>
      <c r="NHV21" s="94"/>
      <c r="NHW21" s="94"/>
      <c r="NHX21" s="94"/>
      <c r="NHY21" s="94"/>
      <c r="NHZ21" s="94"/>
      <c r="NIA21" s="94"/>
      <c r="NIB21" s="94"/>
      <c r="NIC21" s="94"/>
      <c r="NID21" s="94"/>
      <c r="NIE21" s="94"/>
      <c r="NIF21" s="94"/>
      <c r="NIG21" s="94"/>
      <c r="NIH21" s="94"/>
      <c r="NII21" s="94"/>
      <c r="NIJ21" s="94"/>
      <c r="NIK21" s="94"/>
      <c r="NIL21" s="94"/>
      <c r="NIM21" s="94"/>
      <c r="NIN21" s="94"/>
      <c r="NIO21" s="94"/>
      <c r="NIP21" s="94"/>
      <c r="NIQ21" s="94"/>
      <c r="NIR21" s="94"/>
      <c r="NIS21" s="94"/>
      <c r="NIT21" s="94"/>
      <c r="NIU21" s="94"/>
      <c r="NIV21" s="94"/>
      <c r="NIW21" s="94"/>
      <c r="NIX21" s="94"/>
      <c r="NIY21" s="94"/>
      <c r="NIZ21" s="94"/>
      <c r="NJA21" s="94"/>
      <c r="NJB21" s="94"/>
      <c r="NJC21" s="94"/>
      <c r="NJD21" s="94"/>
      <c r="NJE21" s="94"/>
      <c r="NJF21" s="94"/>
      <c r="NJG21" s="94"/>
      <c r="NJH21" s="94"/>
      <c r="NJI21" s="94"/>
      <c r="NJJ21" s="94"/>
      <c r="NJK21" s="94"/>
      <c r="NJL21" s="94"/>
      <c r="NJM21" s="94"/>
      <c r="NJN21" s="94"/>
      <c r="NJO21" s="94"/>
      <c r="NJP21" s="94"/>
      <c r="NJQ21" s="94"/>
      <c r="NJR21" s="94"/>
      <c r="NJS21" s="94"/>
      <c r="NJT21" s="94"/>
      <c r="NJU21" s="94"/>
      <c r="NJV21" s="94"/>
      <c r="NJW21" s="94"/>
      <c r="NJX21" s="94"/>
      <c r="NJY21" s="94"/>
      <c r="NJZ21" s="94"/>
      <c r="NKA21" s="94"/>
      <c r="NKB21" s="94"/>
      <c r="NKC21" s="94"/>
      <c r="NKD21" s="94"/>
      <c r="NKE21" s="94"/>
      <c r="NKF21" s="94"/>
      <c r="NKG21" s="94"/>
      <c r="NKH21" s="94"/>
      <c r="NKI21" s="94"/>
      <c r="NKJ21" s="94"/>
      <c r="NKK21" s="94"/>
      <c r="NKL21" s="94"/>
      <c r="NKM21" s="94"/>
      <c r="NKN21" s="94"/>
      <c r="NKO21" s="94"/>
      <c r="NKP21" s="94"/>
      <c r="NKQ21" s="94"/>
      <c r="NKR21" s="94"/>
      <c r="NKS21" s="94"/>
      <c r="NKT21" s="94"/>
      <c r="NKU21" s="94"/>
      <c r="NKV21" s="94"/>
      <c r="NKW21" s="94"/>
      <c r="NKX21" s="94"/>
      <c r="NKY21" s="94"/>
      <c r="NKZ21" s="94"/>
      <c r="NLA21" s="94"/>
      <c r="NLB21" s="94"/>
      <c r="NLC21" s="94"/>
      <c r="NLD21" s="94"/>
      <c r="NLE21" s="94"/>
      <c r="NLF21" s="94"/>
      <c r="NLG21" s="94"/>
      <c r="NLH21" s="94"/>
      <c r="NLI21" s="94"/>
      <c r="NLJ21" s="94"/>
      <c r="NLK21" s="94"/>
      <c r="NLL21" s="94"/>
      <c r="NLM21" s="94"/>
      <c r="NLN21" s="94"/>
      <c r="NLO21" s="94"/>
      <c r="NLP21" s="94"/>
      <c r="NLQ21" s="94"/>
      <c r="NLR21" s="94"/>
      <c r="NLS21" s="94"/>
      <c r="NLT21" s="94"/>
      <c r="NLU21" s="94"/>
      <c r="NLV21" s="94"/>
      <c r="NLW21" s="94"/>
      <c r="NLX21" s="94"/>
      <c r="NLY21" s="94"/>
      <c r="NLZ21" s="94"/>
      <c r="NMA21" s="94"/>
      <c r="NMB21" s="94"/>
      <c r="NMC21" s="94"/>
      <c r="NMD21" s="94"/>
      <c r="NME21" s="94"/>
      <c r="NMF21" s="94"/>
      <c r="NMG21" s="94"/>
      <c r="NMH21" s="94"/>
      <c r="NMI21" s="94"/>
      <c r="NMJ21" s="94"/>
      <c r="NMK21" s="94"/>
      <c r="NML21" s="94"/>
      <c r="NMM21" s="94"/>
      <c r="NMN21" s="94"/>
      <c r="NMO21" s="94"/>
      <c r="NMP21" s="94"/>
      <c r="NMQ21" s="94"/>
      <c r="NMR21" s="94"/>
      <c r="NMS21" s="94"/>
      <c r="NMT21" s="94"/>
      <c r="NMU21" s="94"/>
      <c r="NMV21" s="94"/>
      <c r="NMW21" s="94"/>
      <c r="NMX21" s="94"/>
      <c r="NMY21" s="94"/>
      <c r="NMZ21" s="94"/>
      <c r="NNA21" s="94"/>
      <c r="NNB21" s="94"/>
      <c r="NNC21" s="94"/>
      <c r="NND21" s="94"/>
      <c r="NNE21" s="94"/>
      <c r="NNF21" s="94"/>
      <c r="NNG21" s="94"/>
      <c r="NNH21" s="94"/>
      <c r="NNI21" s="94"/>
      <c r="NNJ21" s="94"/>
      <c r="NNK21" s="94"/>
      <c r="NNL21" s="94"/>
      <c r="NNM21" s="94"/>
      <c r="NNN21" s="94"/>
      <c r="NNO21" s="94"/>
      <c r="NNP21" s="94"/>
      <c r="NNQ21" s="94"/>
      <c r="NNR21" s="94"/>
      <c r="NNS21" s="94"/>
      <c r="NNT21" s="94"/>
      <c r="NNU21" s="94"/>
      <c r="NNV21" s="94"/>
      <c r="NNW21" s="94"/>
      <c r="NNX21" s="94"/>
      <c r="NNY21" s="94"/>
      <c r="NNZ21" s="94"/>
      <c r="NOA21" s="94"/>
      <c r="NOB21" s="94"/>
      <c r="NOC21" s="94"/>
      <c r="NOD21" s="94"/>
      <c r="NOE21" s="94"/>
      <c r="NOF21" s="94"/>
      <c r="NOG21" s="94"/>
      <c r="NOH21" s="94"/>
      <c r="NOI21" s="94"/>
      <c r="NOJ21" s="94"/>
      <c r="NOK21" s="94"/>
      <c r="NOL21" s="94"/>
      <c r="NOM21" s="94"/>
      <c r="NON21" s="94"/>
      <c r="NOO21" s="94"/>
      <c r="NOP21" s="94"/>
      <c r="NOQ21" s="94"/>
      <c r="NOR21" s="94"/>
      <c r="NOS21" s="94"/>
      <c r="NOT21" s="94"/>
      <c r="NOU21" s="94"/>
      <c r="NOV21" s="94"/>
      <c r="NOW21" s="94"/>
      <c r="NOX21" s="94"/>
      <c r="NOY21" s="94"/>
      <c r="NOZ21" s="94"/>
      <c r="NPA21" s="94"/>
      <c r="NPB21" s="94"/>
      <c r="NPC21" s="94"/>
      <c r="NPD21" s="94"/>
      <c r="NPE21" s="94"/>
      <c r="NPF21" s="94"/>
      <c r="NPG21" s="94"/>
      <c r="NPH21" s="94"/>
      <c r="NPI21" s="94"/>
      <c r="NPJ21" s="94"/>
      <c r="NPK21" s="94"/>
      <c r="NPL21" s="94"/>
      <c r="NPM21" s="94"/>
      <c r="NPN21" s="94"/>
      <c r="NPO21" s="94"/>
      <c r="NPP21" s="94"/>
      <c r="NPQ21" s="94"/>
      <c r="NPR21" s="94"/>
      <c r="NPS21" s="94"/>
      <c r="NPT21" s="94"/>
      <c r="NPU21" s="94"/>
      <c r="NPV21" s="94"/>
      <c r="NPW21" s="94"/>
      <c r="NPX21" s="94"/>
      <c r="NPY21" s="94"/>
      <c r="NPZ21" s="94"/>
      <c r="NQA21" s="94"/>
      <c r="NQB21" s="94"/>
      <c r="NQC21" s="94"/>
      <c r="NQD21" s="94"/>
      <c r="NQE21" s="94"/>
      <c r="NQF21" s="94"/>
      <c r="NQG21" s="94"/>
      <c r="NQH21" s="94"/>
      <c r="NQI21" s="94"/>
      <c r="NQJ21" s="94"/>
      <c r="NQK21" s="94"/>
      <c r="NQL21" s="94"/>
      <c r="NQM21" s="94"/>
      <c r="NQN21" s="94"/>
      <c r="NQO21" s="94"/>
      <c r="NQP21" s="94"/>
      <c r="NQQ21" s="94"/>
      <c r="NQR21" s="94"/>
      <c r="NQS21" s="94"/>
      <c r="NQT21" s="94"/>
      <c r="NQU21" s="94"/>
      <c r="NQV21" s="94"/>
      <c r="NQW21" s="94"/>
      <c r="NQX21" s="94"/>
      <c r="NQY21" s="94"/>
      <c r="NQZ21" s="94"/>
      <c r="NRA21" s="94"/>
      <c r="NRB21" s="94"/>
      <c r="NRC21" s="94"/>
      <c r="NRD21" s="94"/>
      <c r="NRE21" s="94"/>
      <c r="NRF21" s="94"/>
      <c r="NRG21" s="94"/>
      <c r="NRH21" s="94"/>
      <c r="NRI21" s="94"/>
      <c r="NRJ21" s="94"/>
      <c r="NRK21" s="94"/>
      <c r="NRL21" s="94"/>
      <c r="NRM21" s="94"/>
      <c r="NRN21" s="94"/>
      <c r="NRO21" s="94"/>
      <c r="NRP21" s="94"/>
      <c r="NRQ21" s="94"/>
      <c r="NRR21" s="94"/>
      <c r="NRS21" s="94"/>
      <c r="NRT21" s="94"/>
      <c r="NRU21" s="94"/>
      <c r="NRV21" s="94"/>
      <c r="NRW21" s="94"/>
      <c r="NRX21" s="94"/>
      <c r="NRY21" s="94"/>
      <c r="NRZ21" s="94"/>
      <c r="NSA21" s="94"/>
      <c r="NSB21" s="94"/>
      <c r="NSC21" s="94"/>
      <c r="NSD21" s="94"/>
      <c r="NSE21" s="94"/>
      <c r="NSF21" s="94"/>
      <c r="NSG21" s="94"/>
      <c r="NSH21" s="94"/>
      <c r="NSI21" s="94"/>
      <c r="NSJ21" s="94"/>
      <c r="NSK21" s="94"/>
      <c r="NSL21" s="94"/>
      <c r="NSM21" s="94"/>
      <c r="NSN21" s="94"/>
      <c r="NSO21" s="94"/>
      <c r="NSP21" s="94"/>
      <c r="NSQ21" s="94"/>
      <c r="NSR21" s="94"/>
      <c r="NSS21" s="94"/>
      <c r="NST21" s="94"/>
      <c r="NSU21" s="94"/>
      <c r="NSV21" s="94"/>
      <c r="NSW21" s="94"/>
      <c r="NSX21" s="94"/>
      <c r="NSY21" s="94"/>
      <c r="NSZ21" s="94"/>
      <c r="NTA21" s="94"/>
      <c r="NTB21" s="94"/>
      <c r="NTC21" s="94"/>
      <c r="NTD21" s="94"/>
      <c r="NTE21" s="94"/>
      <c r="NTF21" s="94"/>
      <c r="NTG21" s="94"/>
      <c r="NTH21" s="94"/>
      <c r="NTI21" s="94"/>
      <c r="NTJ21" s="94"/>
      <c r="NTK21" s="94"/>
      <c r="NTL21" s="94"/>
      <c r="NTM21" s="94"/>
      <c r="NTN21" s="94"/>
      <c r="NTO21" s="94"/>
      <c r="NTP21" s="94"/>
      <c r="NTQ21" s="94"/>
      <c r="NTR21" s="94"/>
      <c r="NTS21" s="94"/>
      <c r="NTT21" s="94"/>
      <c r="NTU21" s="94"/>
      <c r="NTV21" s="94"/>
      <c r="NTW21" s="94"/>
      <c r="NTX21" s="94"/>
      <c r="NTY21" s="94"/>
      <c r="NTZ21" s="94"/>
      <c r="NUA21" s="94"/>
      <c r="NUB21" s="94"/>
      <c r="NUC21" s="94"/>
      <c r="NUD21" s="94"/>
      <c r="NUE21" s="94"/>
      <c r="NUF21" s="94"/>
      <c r="NUG21" s="94"/>
      <c r="NUH21" s="94"/>
      <c r="NUI21" s="94"/>
      <c r="NUJ21" s="94"/>
      <c r="NUK21" s="94"/>
      <c r="NUL21" s="94"/>
      <c r="NUM21" s="94"/>
      <c r="NUN21" s="94"/>
      <c r="NUO21" s="94"/>
      <c r="NUP21" s="94"/>
      <c r="NUQ21" s="94"/>
      <c r="NUR21" s="94"/>
      <c r="NUS21" s="94"/>
      <c r="NUT21" s="94"/>
      <c r="NUU21" s="94"/>
      <c r="NUV21" s="94"/>
      <c r="NUW21" s="94"/>
      <c r="NUX21" s="94"/>
      <c r="NUY21" s="94"/>
      <c r="NUZ21" s="94"/>
      <c r="NVA21" s="94"/>
      <c r="NVB21" s="94"/>
      <c r="NVC21" s="94"/>
      <c r="NVD21" s="94"/>
      <c r="NVE21" s="94"/>
      <c r="NVF21" s="94"/>
      <c r="NVG21" s="94"/>
      <c r="NVH21" s="94"/>
      <c r="NVI21" s="94"/>
      <c r="NVJ21" s="94"/>
      <c r="NVK21" s="94"/>
      <c r="NVL21" s="94"/>
      <c r="NVM21" s="94"/>
      <c r="NVN21" s="94"/>
      <c r="NVO21" s="94"/>
      <c r="NVP21" s="94"/>
      <c r="NVQ21" s="94"/>
      <c r="NVR21" s="94"/>
      <c r="NVS21" s="94"/>
      <c r="NVT21" s="94"/>
      <c r="NVU21" s="94"/>
      <c r="NVV21" s="94"/>
      <c r="NVW21" s="94"/>
      <c r="NVX21" s="94"/>
      <c r="NVY21" s="94"/>
      <c r="NVZ21" s="94"/>
      <c r="NWA21" s="94"/>
      <c r="NWB21" s="94"/>
      <c r="NWC21" s="94"/>
      <c r="NWD21" s="94"/>
      <c r="NWE21" s="94"/>
      <c r="NWF21" s="94"/>
      <c r="NWG21" s="94"/>
      <c r="NWH21" s="94"/>
      <c r="NWI21" s="94"/>
      <c r="NWJ21" s="94"/>
      <c r="NWK21" s="94"/>
      <c r="NWL21" s="94"/>
      <c r="NWM21" s="94"/>
      <c r="NWN21" s="94"/>
      <c r="NWO21" s="94"/>
      <c r="NWP21" s="94"/>
      <c r="NWQ21" s="94"/>
      <c r="NWR21" s="94"/>
      <c r="NWS21" s="94"/>
      <c r="NWT21" s="94"/>
      <c r="NWU21" s="94"/>
      <c r="NWV21" s="94"/>
      <c r="NWW21" s="94"/>
      <c r="NWX21" s="94"/>
      <c r="NWY21" s="94"/>
      <c r="NWZ21" s="94"/>
      <c r="NXA21" s="94"/>
      <c r="NXB21" s="94"/>
      <c r="NXC21" s="94"/>
      <c r="NXD21" s="94"/>
      <c r="NXE21" s="94"/>
      <c r="NXF21" s="94"/>
      <c r="NXG21" s="94"/>
      <c r="NXH21" s="94"/>
      <c r="NXI21" s="94"/>
      <c r="NXJ21" s="94"/>
      <c r="NXK21" s="94"/>
      <c r="NXL21" s="94"/>
      <c r="NXM21" s="94"/>
      <c r="NXN21" s="94"/>
      <c r="NXO21" s="94"/>
      <c r="NXP21" s="94"/>
      <c r="NXQ21" s="94"/>
      <c r="NXR21" s="94"/>
      <c r="NXS21" s="94"/>
      <c r="NXT21" s="94"/>
      <c r="NXU21" s="94"/>
      <c r="NXV21" s="94"/>
      <c r="NXW21" s="94"/>
      <c r="NXX21" s="94"/>
      <c r="NXY21" s="94"/>
      <c r="NXZ21" s="94"/>
      <c r="NYA21" s="94"/>
      <c r="NYB21" s="94"/>
      <c r="NYC21" s="94"/>
      <c r="NYD21" s="94"/>
      <c r="NYE21" s="94"/>
      <c r="NYF21" s="94"/>
      <c r="NYG21" s="94"/>
      <c r="NYH21" s="94"/>
      <c r="NYI21" s="94"/>
      <c r="NYJ21" s="94"/>
      <c r="NYK21" s="94"/>
      <c r="NYL21" s="94"/>
      <c r="NYM21" s="94"/>
      <c r="NYN21" s="94"/>
      <c r="NYO21" s="94"/>
      <c r="NYP21" s="94"/>
      <c r="NYQ21" s="94"/>
      <c r="NYR21" s="94"/>
      <c r="NYS21" s="94"/>
      <c r="NYT21" s="94"/>
      <c r="NYU21" s="94"/>
      <c r="NYV21" s="94"/>
      <c r="NYW21" s="94"/>
      <c r="NYX21" s="94"/>
      <c r="NYY21" s="94"/>
      <c r="NYZ21" s="94"/>
      <c r="NZA21" s="94"/>
      <c r="NZB21" s="94"/>
      <c r="NZC21" s="94"/>
      <c r="NZD21" s="94"/>
      <c r="NZE21" s="94"/>
      <c r="NZF21" s="94"/>
      <c r="NZG21" s="94"/>
      <c r="NZH21" s="94"/>
      <c r="NZI21" s="94"/>
      <c r="NZJ21" s="94"/>
      <c r="NZK21" s="94"/>
      <c r="NZL21" s="94"/>
      <c r="NZM21" s="94"/>
      <c r="NZN21" s="94"/>
      <c r="NZO21" s="94"/>
      <c r="NZP21" s="94"/>
      <c r="NZQ21" s="94"/>
      <c r="NZR21" s="94"/>
      <c r="NZS21" s="94"/>
      <c r="NZT21" s="94"/>
      <c r="NZU21" s="94"/>
      <c r="NZV21" s="94"/>
      <c r="NZW21" s="94"/>
      <c r="NZX21" s="94"/>
      <c r="NZY21" s="94"/>
      <c r="NZZ21" s="94"/>
      <c r="OAA21" s="94"/>
      <c r="OAB21" s="94"/>
      <c r="OAC21" s="94"/>
      <c r="OAD21" s="94"/>
      <c r="OAE21" s="94"/>
      <c r="OAF21" s="94"/>
      <c r="OAG21" s="94"/>
      <c r="OAH21" s="94"/>
      <c r="OAI21" s="94"/>
      <c r="OAJ21" s="94"/>
      <c r="OAK21" s="94"/>
      <c r="OAL21" s="94"/>
      <c r="OAM21" s="94"/>
      <c r="OAN21" s="94"/>
      <c r="OAO21" s="94"/>
      <c r="OAP21" s="94"/>
      <c r="OAQ21" s="94"/>
      <c r="OAR21" s="94"/>
      <c r="OAS21" s="94"/>
      <c r="OAT21" s="94"/>
      <c r="OAU21" s="94"/>
      <c r="OAV21" s="94"/>
      <c r="OAW21" s="94"/>
      <c r="OAX21" s="94"/>
      <c r="OAY21" s="94"/>
      <c r="OAZ21" s="94"/>
      <c r="OBA21" s="94"/>
      <c r="OBB21" s="94"/>
      <c r="OBC21" s="94"/>
      <c r="OBD21" s="94"/>
      <c r="OBE21" s="94"/>
      <c r="OBF21" s="94"/>
      <c r="OBG21" s="94"/>
      <c r="OBH21" s="94"/>
      <c r="OBI21" s="94"/>
      <c r="OBJ21" s="94"/>
      <c r="OBK21" s="94"/>
      <c r="OBL21" s="94"/>
      <c r="OBM21" s="94"/>
      <c r="OBN21" s="94"/>
      <c r="OBO21" s="94"/>
      <c r="OBP21" s="94"/>
      <c r="OBQ21" s="94"/>
      <c r="OBR21" s="94"/>
      <c r="OBS21" s="94"/>
      <c r="OBT21" s="94"/>
      <c r="OBU21" s="94"/>
      <c r="OBV21" s="94"/>
      <c r="OBW21" s="94"/>
      <c r="OBX21" s="94"/>
      <c r="OBY21" s="94"/>
      <c r="OBZ21" s="94"/>
      <c r="OCA21" s="94"/>
      <c r="OCB21" s="94"/>
      <c r="OCC21" s="94"/>
      <c r="OCD21" s="94"/>
      <c r="OCE21" s="94"/>
      <c r="OCF21" s="94"/>
      <c r="OCG21" s="94"/>
      <c r="OCH21" s="94"/>
      <c r="OCI21" s="94"/>
      <c r="OCJ21" s="94"/>
      <c r="OCK21" s="94"/>
      <c r="OCL21" s="94"/>
      <c r="OCM21" s="94"/>
      <c r="OCN21" s="94"/>
      <c r="OCO21" s="94"/>
      <c r="OCP21" s="94"/>
      <c r="OCQ21" s="94"/>
      <c r="OCR21" s="94"/>
      <c r="OCS21" s="94"/>
      <c r="OCT21" s="94"/>
      <c r="OCU21" s="94"/>
      <c r="OCV21" s="94"/>
      <c r="OCW21" s="94"/>
      <c r="OCX21" s="94"/>
      <c r="OCY21" s="94"/>
      <c r="OCZ21" s="94"/>
      <c r="ODA21" s="94"/>
      <c r="ODB21" s="94"/>
      <c r="ODC21" s="94"/>
      <c r="ODD21" s="94"/>
      <c r="ODE21" s="94"/>
      <c r="ODF21" s="94"/>
      <c r="ODG21" s="94"/>
      <c r="ODH21" s="94"/>
      <c r="ODI21" s="94"/>
      <c r="ODJ21" s="94"/>
      <c r="ODK21" s="94"/>
      <c r="ODL21" s="94"/>
      <c r="ODM21" s="94"/>
      <c r="ODN21" s="94"/>
      <c r="ODO21" s="94"/>
      <c r="ODP21" s="94"/>
      <c r="ODQ21" s="94"/>
      <c r="ODR21" s="94"/>
      <c r="ODS21" s="94"/>
      <c r="ODT21" s="94"/>
      <c r="ODU21" s="94"/>
      <c r="ODV21" s="94"/>
      <c r="ODW21" s="94"/>
      <c r="ODX21" s="94"/>
      <c r="ODY21" s="94"/>
      <c r="ODZ21" s="94"/>
      <c r="OEA21" s="94"/>
      <c r="OEB21" s="94"/>
      <c r="OEC21" s="94"/>
      <c r="OED21" s="94"/>
      <c r="OEE21" s="94"/>
      <c r="OEF21" s="94"/>
      <c r="OEG21" s="94"/>
      <c r="OEH21" s="94"/>
      <c r="OEI21" s="94"/>
      <c r="OEJ21" s="94"/>
      <c r="OEK21" s="94"/>
      <c r="OEL21" s="94"/>
      <c r="OEM21" s="94"/>
      <c r="OEN21" s="94"/>
      <c r="OEO21" s="94"/>
      <c r="OEP21" s="94"/>
      <c r="OEQ21" s="94"/>
      <c r="OER21" s="94"/>
      <c r="OES21" s="94"/>
      <c r="OET21" s="94"/>
      <c r="OEU21" s="94"/>
      <c r="OEV21" s="94"/>
      <c r="OEW21" s="94"/>
      <c r="OEX21" s="94"/>
      <c r="OEY21" s="94"/>
      <c r="OEZ21" s="94"/>
      <c r="OFA21" s="94"/>
      <c r="OFB21" s="94"/>
      <c r="OFC21" s="94"/>
      <c r="OFD21" s="94"/>
      <c r="OFE21" s="94"/>
      <c r="OFF21" s="94"/>
      <c r="OFG21" s="94"/>
      <c r="OFH21" s="94"/>
      <c r="OFI21" s="94"/>
      <c r="OFJ21" s="94"/>
      <c r="OFK21" s="94"/>
      <c r="OFL21" s="94"/>
      <c r="OFM21" s="94"/>
      <c r="OFN21" s="94"/>
      <c r="OFO21" s="94"/>
      <c r="OFP21" s="94"/>
      <c r="OFQ21" s="94"/>
      <c r="OFR21" s="94"/>
      <c r="OFS21" s="94"/>
      <c r="OFT21" s="94"/>
      <c r="OFU21" s="94"/>
      <c r="OFV21" s="94"/>
      <c r="OFW21" s="94"/>
      <c r="OFX21" s="94"/>
      <c r="OFY21" s="94"/>
      <c r="OFZ21" s="94"/>
      <c r="OGA21" s="94"/>
      <c r="OGB21" s="94"/>
      <c r="OGC21" s="94"/>
      <c r="OGD21" s="94"/>
      <c r="OGE21" s="94"/>
      <c r="OGF21" s="94"/>
      <c r="OGG21" s="94"/>
      <c r="OGH21" s="94"/>
      <c r="OGI21" s="94"/>
      <c r="OGJ21" s="94"/>
      <c r="OGK21" s="94"/>
      <c r="OGL21" s="94"/>
      <c r="OGM21" s="94"/>
      <c r="OGN21" s="94"/>
      <c r="OGO21" s="94"/>
      <c r="OGP21" s="94"/>
      <c r="OGQ21" s="94"/>
      <c r="OGR21" s="94"/>
      <c r="OGS21" s="94"/>
      <c r="OGT21" s="94"/>
      <c r="OGU21" s="94"/>
      <c r="OGV21" s="94"/>
      <c r="OGW21" s="94"/>
      <c r="OGX21" s="94"/>
      <c r="OGY21" s="94"/>
      <c r="OGZ21" s="94"/>
      <c r="OHA21" s="94"/>
      <c r="OHB21" s="94"/>
      <c r="OHC21" s="94"/>
      <c r="OHD21" s="94"/>
      <c r="OHE21" s="94"/>
      <c r="OHF21" s="94"/>
      <c r="OHG21" s="94"/>
      <c r="OHH21" s="94"/>
      <c r="OHI21" s="94"/>
      <c r="OHJ21" s="94"/>
      <c r="OHK21" s="94"/>
      <c r="OHL21" s="94"/>
      <c r="OHM21" s="94"/>
      <c r="OHN21" s="94"/>
      <c r="OHO21" s="94"/>
      <c r="OHP21" s="94"/>
      <c r="OHQ21" s="94"/>
      <c r="OHR21" s="94"/>
      <c r="OHS21" s="94"/>
      <c r="OHT21" s="94"/>
      <c r="OHU21" s="94"/>
      <c r="OHV21" s="94"/>
      <c r="OHW21" s="94"/>
      <c r="OHX21" s="94"/>
      <c r="OHY21" s="94"/>
      <c r="OHZ21" s="94"/>
      <c r="OIA21" s="94"/>
      <c r="OIB21" s="94"/>
      <c r="OIC21" s="94"/>
      <c r="OID21" s="94"/>
      <c r="OIE21" s="94"/>
      <c r="OIF21" s="94"/>
      <c r="OIG21" s="94"/>
      <c r="OIH21" s="94"/>
      <c r="OII21" s="94"/>
      <c r="OIJ21" s="94"/>
      <c r="OIK21" s="94"/>
      <c r="OIL21" s="94"/>
      <c r="OIM21" s="94"/>
      <c r="OIN21" s="94"/>
      <c r="OIO21" s="94"/>
      <c r="OIP21" s="94"/>
      <c r="OIQ21" s="94"/>
      <c r="OIR21" s="94"/>
      <c r="OIS21" s="94"/>
      <c r="OIT21" s="94"/>
      <c r="OIU21" s="94"/>
      <c r="OIV21" s="94"/>
      <c r="OIW21" s="94"/>
      <c r="OIX21" s="94"/>
      <c r="OIY21" s="94"/>
      <c r="OIZ21" s="94"/>
      <c r="OJA21" s="94"/>
      <c r="OJB21" s="94"/>
      <c r="OJC21" s="94"/>
      <c r="OJD21" s="94"/>
      <c r="OJE21" s="94"/>
      <c r="OJF21" s="94"/>
      <c r="OJG21" s="94"/>
      <c r="OJH21" s="94"/>
      <c r="OJI21" s="94"/>
      <c r="OJJ21" s="94"/>
      <c r="OJK21" s="94"/>
      <c r="OJL21" s="94"/>
      <c r="OJM21" s="94"/>
      <c r="OJN21" s="94"/>
      <c r="OJO21" s="94"/>
      <c r="OJP21" s="94"/>
      <c r="OJQ21" s="94"/>
      <c r="OJR21" s="94"/>
      <c r="OJS21" s="94"/>
      <c r="OJT21" s="94"/>
      <c r="OJU21" s="94"/>
      <c r="OJV21" s="94"/>
      <c r="OJW21" s="94"/>
      <c r="OJX21" s="94"/>
      <c r="OJY21" s="94"/>
      <c r="OJZ21" s="94"/>
      <c r="OKA21" s="94"/>
      <c r="OKB21" s="94"/>
      <c r="OKC21" s="94"/>
      <c r="OKD21" s="94"/>
      <c r="OKE21" s="94"/>
      <c r="OKF21" s="94"/>
      <c r="OKG21" s="94"/>
      <c r="OKH21" s="94"/>
      <c r="OKI21" s="94"/>
      <c r="OKJ21" s="94"/>
      <c r="OKK21" s="94"/>
      <c r="OKL21" s="94"/>
      <c r="OKM21" s="94"/>
      <c r="OKN21" s="94"/>
      <c r="OKO21" s="94"/>
      <c r="OKP21" s="94"/>
      <c r="OKQ21" s="94"/>
      <c r="OKR21" s="94"/>
      <c r="OKS21" s="94"/>
      <c r="OKT21" s="94"/>
      <c r="OKU21" s="94"/>
      <c r="OKV21" s="94"/>
      <c r="OKW21" s="94"/>
      <c r="OKX21" s="94"/>
      <c r="OKY21" s="94"/>
      <c r="OKZ21" s="94"/>
      <c r="OLA21" s="94"/>
      <c r="OLB21" s="94"/>
      <c r="OLC21" s="94"/>
      <c r="OLD21" s="94"/>
      <c r="OLE21" s="94"/>
      <c r="OLF21" s="94"/>
      <c r="OLG21" s="94"/>
      <c r="OLH21" s="94"/>
      <c r="OLI21" s="94"/>
      <c r="OLJ21" s="94"/>
      <c r="OLK21" s="94"/>
      <c r="OLL21" s="94"/>
      <c r="OLM21" s="94"/>
      <c r="OLN21" s="94"/>
      <c r="OLO21" s="94"/>
      <c r="OLP21" s="94"/>
      <c r="OLQ21" s="94"/>
      <c r="OLR21" s="94"/>
      <c r="OLS21" s="94"/>
      <c r="OLT21" s="94"/>
      <c r="OLU21" s="94"/>
      <c r="OLV21" s="94"/>
      <c r="OLW21" s="94"/>
      <c r="OLX21" s="94"/>
      <c r="OLY21" s="94"/>
      <c r="OLZ21" s="94"/>
      <c r="OMA21" s="94"/>
      <c r="OMB21" s="94"/>
      <c r="OMC21" s="94"/>
      <c r="OMD21" s="94"/>
      <c r="OME21" s="94"/>
      <c r="OMF21" s="94"/>
      <c r="OMG21" s="94"/>
      <c r="OMH21" s="94"/>
      <c r="OMI21" s="94"/>
      <c r="OMJ21" s="94"/>
      <c r="OMK21" s="94"/>
      <c r="OML21" s="94"/>
      <c r="OMM21" s="94"/>
      <c r="OMN21" s="94"/>
      <c r="OMO21" s="94"/>
      <c r="OMP21" s="94"/>
      <c r="OMQ21" s="94"/>
      <c r="OMR21" s="94"/>
      <c r="OMS21" s="94"/>
      <c r="OMT21" s="94"/>
      <c r="OMU21" s="94"/>
      <c r="OMV21" s="94"/>
      <c r="OMW21" s="94"/>
      <c r="OMX21" s="94"/>
      <c r="OMY21" s="94"/>
      <c r="OMZ21" s="94"/>
      <c r="ONA21" s="94"/>
      <c r="ONB21" s="94"/>
      <c r="ONC21" s="94"/>
      <c r="OND21" s="94"/>
      <c r="ONE21" s="94"/>
      <c r="ONF21" s="94"/>
      <c r="ONG21" s="94"/>
      <c r="ONH21" s="94"/>
      <c r="ONI21" s="94"/>
      <c r="ONJ21" s="94"/>
      <c r="ONK21" s="94"/>
      <c r="ONL21" s="94"/>
      <c r="ONM21" s="94"/>
      <c r="ONN21" s="94"/>
      <c r="ONO21" s="94"/>
      <c r="ONP21" s="94"/>
      <c r="ONQ21" s="94"/>
      <c r="ONR21" s="94"/>
      <c r="ONS21" s="94"/>
      <c r="ONT21" s="94"/>
      <c r="ONU21" s="94"/>
      <c r="ONV21" s="94"/>
      <c r="ONW21" s="94"/>
      <c r="ONX21" s="94"/>
      <c r="ONY21" s="94"/>
      <c r="ONZ21" s="94"/>
      <c r="OOA21" s="94"/>
      <c r="OOB21" s="94"/>
      <c r="OOC21" s="94"/>
      <c r="OOD21" s="94"/>
      <c r="OOE21" s="94"/>
      <c r="OOF21" s="94"/>
      <c r="OOG21" s="94"/>
      <c r="OOH21" s="94"/>
      <c r="OOI21" s="94"/>
      <c r="OOJ21" s="94"/>
      <c r="OOK21" s="94"/>
      <c r="OOL21" s="94"/>
      <c r="OOM21" s="94"/>
      <c r="OON21" s="94"/>
      <c r="OOO21" s="94"/>
      <c r="OOP21" s="94"/>
      <c r="OOQ21" s="94"/>
      <c r="OOR21" s="94"/>
      <c r="OOS21" s="94"/>
      <c r="OOT21" s="94"/>
      <c r="OOU21" s="94"/>
      <c r="OOV21" s="94"/>
      <c r="OOW21" s="94"/>
      <c r="OOX21" s="94"/>
      <c r="OOY21" s="94"/>
      <c r="OOZ21" s="94"/>
      <c r="OPA21" s="94"/>
      <c r="OPB21" s="94"/>
      <c r="OPC21" s="94"/>
      <c r="OPD21" s="94"/>
      <c r="OPE21" s="94"/>
      <c r="OPF21" s="94"/>
      <c r="OPG21" s="94"/>
      <c r="OPH21" s="94"/>
      <c r="OPI21" s="94"/>
      <c r="OPJ21" s="94"/>
      <c r="OPK21" s="94"/>
      <c r="OPL21" s="94"/>
      <c r="OPM21" s="94"/>
      <c r="OPN21" s="94"/>
      <c r="OPO21" s="94"/>
      <c r="OPP21" s="94"/>
      <c r="OPQ21" s="94"/>
      <c r="OPR21" s="94"/>
      <c r="OPS21" s="94"/>
      <c r="OPT21" s="94"/>
      <c r="OPU21" s="94"/>
      <c r="OPV21" s="94"/>
      <c r="OPW21" s="94"/>
      <c r="OPX21" s="94"/>
      <c r="OPY21" s="94"/>
      <c r="OPZ21" s="94"/>
      <c r="OQA21" s="94"/>
      <c r="OQB21" s="94"/>
      <c r="OQC21" s="94"/>
      <c r="OQD21" s="94"/>
      <c r="OQE21" s="94"/>
      <c r="OQF21" s="94"/>
      <c r="OQG21" s="94"/>
      <c r="OQH21" s="94"/>
      <c r="OQI21" s="94"/>
      <c r="OQJ21" s="94"/>
      <c r="OQK21" s="94"/>
      <c r="OQL21" s="94"/>
      <c r="OQM21" s="94"/>
      <c r="OQN21" s="94"/>
      <c r="OQO21" s="94"/>
      <c r="OQP21" s="94"/>
      <c r="OQQ21" s="94"/>
      <c r="OQR21" s="94"/>
      <c r="OQS21" s="94"/>
      <c r="OQT21" s="94"/>
      <c r="OQU21" s="94"/>
      <c r="OQV21" s="94"/>
      <c r="OQW21" s="94"/>
      <c r="OQX21" s="94"/>
      <c r="OQY21" s="94"/>
      <c r="OQZ21" s="94"/>
      <c r="ORA21" s="94"/>
      <c r="ORB21" s="94"/>
      <c r="ORC21" s="94"/>
      <c r="ORD21" s="94"/>
      <c r="ORE21" s="94"/>
      <c r="ORF21" s="94"/>
      <c r="ORG21" s="94"/>
      <c r="ORH21" s="94"/>
      <c r="ORI21" s="94"/>
      <c r="ORJ21" s="94"/>
      <c r="ORK21" s="94"/>
      <c r="ORL21" s="94"/>
      <c r="ORM21" s="94"/>
      <c r="ORN21" s="94"/>
      <c r="ORO21" s="94"/>
      <c r="ORP21" s="94"/>
      <c r="ORQ21" s="94"/>
      <c r="ORR21" s="94"/>
      <c r="ORS21" s="94"/>
      <c r="ORT21" s="94"/>
      <c r="ORU21" s="94"/>
      <c r="ORV21" s="94"/>
      <c r="ORW21" s="94"/>
      <c r="ORX21" s="94"/>
      <c r="ORY21" s="94"/>
      <c r="ORZ21" s="94"/>
      <c r="OSA21" s="94"/>
      <c r="OSB21" s="94"/>
      <c r="OSC21" s="94"/>
      <c r="OSD21" s="94"/>
      <c r="OSE21" s="94"/>
      <c r="OSF21" s="94"/>
      <c r="OSG21" s="94"/>
      <c r="OSH21" s="94"/>
      <c r="OSI21" s="94"/>
      <c r="OSJ21" s="94"/>
      <c r="OSK21" s="94"/>
      <c r="OSL21" s="94"/>
      <c r="OSM21" s="94"/>
      <c r="OSN21" s="94"/>
      <c r="OSO21" s="94"/>
      <c r="OSP21" s="94"/>
      <c r="OSQ21" s="94"/>
      <c r="OSR21" s="94"/>
      <c r="OSS21" s="94"/>
      <c r="OST21" s="94"/>
      <c r="OSU21" s="94"/>
      <c r="OSV21" s="94"/>
      <c r="OSW21" s="94"/>
      <c r="OSX21" s="94"/>
      <c r="OSY21" s="94"/>
      <c r="OSZ21" s="94"/>
      <c r="OTA21" s="94"/>
      <c r="OTB21" s="94"/>
      <c r="OTC21" s="94"/>
      <c r="OTD21" s="94"/>
      <c r="OTE21" s="94"/>
      <c r="OTF21" s="94"/>
      <c r="OTG21" s="94"/>
      <c r="OTH21" s="94"/>
      <c r="OTI21" s="94"/>
      <c r="OTJ21" s="94"/>
      <c r="OTK21" s="94"/>
      <c r="OTL21" s="94"/>
      <c r="OTM21" s="94"/>
      <c r="OTN21" s="94"/>
      <c r="OTO21" s="94"/>
      <c r="OTP21" s="94"/>
      <c r="OTQ21" s="94"/>
      <c r="OTR21" s="94"/>
      <c r="OTS21" s="94"/>
      <c r="OTT21" s="94"/>
      <c r="OTU21" s="94"/>
      <c r="OTV21" s="94"/>
      <c r="OTW21" s="94"/>
      <c r="OTX21" s="94"/>
      <c r="OTY21" s="94"/>
      <c r="OTZ21" s="94"/>
      <c r="OUA21" s="94"/>
      <c r="OUB21" s="94"/>
      <c r="OUC21" s="94"/>
      <c r="OUD21" s="94"/>
      <c r="OUE21" s="94"/>
      <c r="OUF21" s="94"/>
      <c r="OUG21" s="94"/>
      <c r="OUH21" s="94"/>
      <c r="OUI21" s="94"/>
      <c r="OUJ21" s="94"/>
      <c r="OUK21" s="94"/>
      <c r="OUL21" s="94"/>
      <c r="OUM21" s="94"/>
      <c r="OUN21" s="94"/>
      <c r="OUO21" s="94"/>
      <c r="OUP21" s="94"/>
      <c r="OUQ21" s="94"/>
      <c r="OUR21" s="94"/>
      <c r="OUS21" s="94"/>
      <c r="OUT21" s="94"/>
      <c r="OUU21" s="94"/>
      <c r="OUV21" s="94"/>
      <c r="OUW21" s="94"/>
      <c r="OUX21" s="94"/>
      <c r="OUY21" s="94"/>
      <c r="OUZ21" s="94"/>
      <c r="OVA21" s="94"/>
      <c r="OVB21" s="94"/>
      <c r="OVC21" s="94"/>
      <c r="OVD21" s="94"/>
      <c r="OVE21" s="94"/>
      <c r="OVF21" s="94"/>
      <c r="OVG21" s="94"/>
      <c r="OVH21" s="94"/>
      <c r="OVI21" s="94"/>
      <c r="OVJ21" s="94"/>
      <c r="OVK21" s="94"/>
      <c r="OVL21" s="94"/>
      <c r="OVM21" s="94"/>
      <c r="OVN21" s="94"/>
      <c r="OVO21" s="94"/>
      <c r="OVP21" s="94"/>
      <c r="OVQ21" s="94"/>
      <c r="OVR21" s="94"/>
      <c r="OVS21" s="94"/>
      <c r="OVT21" s="94"/>
      <c r="OVU21" s="94"/>
      <c r="OVV21" s="94"/>
      <c r="OVW21" s="94"/>
      <c r="OVX21" s="94"/>
      <c r="OVY21" s="94"/>
      <c r="OVZ21" s="94"/>
      <c r="OWA21" s="94"/>
      <c r="OWB21" s="94"/>
      <c r="OWC21" s="94"/>
      <c r="OWD21" s="94"/>
      <c r="OWE21" s="94"/>
      <c r="OWF21" s="94"/>
      <c r="OWG21" s="94"/>
      <c r="OWH21" s="94"/>
      <c r="OWI21" s="94"/>
      <c r="OWJ21" s="94"/>
      <c r="OWK21" s="94"/>
      <c r="OWL21" s="94"/>
      <c r="OWM21" s="94"/>
      <c r="OWN21" s="94"/>
      <c r="OWO21" s="94"/>
      <c r="OWP21" s="94"/>
      <c r="OWQ21" s="94"/>
      <c r="OWR21" s="94"/>
      <c r="OWS21" s="94"/>
      <c r="OWT21" s="94"/>
      <c r="OWU21" s="94"/>
      <c r="OWV21" s="94"/>
      <c r="OWW21" s="94"/>
      <c r="OWX21" s="94"/>
      <c r="OWY21" s="94"/>
      <c r="OWZ21" s="94"/>
      <c r="OXA21" s="94"/>
      <c r="OXB21" s="94"/>
      <c r="OXC21" s="94"/>
      <c r="OXD21" s="94"/>
      <c r="OXE21" s="94"/>
      <c r="OXF21" s="94"/>
      <c r="OXG21" s="94"/>
      <c r="OXH21" s="94"/>
      <c r="OXI21" s="94"/>
      <c r="OXJ21" s="94"/>
      <c r="OXK21" s="94"/>
      <c r="OXL21" s="94"/>
      <c r="OXM21" s="94"/>
      <c r="OXN21" s="94"/>
      <c r="OXO21" s="94"/>
      <c r="OXP21" s="94"/>
      <c r="OXQ21" s="94"/>
      <c r="OXR21" s="94"/>
      <c r="OXS21" s="94"/>
      <c r="OXT21" s="94"/>
      <c r="OXU21" s="94"/>
      <c r="OXV21" s="94"/>
      <c r="OXW21" s="94"/>
      <c r="OXX21" s="94"/>
      <c r="OXY21" s="94"/>
      <c r="OXZ21" s="94"/>
      <c r="OYA21" s="94"/>
      <c r="OYB21" s="94"/>
      <c r="OYC21" s="94"/>
      <c r="OYD21" s="94"/>
      <c r="OYE21" s="94"/>
      <c r="OYF21" s="94"/>
      <c r="OYG21" s="94"/>
      <c r="OYH21" s="94"/>
      <c r="OYI21" s="94"/>
      <c r="OYJ21" s="94"/>
      <c r="OYK21" s="94"/>
      <c r="OYL21" s="94"/>
      <c r="OYM21" s="94"/>
      <c r="OYN21" s="94"/>
      <c r="OYO21" s="94"/>
      <c r="OYP21" s="94"/>
      <c r="OYQ21" s="94"/>
      <c r="OYR21" s="94"/>
      <c r="OYS21" s="94"/>
      <c r="OYT21" s="94"/>
      <c r="OYU21" s="94"/>
      <c r="OYV21" s="94"/>
      <c r="OYW21" s="94"/>
      <c r="OYX21" s="94"/>
      <c r="OYY21" s="94"/>
      <c r="OYZ21" s="94"/>
      <c r="OZA21" s="94"/>
      <c r="OZB21" s="94"/>
      <c r="OZC21" s="94"/>
      <c r="OZD21" s="94"/>
      <c r="OZE21" s="94"/>
      <c r="OZF21" s="94"/>
      <c r="OZG21" s="94"/>
      <c r="OZH21" s="94"/>
      <c r="OZI21" s="94"/>
      <c r="OZJ21" s="94"/>
      <c r="OZK21" s="94"/>
      <c r="OZL21" s="94"/>
      <c r="OZM21" s="94"/>
      <c r="OZN21" s="94"/>
      <c r="OZO21" s="94"/>
      <c r="OZP21" s="94"/>
      <c r="OZQ21" s="94"/>
      <c r="OZR21" s="94"/>
      <c r="OZS21" s="94"/>
      <c r="OZT21" s="94"/>
      <c r="OZU21" s="94"/>
      <c r="OZV21" s="94"/>
      <c r="OZW21" s="94"/>
      <c r="OZX21" s="94"/>
      <c r="OZY21" s="94"/>
      <c r="OZZ21" s="94"/>
      <c r="PAA21" s="94"/>
      <c r="PAB21" s="94"/>
      <c r="PAC21" s="94"/>
      <c r="PAD21" s="94"/>
      <c r="PAE21" s="94"/>
      <c r="PAF21" s="94"/>
      <c r="PAG21" s="94"/>
      <c r="PAH21" s="94"/>
      <c r="PAI21" s="94"/>
      <c r="PAJ21" s="94"/>
      <c r="PAK21" s="94"/>
      <c r="PAL21" s="94"/>
      <c r="PAM21" s="94"/>
      <c r="PAN21" s="94"/>
      <c r="PAO21" s="94"/>
      <c r="PAP21" s="94"/>
      <c r="PAQ21" s="94"/>
      <c r="PAR21" s="94"/>
      <c r="PAS21" s="94"/>
      <c r="PAT21" s="94"/>
      <c r="PAU21" s="94"/>
      <c r="PAV21" s="94"/>
      <c r="PAW21" s="94"/>
      <c r="PAX21" s="94"/>
      <c r="PAY21" s="94"/>
      <c r="PAZ21" s="94"/>
      <c r="PBA21" s="94"/>
      <c r="PBB21" s="94"/>
      <c r="PBC21" s="94"/>
      <c r="PBD21" s="94"/>
      <c r="PBE21" s="94"/>
      <c r="PBF21" s="94"/>
      <c r="PBG21" s="94"/>
      <c r="PBH21" s="94"/>
      <c r="PBI21" s="94"/>
      <c r="PBJ21" s="94"/>
      <c r="PBK21" s="94"/>
      <c r="PBL21" s="94"/>
      <c r="PBM21" s="94"/>
      <c r="PBN21" s="94"/>
      <c r="PBO21" s="94"/>
      <c r="PBP21" s="94"/>
      <c r="PBQ21" s="94"/>
      <c r="PBR21" s="94"/>
      <c r="PBS21" s="94"/>
      <c r="PBT21" s="94"/>
      <c r="PBU21" s="94"/>
      <c r="PBV21" s="94"/>
      <c r="PBW21" s="94"/>
      <c r="PBX21" s="94"/>
      <c r="PBY21" s="94"/>
      <c r="PBZ21" s="94"/>
      <c r="PCA21" s="94"/>
      <c r="PCB21" s="94"/>
      <c r="PCC21" s="94"/>
      <c r="PCD21" s="94"/>
      <c r="PCE21" s="94"/>
      <c r="PCF21" s="94"/>
      <c r="PCG21" s="94"/>
      <c r="PCH21" s="94"/>
      <c r="PCI21" s="94"/>
      <c r="PCJ21" s="94"/>
      <c r="PCK21" s="94"/>
      <c r="PCL21" s="94"/>
      <c r="PCM21" s="94"/>
      <c r="PCN21" s="94"/>
      <c r="PCO21" s="94"/>
      <c r="PCP21" s="94"/>
      <c r="PCQ21" s="94"/>
      <c r="PCR21" s="94"/>
      <c r="PCS21" s="94"/>
      <c r="PCT21" s="94"/>
      <c r="PCU21" s="94"/>
      <c r="PCV21" s="94"/>
      <c r="PCW21" s="94"/>
      <c r="PCX21" s="94"/>
      <c r="PCY21" s="94"/>
      <c r="PCZ21" s="94"/>
      <c r="PDA21" s="94"/>
      <c r="PDB21" s="94"/>
      <c r="PDC21" s="94"/>
      <c r="PDD21" s="94"/>
      <c r="PDE21" s="94"/>
      <c r="PDF21" s="94"/>
      <c r="PDG21" s="94"/>
      <c r="PDH21" s="94"/>
      <c r="PDI21" s="94"/>
      <c r="PDJ21" s="94"/>
      <c r="PDK21" s="94"/>
      <c r="PDL21" s="94"/>
      <c r="PDM21" s="94"/>
      <c r="PDN21" s="94"/>
      <c r="PDO21" s="94"/>
      <c r="PDP21" s="94"/>
      <c r="PDQ21" s="94"/>
      <c r="PDR21" s="94"/>
      <c r="PDS21" s="94"/>
      <c r="PDT21" s="94"/>
      <c r="PDU21" s="94"/>
      <c r="PDV21" s="94"/>
      <c r="PDW21" s="94"/>
      <c r="PDX21" s="94"/>
      <c r="PDY21" s="94"/>
      <c r="PDZ21" s="94"/>
      <c r="PEA21" s="94"/>
      <c r="PEB21" s="94"/>
      <c r="PEC21" s="94"/>
      <c r="PED21" s="94"/>
      <c r="PEE21" s="94"/>
      <c r="PEF21" s="94"/>
      <c r="PEG21" s="94"/>
      <c r="PEH21" s="94"/>
      <c r="PEI21" s="94"/>
      <c r="PEJ21" s="94"/>
      <c r="PEK21" s="94"/>
      <c r="PEL21" s="94"/>
      <c r="PEM21" s="94"/>
      <c r="PEN21" s="94"/>
      <c r="PEO21" s="94"/>
      <c r="PEP21" s="94"/>
      <c r="PEQ21" s="94"/>
      <c r="PER21" s="94"/>
      <c r="PES21" s="94"/>
      <c r="PET21" s="94"/>
      <c r="PEU21" s="94"/>
      <c r="PEV21" s="94"/>
      <c r="PEW21" s="94"/>
      <c r="PEX21" s="94"/>
      <c r="PEY21" s="94"/>
      <c r="PEZ21" s="94"/>
      <c r="PFA21" s="94"/>
      <c r="PFB21" s="94"/>
      <c r="PFC21" s="94"/>
      <c r="PFD21" s="94"/>
      <c r="PFE21" s="94"/>
      <c r="PFF21" s="94"/>
      <c r="PFG21" s="94"/>
      <c r="PFH21" s="94"/>
      <c r="PFI21" s="94"/>
      <c r="PFJ21" s="94"/>
      <c r="PFK21" s="94"/>
      <c r="PFL21" s="94"/>
      <c r="PFM21" s="94"/>
      <c r="PFN21" s="94"/>
      <c r="PFO21" s="94"/>
      <c r="PFP21" s="94"/>
      <c r="PFQ21" s="94"/>
      <c r="PFR21" s="94"/>
      <c r="PFS21" s="94"/>
      <c r="PFT21" s="94"/>
      <c r="PFU21" s="94"/>
      <c r="PFV21" s="94"/>
      <c r="PFW21" s="94"/>
      <c r="PFX21" s="94"/>
      <c r="PFY21" s="94"/>
      <c r="PFZ21" s="94"/>
      <c r="PGA21" s="94"/>
      <c r="PGB21" s="94"/>
      <c r="PGC21" s="94"/>
      <c r="PGD21" s="94"/>
      <c r="PGE21" s="94"/>
      <c r="PGF21" s="94"/>
      <c r="PGG21" s="94"/>
      <c r="PGH21" s="94"/>
      <c r="PGI21" s="94"/>
      <c r="PGJ21" s="94"/>
      <c r="PGK21" s="94"/>
      <c r="PGL21" s="94"/>
      <c r="PGM21" s="94"/>
      <c r="PGN21" s="94"/>
      <c r="PGO21" s="94"/>
      <c r="PGP21" s="94"/>
      <c r="PGQ21" s="94"/>
      <c r="PGR21" s="94"/>
      <c r="PGS21" s="94"/>
      <c r="PGT21" s="94"/>
      <c r="PGU21" s="94"/>
      <c r="PGV21" s="94"/>
      <c r="PGW21" s="94"/>
      <c r="PGX21" s="94"/>
      <c r="PGY21" s="94"/>
      <c r="PGZ21" s="94"/>
      <c r="PHA21" s="94"/>
      <c r="PHB21" s="94"/>
      <c r="PHC21" s="94"/>
      <c r="PHD21" s="94"/>
      <c r="PHE21" s="94"/>
      <c r="PHF21" s="94"/>
      <c r="PHG21" s="94"/>
      <c r="PHH21" s="94"/>
      <c r="PHI21" s="94"/>
      <c r="PHJ21" s="94"/>
      <c r="PHK21" s="94"/>
      <c r="PHL21" s="94"/>
      <c r="PHM21" s="94"/>
      <c r="PHN21" s="94"/>
      <c r="PHO21" s="94"/>
      <c r="PHP21" s="94"/>
      <c r="PHQ21" s="94"/>
      <c r="PHR21" s="94"/>
      <c r="PHS21" s="94"/>
      <c r="PHT21" s="94"/>
      <c r="PHU21" s="94"/>
      <c r="PHV21" s="94"/>
      <c r="PHW21" s="94"/>
      <c r="PHX21" s="94"/>
      <c r="PHY21" s="94"/>
      <c r="PHZ21" s="94"/>
      <c r="PIA21" s="94"/>
      <c r="PIB21" s="94"/>
      <c r="PIC21" s="94"/>
      <c r="PID21" s="94"/>
      <c r="PIE21" s="94"/>
      <c r="PIF21" s="94"/>
      <c r="PIG21" s="94"/>
      <c r="PIH21" s="94"/>
      <c r="PII21" s="94"/>
      <c r="PIJ21" s="94"/>
      <c r="PIK21" s="94"/>
      <c r="PIL21" s="94"/>
      <c r="PIM21" s="94"/>
      <c r="PIN21" s="94"/>
      <c r="PIO21" s="94"/>
      <c r="PIP21" s="94"/>
      <c r="PIQ21" s="94"/>
      <c r="PIR21" s="94"/>
      <c r="PIS21" s="94"/>
      <c r="PIT21" s="94"/>
      <c r="PIU21" s="94"/>
      <c r="PIV21" s="94"/>
      <c r="PIW21" s="94"/>
      <c r="PIX21" s="94"/>
      <c r="PIY21" s="94"/>
      <c r="PIZ21" s="94"/>
      <c r="PJA21" s="94"/>
      <c r="PJB21" s="94"/>
      <c r="PJC21" s="94"/>
      <c r="PJD21" s="94"/>
      <c r="PJE21" s="94"/>
      <c r="PJF21" s="94"/>
      <c r="PJG21" s="94"/>
      <c r="PJH21" s="94"/>
      <c r="PJI21" s="94"/>
      <c r="PJJ21" s="94"/>
      <c r="PJK21" s="94"/>
      <c r="PJL21" s="94"/>
      <c r="PJM21" s="94"/>
      <c r="PJN21" s="94"/>
      <c r="PJO21" s="94"/>
      <c r="PJP21" s="94"/>
      <c r="PJQ21" s="94"/>
      <c r="PJR21" s="94"/>
      <c r="PJS21" s="94"/>
      <c r="PJT21" s="94"/>
      <c r="PJU21" s="94"/>
      <c r="PJV21" s="94"/>
      <c r="PJW21" s="94"/>
      <c r="PJX21" s="94"/>
      <c r="PJY21" s="94"/>
      <c r="PJZ21" s="94"/>
      <c r="PKA21" s="94"/>
      <c r="PKB21" s="94"/>
      <c r="PKC21" s="94"/>
      <c r="PKD21" s="94"/>
      <c r="PKE21" s="94"/>
      <c r="PKF21" s="94"/>
      <c r="PKG21" s="94"/>
      <c r="PKH21" s="94"/>
      <c r="PKI21" s="94"/>
      <c r="PKJ21" s="94"/>
      <c r="PKK21" s="94"/>
      <c r="PKL21" s="94"/>
      <c r="PKM21" s="94"/>
      <c r="PKN21" s="94"/>
      <c r="PKO21" s="94"/>
      <c r="PKP21" s="94"/>
      <c r="PKQ21" s="94"/>
      <c r="PKR21" s="94"/>
      <c r="PKS21" s="94"/>
      <c r="PKT21" s="94"/>
      <c r="PKU21" s="94"/>
      <c r="PKV21" s="94"/>
      <c r="PKW21" s="94"/>
      <c r="PKX21" s="94"/>
      <c r="PKY21" s="94"/>
      <c r="PKZ21" s="94"/>
      <c r="PLA21" s="94"/>
      <c r="PLB21" s="94"/>
      <c r="PLC21" s="94"/>
      <c r="PLD21" s="94"/>
      <c r="PLE21" s="94"/>
      <c r="PLF21" s="94"/>
      <c r="PLG21" s="94"/>
      <c r="PLH21" s="94"/>
      <c r="PLI21" s="94"/>
      <c r="PLJ21" s="94"/>
      <c r="PLK21" s="94"/>
      <c r="PLL21" s="94"/>
      <c r="PLM21" s="94"/>
      <c r="PLN21" s="94"/>
      <c r="PLO21" s="94"/>
      <c r="PLP21" s="94"/>
      <c r="PLQ21" s="94"/>
      <c r="PLR21" s="94"/>
      <c r="PLS21" s="94"/>
      <c r="PLT21" s="94"/>
      <c r="PLU21" s="94"/>
      <c r="PLV21" s="94"/>
      <c r="PLW21" s="94"/>
      <c r="PLX21" s="94"/>
      <c r="PLY21" s="94"/>
      <c r="PLZ21" s="94"/>
      <c r="PMA21" s="94"/>
      <c r="PMB21" s="94"/>
      <c r="PMC21" s="94"/>
      <c r="PMD21" s="94"/>
      <c r="PME21" s="94"/>
      <c r="PMF21" s="94"/>
      <c r="PMG21" s="94"/>
      <c r="PMH21" s="94"/>
      <c r="PMI21" s="94"/>
      <c r="PMJ21" s="94"/>
      <c r="PMK21" s="94"/>
      <c r="PML21" s="94"/>
      <c r="PMM21" s="94"/>
      <c r="PMN21" s="94"/>
      <c r="PMO21" s="94"/>
      <c r="PMP21" s="94"/>
      <c r="PMQ21" s="94"/>
      <c r="PMR21" s="94"/>
      <c r="PMS21" s="94"/>
      <c r="PMT21" s="94"/>
      <c r="PMU21" s="94"/>
      <c r="PMV21" s="94"/>
      <c r="PMW21" s="94"/>
      <c r="PMX21" s="94"/>
      <c r="PMY21" s="94"/>
      <c r="PMZ21" s="94"/>
      <c r="PNA21" s="94"/>
      <c r="PNB21" s="94"/>
      <c r="PNC21" s="94"/>
      <c r="PND21" s="94"/>
      <c r="PNE21" s="94"/>
      <c r="PNF21" s="94"/>
      <c r="PNG21" s="94"/>
      <c r="PNH21" s="94"/>
      <c r="PNI21" s="94"/>
      <c r="PNJ21" s="94"/>
      <c r="PNK21" s="94"/>
      <c r="PNL21" s="94"/>
      <c r="PNM21" s="94"/>
      <c r="PNN21" s="94"/>
      <c r="PNO21" s="94"/>
      <c r="PNP21" s="94"/>
      <c r="PNQ21" s="94"/>
      <c r="PNR21" s="94"/>
      <c r="PNS21" s="94"/>
      <c r="PNT21" s="94"/>
      <c r="PNU21" s="94"/>
      <c r="PNV21" s="94"/>
      <c r="PNW21" s="94"/>
      <c r="PNX21" s="94"/>
      <c r="PNY21" s="94"/>
      <c r="PNZ21" s="94"/>
      <c r="POA21" s="94"/>
      <c r="POB21" s="94"/>
      <c r="POC21" s="94"/>
      <c r="POD21" s="94"/>
      <c r="POE21" s="94"/>
      <c r="POF21" s="94"/>
      <c r="POG21" s="94"/>
      <c r="POH21" s="94"/>
      <c r="POI21" s="94"/>
      <c r="POJ21" s="94"/>
      <c r="POK21" s="94"/>
      <c r="POL21" s="94"/>
      <c r="POM21" s="94"/>
      <c r="PON21" s="94"/>
      <c r="POO21" s="94"/>
      <c r="POP21" s="94"/>
      <c r="POQ21" s="94"/>
      <c r="POR21" s="94"/>
      <c r="POS21" s="94"/>
      <c r="POT21" s="94"/>
      <c r="POU21" s="94"/>
      <c r="POV21" s="94"/>
      <c r="POW21" s="94"/>
      <c r="POX21" s="94"/>
      <c r="POY21" s="94"/>
      <c r="POZ21" s="94"/>
      <c r="PPA21" s="94"/>
      <c r="PPB21" s="94"/>
      <c r="PPC21" s="94"/>
      <c r="PPD21" s="94"/>
      <c r="PPE21" s="94"/>
      <c r="PPF21" s="94"/>
      <c r="PPG21" s="94"/>
      <c r="PPH21" s="94"/>
      <c r="PPI21" s="94"/>
      <c r="PPJ21" s="94"/>
      <c r="PPK21" s="94"/>
      <c r="PPL21" s="94"/>
      <c r="PPM21" s="94"/>
      <c r="PPN21" s="94"/>
      <c r="PPO21" s="94"/>
      <c r="PPP21" s="94"/>
      <c r="PPQ21" s="94"/>
      <c r="PPR21" s="94"/>
      <c r="PPS21" s="94"/>
      <c r="PPT21" s="94"/>
      <c r="PPU21" s="94"/>
      <c r="PPV21" s="94"/>
      <c r="PPW21" s="94"/>
      <c r="PPX21" s="94"/>
      <c r="PPY21" s="94"/>
      <c r="PPZ21" s="94"/>
      <c r="PQA21" s="94"/>
      <c r="PQB21" s="94"/>
      <c r="PQC21" s="94"/>
      <c r="PQD21" s="94"/>
      <c r="PQE21" s="94"/>
      <c r="PQF21" s="94"/>
      <c r="PQG21" s="94"/>
      <c r="PQH21" s="94"/>
      <c r="PQI21" s="94"/>
      <c r="PQJ21" s="94"/>
      <c r="PQK21" s="94"/>
      <c r="PQL21" s="94"/>
      <c r="PQM21" s="94"/>
      <c r="PQN21" s="94"/>
      <c r="PQO21" s="94"/>
      <c r="PQP21" s="94"/>
      <c r="PQQ21" s="94"/>
      <c r="PQR21" s="94"/>
      <c r="PQS21" s="94"/>
      <c r="PQT21" s="94"/>
      <c r="PQU21" s="94"/>
      <c r="PQV21" s="94"/>
      <c r="PQW21" s="94"/>
      <c r="PQX21" s="94"/>
      <c r="PQY21" s="94"/>
      <c r="PQZ21" s="94"/>
      <c r="PRA21" s="94"/>
      <c r="PRB21" s="94"/>
      <c r="PRC21" s="94"/>
      <c r="PRD21" s="94"/>
      <c r="PRE21" s="94"/>
      <c r="PRF21" s="94"/>
      <c r="PRG21" s="94"/>
      <c r="PRH21" s="94"/>
      <c r="PRI21" s="94"/>
      <c r="PRJ21" s="94"/>
      <c r="PRK21" s="94"/>
      <c r="PRL21" s="94"/>
      <c r="PRM21" s="94"/>
      <c r="PRN21" s="94"/>
      <c r="PRO21" s="94"/>
      <c r="PRP21" s="94"/>
      <c r="PRQ21" s="94"/>
      <c r="PRR21" s="94"/>
      <c r="PRS21" s="94"/>
      <c r="PRT21" s="94"/>
      <c r="PRU21" s="94"/>
      <c r="PRV21" s="94"/>
      <c r="PRW21" s="94"/>
      <c r="PRX21" s="94"/>
      <c r="PRY21" s="94"/>
      <c r="PRZ21" s="94"/>
      <c r="PSA21" s="94"/>
      <c r="PSB21" s="94"/>
      <c r="PSC21" s="94"/>
      <c r="PSD21" s="94"/>
      <c r="PSE21" s="94"/>
      <c r="PSF21" s="94"/>
      <c r="PSG21" s="94"/>
      <c r="PSH21" s="94"/>
      <c r="PSI21" s="94"/>
      <c r="PSJ21" s="94"/>
      <c r="PSK21" s="94"/>
      <c r="PSL21" s="94"/>
      <c r="PSM21" s="94"/>
      <c r="PSN21" s="94"/>
      <c r="PSO21" s="94"/>
      <c r="PSP21" s="94"/>
      <c r="PSQ21" s="94"/>
      <c r="PSR21" s="94"/>
      <c r="PSS21" s="94"/>
      <c r="PST21" s="94"/>
      <c r="PSU21" s="94"/>
      <c r="PSV21" s="94"/>
      <c r="PSW21" s="94"/>
      <c r="PSX21" s="94"/>
      <c r="PSY21" s="94"/>
      <c r="PSZ21" s="94"/>
      <c r="PTA21" s="94"/>
      <c r="PTB21" s="94"/>
      <c r="PTC21" s="94"/>
      <c r="PTD21" s="94"/>
      <c r="PTE21" s="94"/>
      <c r="PTF21" s="94"/>
      <c r="PTG21" s="94"/>
      <c r="PTH21" s="94"/>
      <c r="PTI21" s="94"/>
      <c r="PTJ21" s="94"/>
      <c r="PTK21" s="94"/>
      <c r="PTL21" s="94"/>
      <c r="PTM21" s="94"/>
      <c r="PTN21" s="94"/>
      <c r="PTO21" s="94"/>
      <c r="PTP21" s="94"/>
      <c r="PTQ21" s="94"/>
      <c r="PTR21" s="94"/>
      <c r="PTS21" s="94"/>
      <c r="PTT21" s="94"/>
      <c r="PTU21" s="94"/>
      <c r="PTV21" s="94"/>
      <c r="PTW21" s="94"/>
      <c r="PTX21" s="94"/>
      <c r="PTY21" s="94"/>
      <c r="PTZ21" s="94"/>
      <c r="PUA21" s="94"/>
      <c r="PUB21" s="94"/>
      <c r="PUC21" s="94"/>
      <c r="PUD21" s="94"/>
      <c r="PUE21" s="94"/>
      <c r="PUF21" s="94"/>
      <c r="PUG21" s="94"/>
      <c r="PUH21" s="94"/>
      <c r="PUI21" s="94"/>
      <c r="PUJ21" s="94"/>
      <c r="PUK21" s="94"/>
      <c r="PUL21" s="94"/>
      <c r="PUM21" s="94"/>
      <c r="PUN21" s="94"/>
      <c r="PUO21" s="94"/>
      <c r="PUP21" s="94"/>
      <c r="PUQ21" s="94"/>
      <c r="PUR21" s="94"/>
      <c r="PUS21" s="94"/>
      <c r="PUT21" s="94"/>
      <c r="PUU21" s="94"/>
      <c r="PUV21" s="94"/>
      <c r="PUW21" s="94"/>
      <c r="PUX21" s="94"/>
      <c r="PUY21" s="94"/>
      <c r="PUZ21" s="94"/>
      <c r="PVA21" s="94"/>
      <c r="PVB21" s="94"/>
      <c r="PVC21" s="94"/>
      <c r="PVD21" s="94"/>
      <c r="PVE21" s="94"/>
      <c r="PVF21" s="94"/>
      <c r="PVG21" s="94"/>
      <c r="PVH21" s="94"/>
      <c r="PVI21" s="94"/>
      <c r="PVJ21" s="94"/>
      <c r="PVK21" s="94"/>
      <c r="PVL21" s="94"/>
      <c r="PVM21" s="94"/>
      <c r="PVN21" s="94"/>
      <c r="PVO21" s="94"/>
      <c r="PVP21" s="94"/>
      <c r="PVQ21" s="94"/>
      <c r="PVR21" s="94"/>
      <c r="PVS21" s="94"/>
      <c r="PVT21" s="94"/>
      <c r="PVU21" s="94"/>
      <c r="PVV21" s="94"/>
      <c r="PVW21" s="94"/>
      <c r="PVX21" s="94"/>
      <c r="PVY21" s="94"/>
      <c r="PVZ21" s="94"/>
      <c r="PWA21" s="94"/>
      <c r="PWB21" s="94"/>
      <c r="PWC21" s="94"/>
      <c r="PWD21" s="94"/>
      <c r="PWE21" s="94"/>
      <c r="PWF21" s="94"/>
      <c r="PWG21" s="94"/>
      <c r="PWH21" s="94"/>
      <c r="PWI21" s="94"/>
      <c r="PWJ21" s="94"/>
      <c r="PWK21" s="94"/>
      <c r="PWL21" s="94"/>
      <c r="PWM21" s="94"/>
      <c r="PWN21" s="94"/>
      <c r="PWO21" s="94"/>
      <c r="PWP21" s="94"/>
      <c r="PWQ21" s="94"/>
      <c r="PWR21" s="94"/>
      <c r="PWS21" s="94"/>
      <c r="PWT21" s="94"/>
      <c r="PWU21" s="94"/>
      <c r="PWV21" s="94"/>
      <c r="PWW21" s="94"/>
      <c r="PWX21" s="94"/>
      <c r="PWY21" s="94"/>
      <c r="PWZ21" s="94"/>
      <c r="PXA21" s="94"/>
      <c r="PXB21" s="94"/>
      <c r="PXC21" s="94"/>
      <c r="PXD21" s="94"/>
      <c r="PXE21" s="94"/>
      <c r="PXF21" s="94"/>
      <c r="PXG21" s="94"/>
      <c r="PXH21" s="94"/>
      <c r="PXI21" s="94"/>
      <c r="PXJ21" s="94"/>
      <c r="PXK21" s="94"/>
      <c r="PXL21" s="94"/>
      <c r="PXM21" s="94"/>
      <c r="PXN21" s="94"/>
      <c r="PXO21" s="94"/>
      <c r="PXP21" s="94"/>
      <c r="PXQ21" s="94"/>
      <c r="PXR21" s="94"/>
      <c r="PXS21" s="94"/>
      <c r="PXT21" s="94"/>
      <c r="PXU21" s="94"/>
      <c r="PXV21" s="94"/>
      <c r="PXW21" s="94"/>
      <c r="PXX21" s="94"/>
      <c r="PXY21" s="94"/>
      <c r="PXZ21" s="94"/>
      <c r="PYA21" s="94"/>
      <c r="PYB21" s="94"/>
      <c r="PYC21" s="94"/>
      <c r="PYD21" s="94"/>
      <c r="PYE21" s="94"/>
      <c r="PYF21" s="94"/>
      <c r="PYG21" s="94"/>
      <c r="PYH21" s="94"/>
      <c r="PYI21" s="94"/>
      <c r="PYJ21" s="94"/>
      <c r="PYK21" s="94"/>
      <c r="PYL21" s="94"/>
      <c r="PYM21" s="94"/>
      <c r="PYN21" s="94"/>
      <c r="PYO21" s="94"/>
      <c r="PYP21" s="94"/>
      <c r="PYQ21" s="94"/>
      <c r="PYR21" s="94"/>
      <c r="PYS21" s="94"/>
      <c r="PYT21" s="94"/>
      <c r="PYU21" s="94"/>
      <c r="PYV21" s="94"/>
      <c r="PYW21" s="94"/>
      <c r="PYX21" s="94"/>
      <c r="PYY21" s="94"/>
      <c r="PYZ21" s="94"/>
      <c r="PZA21" s="94"/>
      <c r="PZB21" s="94"/>
      <c r="PZC21" s="94"/>
      <c r="PZD21" s="94"/>
      <c r="PZE21" s="94"/>
      <c r="PZF21" s="94"/>
      <c r="PZG21" s="94"/>
      <c r="PZH21" s="94"/>
      <c r="PZI21" s="94"/>
      <c r="PZJ21" s="94"/>
      <c r="PZK21" s="94"/>
      <c r="PZL21" s="94"/>
      <c r="PZM21" s="94"/>
      <c r="PZN21" s="94"/>
      <c r="PZO21" s="94"/>
      <c r="PZP21" s="94"/>
      <c r="PZQ21" s="94"/>
      <c r="PZR21" s="94"/>
      <c r="PZS21" s="94"/>
      <c r="PZT21" s="94"/>
      <c r="PZU21" s="94"/>
      <c r="PZV21" s="94"/>
      <c r="PZW21" s="94"/>
      <c r="PZX21" s="94"/>
      <c r="PZY21" s="94"/>
      <c r="PZZ21" s="94"/>
      <c r="QAA21" s="94"/>
      <c r="QAB21" s="94"/>
      <c r="QAC21" s="94"/>
      <c r="QAD21" s="94"/>
      <c r="QAE21" s="94"/>
      <c r="QAF21" s="94"/>
      <c r="QAG21" s="94"/>
      <c r="QAH21" s="94"/>
      <c r="QAI21" s="94"/>
      <c r="QAJ21" s="94"/>
      <c r="QAK21" s="94"/>
      <c r="QAL21" s="94"/>
      <c r="QAM21" s="94"/>
      <c r="QAN21" s="94"/>
      <c r="QAO21" s="94"/>
      <c r="QAP21" s="94"/>
      <c r="QAQ21" s="94"/>
      <c r="QAR21" s="94"/>
      <c r="QAS21" s="94"/>
      <c r="QAT21" s="94"/>
      <c r="QAU21" s="94"/>
      <c r="QAV21" s="94"/>
      <c r="QAW21" s="94"/>
      <c r="QAX21" s="94"/>
      <c r="QAY21" s="94"/>
      <c r="QAZ21" s="94"/>
      <c r="QBA21" s="94"/>
      <c r="QBB21" s="94"/>
      <c r="QBC21" s="94"/>
      <c r="QBD21" s="94"/>
      <c r="QBE21" s="94"/>
      <c r="QBF21" s="94"/>
      <c r="QBG21" s="94"/>
      <c r="QBH21" s="94"/>
      <c r="QBI21" s="94"/>
      <c r="QBJ21" s="94"/>
      <c r="QBK21" s="94"/>
      <c r="QBL21" s="94"/>
      <c r="QBM21" s="94"/>
      <c r="QBN21" s="94"/>
      <c r="QBO21" s="94"/>
      <c r="QBP21" s="94"/>
      <c r="QBQ21" s="94"/>
      <c r="QBR21" s="94"/>
      <c r="QBS21" s="94"/>
      <c r="QBT21" s="94"/>
      <c r="QBU21" s="94"/>
      <c r="QBV21" s="94"/>
      <c r="QBW21" s="94"/>
      <c r="QBX21" s="94"/>
      <c r="QBY21" s="94"/>
      <c r="QBZ21" s="94"/>
      <c r="QCA21" s="94"/>
      <c r="QCB21" s="94"/>
      <c r="QCC21" s="94"/>
      <c r="QCD21" s="94"/>
      <c r="QCE21" s="94"/>
      <c r="QCF21" s="94"/>
      <c r="QCG21" s="94"/>
      <c r="QCH21" s="94"/>
      <c r="QCI21" s="94"/>
      <c r="QCJ21" s="94"/>
      <c r="QCK21" s="94"/>
      <c r="QCL21" s="94"/>
      <c r="QCM21" s="94"/>
      <c r="QCN21" s="94"/>
      <c r="QCO21" s="94"/>
      <c r="QCP21" s="94"/>
      <c r="QCQ21" s="94"/>
      <c r="QCR21" s="94"/>
      <c r="QCS21" s="94"/>
      <c r="QCT21" s="94"/>
      <c r="QCU21" s="94"/>
      <c r="QCV21" s="94"/>
      <c r="QCW21" s="94"/>
      <c r="QCX21" s="94"/>
      <c r="QCY21" s="94"/>
      <c r="QCZ21" s="94"/>
      <c r="QDA21" s="94"/>
      <c r="QDB21" s="94"/>
      <c r="QDC21" s="94"/>
      <c r="QDD21" s="94"/>
      <c r="QDE21" s="94"/>
      <c r="QDF21" s="94"/>
      <c r="QDG21" s="94"/>
      <c r="QDH21" s="94"/>
      <c r="QDI21" s="94"/>
      <c r="QDJ21" s="94"/>
      <c r="QDK21" s="94"/>
      <c r="QDL21" s="94"/>
      <c r="QDM21" s="94"/>
      <c r="QDN21" s="94"/>
      <c r="QDO21" s="94"/>
      <c r="QDP21" s="94"/>
      <c r="QDQ21" s="94"/>
      <c r="QDR21" s="94"/>
      <c r="QDS21" s="94"/>
      <c r="QDT21" s="94"/>
      <c r="QDU21" s="94"/>
      <c r="QDV21" s="94"/>
      <c r="QDW21" s="94"/>
      <c r="QDX21" s="94"/>
      <c r="QDY21" s="94"/>
      <c r="QDZ21" s="94"/>
      <c r="QEA21" s="94"/>
      <c r="QEB21" s="94"/>
      <c r="QEC21" s="94"/>
      <c r="QED21" s="94"/>
      <c r="QEE21" s="94"/>
      <c r="QEF21" s="94"/>
      <c r="QEG21" s="94"/>
      <c r="QEH21" s="94"/>
      <c r="QEI21" s="94"/>
      <c r="QEJ21" s="94"/>
      <c r="QEK21" s="94"/>
      <c r="QEL21" s="94"/>
      <c r="QEM21" s="94"/>
      <c r="QEN21" s="94"/>
      <c r="QEO21" s="94"/>
      <c r="QEP21" s="94"/>
      <c r="QEQ21" s="94"/>
      <c r="QER21" s="94"/>
      <c r="QES21" s="94"/>
      <c r="QET21" s="94"/>
      <c r="QEU21" s="94"/>
      <c r="QEV21" s="94"/>
      <c r="QEW21" s="94"/>
      <c r="QEX21" s="94"/>
      <c r="QEY21" s="94"/>
      <c r="QEZ21" s="94"/>
      <c r="QFA21" s="94"/>
      <c r="QFB21" s="94"/>
      <c r="QFC21" s="94"/>
      <c r="QFD21" s="94"/>
      <c r="QFE21" s="94"/>
      <c r="QFF21" s="94"/>
      <c r="QFG21" s="94"/>
      <c r="QFH21" s="94"/>
      <c r="QFI21" s="94"/>
      <c r="QFJ21" s="94"/>
      <c r="QFK21" s="94"/>
      <c r="QFL21" s="94"/>
      <c r="QFM21" s="94"/>
      <c r="QFN21" s="94"/>
      <c r="QFO21" s="94"/>
      <c r="QFP21" s="94"/>
      <c r="QFQ21" s="94"/>
      <c r="QFR21" s="94"/>
      <c r="QFS21" s="94"/>
      <c r="QFT21" s="94"/>
      <c r="QFU21" s="94"/>
      <c r="QFV21" s="94"/>
      <c r="QFW21" s="94"/>
      <c r="QFX21" s="94"/>
      <c r="QFY21" s="94"/>
      <c r="QFZ21" s="94"/>
      <c r="QGA21" s="94"/>
      <c r="QGB21" s="94"/>
      <c r="QGC21" s="94"/>
      <c r="QGD21" s="94"/>
      <c r="QGE21" s="94"/>
      <c r="QGF21" s="94"/>
      <c r="QGG21" s="94"/>
      <c r="QGH21" s="94"/>
      <c r="QGI21" s="94"/>
      <c r="QGJ21" s="94"/>
      <c r="QGK21" s="94"/>
      <c r="QGL21" s="94"/>
      <c r="QGM21" s="94"/>
      <c r="QGN21" s="94"/>
      <c r="QGO21" s="94"/>
      <c r="QGP21" s="94"/>
      <c r="QGQ21" s="94"/>
      <c r="QGR21" s="94"/>
      <c r="QGS21" s="94"/>
      <c r="QGT21" s="94"/>
      <c r="QGU21" s="94"/>
      <c r="QGV21" s="94"/>
      <c r="QGW21" s="94"/>
      <c r="QGX21" s="94"/>
      <c r="QGY21" s="94"/>
      <c r="QGZ21" s="94"/>
      <c r="QHA21" s="94"/>
      <c r="QHB21" s="94"/>
      <c r="QHC21" s="94"/>
      <c r="QHD21" s="94"/>
      <c r="QHE21" s="94"/>
      <c r="QHF21" s="94"/>
      <c r="QHG21" s="94"/>
      <c r="QHH21" s="94"/>
      <c r="QHI21" s="94"/>
      <c r="QHJ21" s="94"/>
      <c r="QHK21" s="94"/>
      <c r="QHL21" s="94"/>
      <c r="QHM21" s="94"/>
      <c r="QHN21" s="94"/>
      <c r="QHO21" s="94"/>
      <c r="QHP21" s="94"/>
      <c r="QHQ21" s="94"/>
      <c r="QHR21" s="94"/>
      <c r="QHS21" s="94"/>
      <c r="QHT21" s="94"/>
      <c r="QHU21" s="94"/>
      <c r="QHV21" s="94"/>
      <c r="QHW21" s="94"/>
      <c r="QHX21" s="94"/>
      <c r="QHY21" s="94"/>
      <c r="QHZ21" s="94"/>
      <c r="QIA21" s="94"/>
      <c r="QIB21" s="94"/>
      <c r="QIC21" s="94"/>
      <c r="QID21" s="94"/>
      <c r="QIE21" s="94"/>
      <c r="QIF21" s="94"/>
      <c r="QIG21" s="94"/>
      <c r="QIH21" s="94"/>
      <c r="QII21" s="94"/>
      <c r="QIJ21" s="94"/>
      <c r="QIK21" s="94"/>
      <c r="QIL21" s="94"/>
      <c r="QIM21" s="94"/>
      <c r="QIN21" s="94"/>
      <c r="QIO21" s="94"/>
      <c r="QIP21" s="94"/>
      <c r="QIQ21" s="94"/>
      <c r="QIR21" s="94"/>
      <c r="QIS21" s="94"/>
      <c r="QIT21" s="94"/>
      <c r="QIU21" s="94"/>
      <c r="QIV21" s="94"/>
      <c r="QIW21" s="94"/>
      <c r="QIX21" s="94"/>
      <c r="QIY21" s="94"/>
      <c r="QIZ21" s="94"/>
      <c r="QJA21" s="94"/>
      <c r="QJB21" s="94"/>
      <c r="QJC21" s="94"/>
      <c r="QJD21" s="94"/>
      <c r="QJE21" s="94"/>
      <c r="QJF21" s="94"/>
      <c r="QJG21" s="94"/>
      <c r="QJH21" s="94"/>
      <c r="QJI21" s="94"/>
      <c r="QJJ21" s="94"/>
      <c r="QJK21" s="94"/>
      <c r="QJL21" s="94"/>
      <c r="QJM21" s="94"/>
      <c r="QJN21" s="94"/>
      <c r="QJO21" s="94"/>
      <c r="QJP21" s="94"/>
      <c r="QJQ21" s="94"/>
      <c r="QJR21" s="94"/>
      <c r="QJS21" s="94"/>
      <c r="QJT21" s="94"/>
      <c r="QJU21" s="94"/>
      <c r="QJV21" s="94"/>
      <c r="QJW21" s="94"/>
      <c r="QJX21" s="94"/>
      <c r="QJY21" s="94"/>
      <c r="QJZ21" s="94"/>
      <c r="QKA21" s="94"/>
      <c r="QKB21" s="94"/>
      <c r="QKC21" s="94"/>
      <c r="QKD21" s="94"/>
      <c r="QKE21" s="94"/>
      <c r="QKF21" s="94"/>
      <c r="QKG21" s="94"/>
      <c r="QKH21" s="94"/>
      <c r="QKI21" s="94"/>
      <c r="QKJ21" s="94"/>
      <c r="QKK21" s="94"/>
      <c r="QKL21" s="94"/>
      <c r="QKM21" s="94"/>
      <c r="QKN21" s="94"/>
      <c r="QKO21" s="94"/>
      <c r="QKP21" s="94"/>
      <c r="QKQ21" s="94"/>
      <c r="QKR21" s="94"/>
      <c r="QKS21" s="94"/>
      <c r="QKT21" s="94"/>
      <c r="QKU21" s="94"/>
      <c r="QKV21" s="94"/>
      <c r="QKW21" s="94"/>
      <c r="QKX21" s="94"/>
      <c r="QKY21" s="94"/>
      <c r="QKZ21" s="94"/>
      <c r="QLA21" s="94"/>
      <c r="QLB21" s="94"/>
      <c r="QLC21" s="94"/>
      <c r="QLD21" s="94"/>
      <c r="QLE21" s="94"/>
      <c r="QLF21" s="94"/>
      <c r="QLG21" s="94"/>
      <c r="QLH21" s="94"/>
      <c r="QLI21" s="94"/>
      <c r="QLJ21" s="94"/>
      <c r="QLK21" s="94"/>
      <c r="QLL21" s="94"/>
      <c r="QLM21" s="94"/>
      <c r="QLN21" s="94"/>
      <c r="QLO21" s="94"/>
      <c r="QLP21" s="94"/>
      <c r="QLQ21" s="94"/>
      <c r="QLR21" s="94"/>
      <c r="QLS21" s="94"/>
      <c r="QLT21" s="94"/>
      <c r="QLU21" s="94"/>
      <c r="QLV21" s="94"/>
      <c r="QLW21" s="94"/>
      <c r="QLX21" s="94"/>
      <c r="QLY21" s="94"/>
      <c r="QLZ21" s="94"/>
      <c r="QMA21" s="94"/>
      <c r="QMB21" s="94"/>
      <c r="QMC21" s="94"/>
      <c r="QMD21" s="94"/>
      <c r="QME21" s="94"/>
      <c r="QMF21" s="94"/>
      <c r="QMG21" s="94"/>
      <c r="QMH21" s="94"/>
      <c r="QMI21" s="94"/>
      <c r="QMJ21" s="94"/>
      <c r="QMK21" s="94"/>
      <c r="QML21" s="94"/>
      <c r="QMM21" s="94"/>
      <c r="QMN21" s="94"/>
      <c r="QMO21" s="94"/>
      <c r="QMP21" s="94"/>
      <c r="QMQ21" s="94"/>
      <c r="QMR21" s="94"/>
      <c r="QMS21" s="94"/>
      <c r="QMT21" s="94"/>
      <c r="QMU21" s="94"/>
      <c r="QMV21" s="94"/>
      <c r="QMW21" s="94"/>
      <c r="QMX21" s="94"/>
      <c r="QMY21" s="94"/>
      <c r="QMZ21" s="94"/>
      <c r="QNA21" s="94"/>
      <c r="QNB21" s="94"/>
      <c r="QNC21" s="94"/>
      <c r="QND21" s="94"/>
      <c r="QNE21" s="94"/>
      <c r="QNF21" s="94"/>
      <c r="QNG21" s="94"/>
      <c r="QNH21" s="94"/>
      <c r="QNI21" s="94"/>
      <c r="QNJ21" s="94"/>
      <c r="QNK21" s="94"/>
      <c r="QNL21" s="94"/>
      <c r="QNM21" s="94"/>
      <c r="QNN21" s="94"/>
      <c r="QNO21" s="94"/>
      <c r="QNP21" s="94"/>
      <c r="QNQ21" s="94"/>
      <c r="QNR21" s="94"/>
      <c r="QNS21" s="94"/>
      <c r="QNT21" s="94"/>
      <c r="QNU21" s="94"/>
      <c r="QNV21" s="94"/>
      <c r="QNW21" s="94"/>
      <c r="QNX21" s="94"/>
      <c r="QNY21" s="94"/>
      <c r="QNZ21" s="94"/>
      <c r="QOA21" s="94"/>
      <c r="QOB21" s="94"/>
      <c r="QOC21" s="94"/>
      <c r="QOD21" s="94"/>
      <c r="QOE21" s="94"/>
      <c r="QOF21" s="94"/>
      <c r="QOG21" s="94"/>
      <c r="QOH21" s="94"/>
      <c r="QOI21" s="94"/>
      <c r="QOJ21" s="94"/>
      <c r="QOK21" s="94"/>
      <c r="QOL21" s="94"/>
      <c r="QOM21" s="94"/>
      <c r="QON21" s="94"/>
      <c r="QOO21" s="94"/>
      <c r="QOP21" s="94"/>
      <c r="QOQ21" s="94"/>
      <c r="QOR21" s="94"/>
      <c r="QOS21" s="94"/>
      <c r="QOT21" s="94"/>
      <c r="QOU21" s="94"/>
      <c r="QOV21" s="94"/>
      <c r="QOW21" s="94"/>
      <c r="QOX21" s="94"/>
      <c r="QOY21" s="94"/>
      <c r="QOZ21" s="94"/>
      <c r="QPA21" s="94"/>
      <c r="QPB21" s="94"/>
      <c r="QPC21" s="94"/>
      <c r="QPD21" s="94"/>
      <c r="QPE21" s="94"/>
      <c r="QPF21" s="94"/>
      <c r="QPG21" s="94"/>
      <c r="QPH21" s="94"/>
      <c r="QPI21" s="94"/>
      <c r="QPJ21" s="94"/>
      <c r="QPK21" s="94"/>
      <c r="QPL21" s="94"/>
      <c r="QPM21" s="94"/>
      <c r="QPN21" s="94"/>
      <c r="QPO21" s="94"/>
      <c r="QPP21" s="94"/>
      <c r="QPQ21" s="94"/>
      <c r="QPR21" s="94"/>
      <c r="QPS21" s="94"/>
      <c r="QPT21" s="94"/>
      <c r="QPU21" s="94"/>
      <c r="QPV21" s="94"/>
      <c r="QPW21" s="94"/>
      <c r="QPX21" s="94"/>
      <c r="QPY21" s="94"/>
      <c r="QPZ21" s="94"/>
      <c r="QQA21" s="94"/>
      <c r="QQB21" s="94"/>
      <c r="QQC21" s="94"/>
      <c r="QQD21" s="94"/>
      <c r="QQE21" s="94"/>
      <c r="QQF21" s="94"/>
      <c r="QQG21" s="94"/>
      <c r="QQH21" s="94"/>
      <c r="QQI21" s="94"/>
      <c r="QQJ21" s="94"/>
      <c r="QQK21" s="94"/>
      <c r="QQL21" s="94"/>
      <c r="QQM21" s="94"/>
      <c r="QQN21" s="94"/>
      <c r="QQO21" s="94"/>
      <c r="QQP21" s="94"/>
      <c r="QQQ21" s="94"/>
      <c r="QQR21" s="94"/>
      <c r="QQS21" s="94"/>
      <c r="QQT21" s="94"/>
      <c r="QQU21" s="94"/>
      <c r="QQV21" s="94"/>
      <c r="QQW21" s="94"/>
      <c r="QQX21" s="94"/>
      <c r="QQY21" s="94"/>
      <c r="QQZ21" s="94"/>
      <c r="QRA21" s="94"/>
      <c r="QRB21" s="94"/>
      <c r="QRC21" s="94"/>
      <c r="QRD21" s="94"/>
      <c r="QRE21" s="94"/>
      <c r="QRF21" s="94"/>
      <c r="QRG21" s="94"/>
      <c r="QRH21" s="94"/>
      <c r="QRI21" s="94"/>
      <c r="QRJ21" s="94"/>
      <c r="QRK21" s="94"/>
      <c r="QRL21" s="94"/>
      <c r="QRM21" s="94"/>
      <c r="QRN21" s="94"/>
      <c r="QRO21" s="94"/>
      <c r="QRP21" s="94"/>
      <c r="QRQ21" s="94"/>
      <c r="QRR21" s="94"/>
      <c r="QRS21" s="94"/>
      <c r="QRT21" s="94"/>
      <c r="QRU21" s="94"/>
      <c r="QRV21" s="94"/>
      <c r="QRW21" s="94"/>
      <c r="QRX21" s="94"/>
      <c r="QRY21" s="94"/>
      <c r="QRZ21" s="94"/>
      <c r="QSA21" s="94"/>
      <c r="QSB21" s="94"/>
      <c r="QSC21" s="94"/>
      <c r="QSD21" s="94"/>
      <c r="QSE21" s="94"/>
      <c r="QSF21" s="94"/>
      <c r="QSG21" s="94"/>
      <c r="QSH21" s="94"/>
      <c r="QSI21" s="94"/>
      <c r="QSJ21" s="94"/>
      <c r="QSK21" s="94"/>
      <c r="QSL21" s="94"/>
      <c r="QSM21" s="94"/>
      <c r="QSN21" s="94"/>
      <c r="QSO21" s="94"/>
      <c r="QSP21" s="94"/>
      <c r="QSQ21" s="94"/>
      <c r="QSR21" s="94"/>
      <c r="QSS21" s="94"/>
      <c r="QST21" s="94"/>
      <c r="QSU21" s="94"/>
      <c r="QSV21" s="94"/>
      <c r="QSW21" s="94"/>
      <c r="QSX21" s="94"/>
      <c r="QSY21" s="94"/>
      <c r="QSZ21" s="94"/>
      <c r="QTA21" s="94"/>
      <c r="QTB21" s="94"/>
      <c r="QTC21" s="94"/>
      <c r="QTD21" s="94"/>
      <c r="QTE21" s="94"/>
      <c r="QTF21" s="94"/>
      <c r="QTG21" s="94"/>
      <c r="QTH21" s="94"/>
      <c r="QTI21" s="94"/>
      <c r="QTJ21" s="94"/>
      <c r="QTK21" s="94"/>
      <c r="QTL21" s="94"/>
      <c r="QTM21" s="94"/>
      <c r="QTN21" s="94"/>
      <c r="QTO21" s="94"/>
      <c r="QTP21" s="94"/>
      <c r="QTQ21" s="94"/>
      <c r="QTR21" s="94"/>
      <c r="QTS21" s="94"/>
      <c r="QTT21" s="94"/>
      <c r="QTU21" s="94"/>
      <c r="QTV21" s="94"/>
      <c r="QTW21" s="94"/>
      <c r="QTX21" s="94"/>
      <c r="QTY21" s="94"/>
      <c r="QTZ21" s="94"/>
      <c r="QUA21" s="94"/>
      <c r="QUB21" s="94"/>
      <c r="QUC21" s="94"/>
      <c r="QUD21" s="94"/>
      <c r="QUE21" s="94"/>
      <c r="QUF21" s="94"/>
      <c r="QUG21" s="94"/>
      <c r="QUH21" s="94"/>
      <c r="QUI21" s="94"/>
      <c r="QUJ21" s="94"/>
      <c r="QUK21" s="94"/>
      <c r="QUL21" s="94"/>
      <c r="QUM21" s="94"/>
      <c r="QUN21" s="94"/>
      <c r="QUO21" s="94"/>
      <c r="QUP21" s="94"/>
      <c r="QUQ21" s="94"/>
      <c r="QUR21" s="94"/>
      <c r="QUS21" s="94"/>
      <c r="QUT21" s="94"/>
      <c r="QUU21" s="94"/>
      <c r="QUV21" s="94"/>
      <c r="QUW21" s="94"/>
      <c r="QUX21" s="94"/>
      <c r="QUY21" s="94"/>
      <c r="QUZ21" s="94"/>
      <c r="QVA21" s="94"/>
      <c r="QVB21" s="94"/>
      <c r="QVC21" s="94"/>
      <c r="QVD21" s="94"/>
      <c r="QVE21" s="94"/>
      <c r="QVF21" s="94"/>
      <c r="QVG21" s="94"/>
      <c r="QVH21" s="94"/>
      <c r="QVI21" s="94"/>
      <c r="QVJ21" s="94"/>
      <c r="QVK21" s="94"/>
      <c r="QVL21" s="94"/>
      <c r="QVM21" s="94"/>
      <c r="QVN21" s="94"/>
      <c r="QVO21" s="94"/>
      <c r="QVP21" s="94"/>
      <c r="QVQ21" s="94"/>
      <c r="QVR21" s="94"/>
      <c r="QVS21" s="94"/>
      <c r="QVT21" s="94"/>
      <c r="QVU21" s="94"/>
      <c r="QVV21" s="94"/>
      <c r="QVW21" s="94"/>
      <c r="QVX21" s="94"/>
      <c r="QVY21" s="94"/>
      <c r="QVZ21" s="94"/>
      <c r="QWA21" s="94"/>
      <c r="QWB21" s="94"/>
      <c r="QWC21" s="94"/>
      <c r="QWD21" s="94"/>
      <c r="QWE21" s="94"/>
      <c r="QWF21" s="94"/>
      <c r="QWG21" s="94"/>
      <c r="QWH21" s="94"/>
      <c r="QWI21" s="94"/>
      <c r="QWJ21" s="94"/>
      <c r="QWK21" s="94"/>
      <c r="QWL21" s="94"/>
      <c r="QWM21" s="94"/>
      <c r="QWN21" s="94"/>
      <c r="QWO21" s="94"/>
      <c r="QWP21" s="94"/>
      <c r="QWQ21" s="94"/>
      <c r="QWR21" s="94"/>
      <c r="QWS21" s="94"/>
      <c r="QWT21" s="94"/>
      <c r="QWU21" s="94"/>
      <c r="QWV21" s="94"/>
      <c r="QWW21" s="94"/>
      <c r="QWX21" s="94"/>
      <c r="QWY21" s="94"/>
      <c r="QWZ21" s="94"/>
      <c r="QXA21" s="94"/>
      <c r="QXB21" s="94"/>
      <c r="QXC21" s="94"/>
      <c r="QXD21" s="94"/>
      <c r="QXE21" s="94"/>
      <c r="QXF21" s="94"/>
      <c r="QXG21" s="94"/>
      <c r="QXH21" s="94"/>
      <c r="QXI21" s="94"/>
      <c r="QXJ21" s="94"/>
      <c r="QXK21" s="94"/>
      <c r="QXL21" s="94"/>
      <c r="QXM21" s="94"/>
      <c r="QXN21" s="94"/>
      <c r="QXO21" s="94"/>
      <c r="QXP21" s="94"/>
      <c r="QXQ21" s="94"/>
      <c r="QXR21" s="94"/>
      <c r="QXS21" s="94"/>
      <c r="QXT21" s="94"/>
      <c r="QXU21" s="94"/>
      <c r="QXV21" s="94"/>
      <c r="QXW21" s="94"/>
      <c r="QXX21" s="94"/>
      <c r="QXY21" s="94"/>
      <c r="QXZ21" s="94"/>
      <c r="QYA21" s="94"/>
      <c r="QYB21" s="94"/>
      <c r="QYC21" s="94"/>
      <c r="QYD21" s="94"/>
      <c r="QYE21" s="94"/>
      <c r="QYF21" s="94"/>
      <c r="QYG21" s="94"/>
      <c r="QYH21" s="94"/>
      <c r="QYI21" s="94"/>
      <c r="QYJ21" s="94"/>
      <c r="QYK21" s="94"/>
      <c r="QYL21" s="94"/>
      <c r="QYM21" s="94"/>
      <c r="QYN21" s="94"/>
      <c r="QYO21" s="94"/>
      <c r="QYP21" s="94"/>
      <c r="QYQ21" s="94"/>
      <c r="QYR21" s="94"/>
      <c r="QYS21" s="94"/>
      <c r="QYT21" s="94"/>
      <c r="QYU21" s="94"/>
      <c r="QYV21" s="94"/>
      <c r="QYW21" s="94"/>
      <c r="QYX21" s="94"/>
      <c r="QYY21" s="94"/>
      <c r="QYZ21" s="94"/>
      <c r="QZA21" s="94"/>
      <c r="QZB21" s="94"/>
      <c r="QZC21" s="94"/>
      <c r="QZD21" s="94"/>
      <c r="QZE21" s="94"/>
      <c r="QZF21" s="94"/>
      <c r="QZG21" s="94"/>
      <c r="QZH21" s="94"/>
      <c r="QZI21" s="94"/>
      <c r="QZJ21" s="94"/>
      <c r="QZK21" s="94"/>
      <c r="QZL21" s="94"/>
      <c r="QZM21" s="94"/>
      <c r="QZN21" s="94"/>
      <c r="QZO21" s="94"/>
      <c r="QZP21" s="94"/>
      <c r="QZQ21" s="94"/>
      <c r="QZR21" s="94"/>
      <c r="QZS21" s="94"/>
      <c r="QZT21" s="94"/>
      <c r="QZU21" s="94"/>
      <c r="QZV21" s="94"/>
      <c r="QZW21" s="94"/>
      <c r="QZX21" s="94"/>
      <c r="QZY21" s="94"/>
      <c r="QZZ21" s="94"/>
      <c r="RAA21" s="94"/>
      <c r="RAB21" s="94"/>
      <c r="RAC21" s="94"/>
      <c r="RAD21" s="94"/>
      <c r="RAE21" s="94"/>
      <c r="RAF21" s="94"/>
      <c r="RAG21" s="94"/>
      <c r="RAH21" s="94"/>
      <c r="RAI21" s="94"/>
      <c r="RAJ21" s="94"/>
      <c r="RAK21" s="94"/>
      <c r="RAL21" s="94"/>
      <c r="RAM21" s="94"/>
      <c r="RAN21" s="94"/>
      <c r="RAO21" s="94"/>
      <c r="RAP21" s="94"/>
      <c r="RAQ21" s="94"/>
      <c r="RAR21" s="94"/>
      <c r="RAS21" s="94"/>
      <c r="RAT21" s="94"/>
      <c r="RAU21" s="94"/>
      <c r="RAV21" s="94"/>
      <c r="RAW21" s="94"/>
      <c r="RAX21" s="94"/>
      <c r="RAY21" s="94"/>
      <c r="RAZ21" s="94"/>
      <c r="RBA21" s="94"/>
      <c r="RBB21" s="94"/>
      <c r="RBC21" s="94"/>
      <c r="RBD21" s="94"/>
      <c r="RBE21" s="94"/>
      <c r="RBF21" s="94"/>
      <c r="RBG21" s="94"/>
      <c r="RBH21" s="94"/>
      <c r="RBI21" s="94"/>
      <c r="RBJ21" s="94"/>
      <c r="RBK21" s="94"/>
      <c r="RBL21" s="94"/>
      <c r="RBM21" s="94"/>
      <c r="RBN21" s="94"/>
      <c r="RBO21" s="94"/>
      <c r="RBP21" s="94"/>
      <c r="RBQ21" s="94"/>
      <c r="RBR21" s="94"/>
      <c r="RBS21" s="94"/>
      <c r="RBT21" s="94"/>
      <c r="RBU21" s="94"/>
      <c r="RBV21" s="94"/>
      <c r="RBW21" s="94"/>
      <c r="RBX21" s="94"/>
      <c r="RBY21" s="94"/>
      <c r="RBZ21" s="94"/>
      <c r="RCA21" s="94"/>
      <c r="RCB21" s="94"/>
      <c r="RCC21" s="94"/>
      <c r="RCD21" s="94"/>
      <c r="RCE21" s="94"/>
      <c r="RCF21" s="94"/>
      <c r="RCG21" s="94"/>
      <c r="RCH21" s="94"/>
      <c r="RCI21" s="94"/>
      <c r="RCJ21" s="94"/>
      <c r="RCK21" s="94"/>
      <c r="RCL21" s="94"/>
      <c r="RCM21" s="94"/>
      <c r="RCN21" s="94"/>
      <c r="RCO21" s="94"/>
      <c r="RCP21" s="94"/>
      <c r="RCQ21" s="94"/>
      <c r="RCR21" s="94"/>
      <c r="RCS21" s="94"/>
      <c r="RCT21" s="94"/>
      <c r="RCU21" s="94"/>
      <c r="RCV21" s="94"/>
      <c r="RCW21" s="94"/>
      <c r="RCX21" s="94"/>
      <c r="RCY21" s="94"/>
      <c r="RCZ21" s="94"/>
      <c r="RDA21" s="94"/>
      <c r="RDB21" s="94"/>
      <c r="RDC21" s="94"/>
      <c r="RDD21" s="94"/>
      <c r="RDE21" s="94"/>
      <c r="RDF21" s="94"/>
      <c r="RDG21" s="94"/>
      <c r="RDH21" s="94"/>
      <c r="RDI21" s="94"/>
      <c r="RDJ21" s="94"/>
      <c r="RDK21" s="94"/>
      <c r="RDL21" s="94"/>
      <c r="RDM21" s="94"/>
      <c r="RDN21" s="94"/>
      <c r="RDO21" s="94"/>
      <c r="RDP21" s="94"/>
      <c r="RDQ21" s="94"/>
      <c r="RDR21" s="94"/>
      <c r="RDS21" s="94"/>
      <c r="RDT21" s="94"/>
      <c r="RDU21" s="94"/>
      <c r="RDV21" s="94"/>
      <c r="RDW21" s="94"/>
      <c r="RDX21" s="94"/>
      <c r="RDY21" s="94"/>
      <c r="RDZ21" s="94"/>
      <c r="REA21" s="94"/>
      <c r="REB21" s="94"/>
      <c r="REC21" s="94"/>
      <c r="RED21" s="94"/>
      <c r="REE21" s="94"/>
      <c r="REF21" s="94"/>
      <c r="REG21" s="94"/>
      <c r="REH21" s="94"/>
      <c r="REI21" s="94"/>
      <c r="REJ21" s="94"/>
      <c r="REK21" s="94"/>
      <c r="REL21" s="94"/>
      <c r="REM21" s="94"/>
      <c r="REN21" s="94"/>
      <c r="REO21" s="94"/>
      <c r="REP21" s="94"/>
      <c r="REQ21" s="94"/>
      <c r="RER21" s="94"/>
      <c r="RES21" s="94"/>
      <c r="RET21" s="94"/>
      <c r="REU21" s="94"/>
      <c r="REV21" s="94"/>
      <c r="REW21" s="94"/>
      <c r="REX21" s="94"/>
      <c r="REY21" s="94"/>
      <c r="REZ21" s="94"/>
      <c r="RFA21" s="94"/>
      <c r="RFB21" s="94"/>
      <c r="RFC21" s="94"/>
      <c r="RFD21" s="94"/>
      <c r="RFE21" s="94"/>
      <c r="RFF21" s="94"/>
      <c r="RFG21" s="94"/>
      <c r="RFH21" s="94"/>
      <c r="RFI21" s="94"/>
      <c r="RFJ21" s="94"/>
      <c r="RFK21" s="94"/>
      <c r="RFL21" s="94"/>
      <c r="RFM21" s="94"/>
      <c r="RFN21" s="94"/>
      <c r="RFO21" s="94"/>
      <c r="RFP21" s="94"/>
      <c r="RFQ21" s="94"/>
      <c r="RFR21" s="94"/>
      <c r="RFS21" s="94"/>
      <c r="RFT21" s="94"/>
      <c r="RFU21" s="94"/>
      <c r="RFV21" s="94"/>
      <c r="RFW21" s="94"/>
      <c r="RFX21" s="94"/>
      <c r="RFY21" s="94"/>
      <c r="RFZ21" s="94"/>
      <c r="RGA21" s="94"/>
      <c r="RGB21" s="94"/>
      <c r="RGC21" s="94"/>
      <c r="RGD21" s="94"/>
      <c r="RGE21" s="94"/>
      <c r="RGF21" s="94"/>
      <c r="RGG21" s="94"/>
      <c r="RGH21" s="94"/>
      <c r="RGI21" s="94"/>
      <c r="RGJ21" s="94"/>
      <c r="RGK21" s="94"/>
      <c r="RGL21" s="94"/>
      <c r="RGM21" s="94"/>
      <c r="RGN21" s="94"/>
      <c r="RGO21" s="94"/>
      <c r="RGP21" s="94"/>
      <c r="RGQ21" s="94"/>
      <c r="RGR21" s="94"/>
      <c r="RGS21" s="94"/>
      <c r="RGT21" s="94"/>
      <c r="RGU21" s="94"/>
      <c r="RGV21" s="94"/>
      <c r="RGW21" s="94"/>
      <c r="RGX21" s="94"/>
      <c r="RGY21" s="94"/>
      <c r="RGZ21" s="94"/>
      <c r="RHA21" s="94"/>
      <c r="RHB21" s="94"/>
      <c r="RHC21" s="94"/>
      <c r="RHD21" s="94"/>
      <c r="RHE21" s="94"/>
      <c r="RHF21" s="94"/>
      <c r="RHG21" s="94"/>
      <c r="RHH21" s="94"/>
      <c r="RHI21" s="94"/>
      <c r="RHJ21" s="94"/>
      <c r="RHK21" s="94"/>
      <c r="RHL21" s="94"/>
      <c r="RHM21" s="94"/>
      <c r="RHN21" s="94"/>
      <c r="RHO21" s="94"/>
      <c r="RHP21" s="94"/>
      <c r="RHQ21" s="94"/>
      <c r="RHR21" s="94"/>
      <c r="RHS21" s="94"/>
      <c r="RHT21" s="94"/>
      <c r="RHU21" s="94"/>
      <c r="RHV21" s="94"/>
      <c r="RHW21" s="94"/>
      <c r="RHX21" s="94"/>
      <c r="RHY21" s="94"/>
      <c r="RHZ21" s="94"/>
      <c r="RIA21" s="94"/>
      <c r="RIB21" s="94"/>
      <c r="RIC21" s="94"/>
      <c r="RID21" s="94"/>
      <c r="RIE21" s="94"/>
      <c r="RIF21" s="94"/>
      <c r="RIG21" s="94"/>
      <c r="RIH21" s="94"/>
      <c r="RII21" s="94"/>
      <c r="RIJ21" s="94"/>
      <c r="RIK21" s="94"/>
      <c r="RIL21" s="94"/>
      <c r="RIM21" s="94"/>
      <c r="RIN21" s="94"/>
      <c r="RIO21" s="94"/>
      <c r="RIP21" s="94"/>
      <c r="RIQ21" s="94"/>
      <c r="RIR21" s="94"/>
      <c r="RIS21" s="94"/>
      <c r="RIT21" s="94"/>
      <c r="RIU21" s="94"/>
      <c r="RIV21" s="94"/>
      <c r="RIW21" s="94"/>
      <c r="RIX21" s="94"/>
      <c r="RIY21" s="94"/>
      <c r="RIZ21" s="94"/>
      <c r="RJA21" s="94"/>
      <c r="RJB21" s="94"/>
      <c r="RJC21" s="94"/>
      <c r="RJD21" s="94"/>
      <c r="RJE21" s="94"/>
      <c r="RJF21" s="94"/>
      <c r="RJG21" s="94"/>
      <c r="RJH21" s="94"/>
      <c r="RJI21" s="94"/>
      <c r="RJJ21" s="94"/>
      <c r="RJK21" s="94"/>
      <c r="RJL21" s="94"/>
      <c r="RJM21" s="94"/>
      <c r="RJN21" s="94"/>
      <c r="RJO21" s="94"/>
      <c r="RJP21" s="94"/>
      <c r="RJQ21" s="94"/>
      <c r="RJR21" s="94"/>
      <c r="RJS21" s="94"/>
      <c r="RJT21" s="94"/>
      <c r="RJU21" s="94"/>
      <c r="RJV21" s="94"/>
      <c r="RJW21" s="94"/>
      <c r="RJX21" s="94"/>
      <c r="RJY21" s="94"/>
      <c r="RJZ21" s="94"/>
      <c r="RKA21" s="94"/>
      <c r="RKB21" s="94"/>
      <c r="RKC21" s="94"/>
      <c r="RKD21" s="94"/>
      <c r="RKE21" s="94"/>
      <c r="RKF21" s="94"/>
      <c r="RKG21" s="94"/>
      <c r="RKH21" s="94"/>
      <c r="RKI21" s="94"/>
      <c r="RKJ21" s="94"/>
      <c r="RKK21" s="94"/>
      <c r="RKL21" s="94"/>
      <c r="RKM21" s="94"/>
      <c r="RKN21" s="94"/>
      <c r="RKO21" s="94"/>
      <c r="RKP21" s="94"/>
      <c r="RKQ21" s="94"/>
      <c r="RKR21" s="94"/>
      <c r="RKS21" s="94"/>
      <c r="RKT21" s="94"/>
      <c r="RKU21" s="94"/>
      <c r="RKV21" s="94"/>
      <c r="RKW21" s="94"/>
      <c r="RKX21" s="94"/>
      <c r="RKY21" s="94"/>
      <c r="RKZ21" s="94"/>
      <c r="RLA21" s="94"/>
      <c r="RLB21" s="94"/>
      <c r="RLC21" s="94"/>
      <c r="RLD21" s="94"/>
      <c r="RLE21" s="94"/>
      <c r="RLF21" s="94"/>
      <c r="RLG21" s="94"/>
      <c r="RLH21" s="94"/>
      <c r="RLI21" s="94"/>
      <c r="RLJ21" s="94"/>
      <c r="RLK21" s="94"/>
      <c r="RLL21" s="94"/>
      <c r="RLM21" s="94"/>
      <c r="RLN21" s="94"/>
      <c r="RLO21" s="94"/>
      <c r="RLP21" s="94"/>
      <c r="RLQ21" s="94"/>
      <c r="RLR21" s="94"/>
      <c r="RLS21" s="94"/>
      <c r="RLT21" s="94"/>
      <c r="RLU21" s="94"/>
      <c r="RLV21" s="94"/>
      <c r="RLW21" s="94"/>
      <c r="RLX21" s="94"/>
      <c r="RLY21" s="94"/>
      <c r="RLZ21" s="94"/>
      <c r="RMA21" s="94"/>
      <c r="RMB21" s="94"/>
      <c r="RMC21" s="94"/>
      <c r="RMD21" s="94"/>
      <c r="RME21" s="94"/>
      <c r="RMF21" s="94"/>
      <c r="RMG21" s="94"/>
      <c r="RMH21" s="94"/>
      <c r="RMI21" s="94"/>
      <c r="RMJ21" s="94"/>
      <c r="RMK21" s="94"/>
      <c r="RML21" s="94"/>
      <c r="RMM21" s="94"/>
      <c r="RMN21" s="94"/>
      <c r="RMO21" s="94"/>
      <c r="RMP21" s="94"/>
      <c r="RMQ21" s="94"/>
      <c r="RMR21" s="94"/>
      <c r="RMS21" s="94"/>
      <c r="RMT21" s="94"/>
      <c r="RMU21" s="94"/>
      <c r="RMV21" s="94"/>
      <c r="RMW21" s="94"/>
      <c r="RMX21" s="94"/>
      <c r="RMY21" s="94"/>
      <c r="RMZ21" s="94"/>
      <c r="RNA21" s="94"/>
      <c r="RNB21" s="94"/>
      <c r="RNC21" s="94"/>
      <c r="RND21" s="94"/>
      <c r="RNE21" s="94"/>
      <c r="RNF21" s="94"/>
      <c r="RNG21" s="94"/>
      <c r="RNH21" s="94"/>
      <c r="RNI21" s="94"/>
      <c r="RNJ21" s="94"/>
      <c r="RNK21" s="94"/>
      <c r="RNL21" s="94"/>
      <c r="RNM21" s="94"/>
      <c r="RNN21" s="94"/>
      <c r="RNO21" s="94"/>
      <c r="RNP21" s="94"/>
      <c r="RNQ21" s="94"/>
      <c r="RNR21" s="94"/>
      <c r="RNS21" s="94"/>
      <c r="RNT21" s="94"/>
      <c r="RNU21" s="94"/>
      <c r="RNV21" s="94"/>
      <c r="RNW21" s="94"/>
      <c r="RNX21" s="94"/>
      <c r="RNY21" s="94"/>
      <c r="RNZ21" s="94"/>
      <c r="ROA21" s="94"/>
      <c r="ROB21" s="94"/>
      <c r="ROC21" s="94"/>
      <c r="ROD21" s="94"/>
      <c r="ROE21" s="94"/>
      <c r="ROF21" s="94"/>
      <c r="ROG21" s="94"/>
      <c r="ROH21" s="94"/>
      <c r="ROI21" s="94"/>
      <c r="ROJ21" s="94"/>
      <c r="ROK21" s="94"/>
      <c r="ROL21" s="94"/>
      <c r="ROM21" s="94"/>
      <c r="RON21" s="94"/>
      <c r="ROO21" s="94"/>
      <c r="ROP21" s="94"/>
      <c r="ROQ21" s="94"/>
      <c r="ROR21" s="94"/>
      <c r="ROS21" s="94"/>
      <c r="ROT21" s="94"/>
      <c r="ROU21" s="94"/>
      <c r="ROV21" s="94"/>
      <c r="ROW21" s="94"/>
      <c r="ROX21" s="94"/>
      <c r="ROY21" s="94"/>
      <c r="ROZ21" s="94"/>
      <c r="RPA21" s="94"/>
      <c r="RPB21" s="94"/>
      <c r="RPC21" s="94"/>
      <c r="RPD21" s="94"/>
      <c r="RPE21" s="94"/>
      <c r="RPF21" s="94"/>
      <c r="RPG21" s="94"/>
      <c r="RPH21" s="94"/>
      <c r="RPI21" s="94"/>
      <c r="RPJ21" s="94"/>
      <c r="RPK21" s="94"/>
      <c r="RPL21" s="94"/>
      <c r="RPM21" s="94"/>
      <c r="RPN21" s="94"/>
      <c r="RPO21" s="94"/>
      <c r="RPP21" s="94"/>
      <c r="RPQ21" s="94"/>
      <c r="RPR21" s="94"/>
      <c r="RPS21" s="94"/>
      <c r="RPT21" s="94"/>
      <c r="RPU21" s="94"/>
      <c r="RPV21" s="94"/>
      <c r="RPW21" s="94"/>
      <c r="RPX21" s="94"/>
      <c r="RPY21" s="94"/>
      <c r="RPZ21" s="94"/>
      <c r="RQA21" s="94"/>
      <c r="RQB21" s="94"/>
      <c r="RQC21" s="94"/>
      <c r="RQD21" s="94"/>
      <c r="RQE21" s="94"/>
      <c r="RQF21" s="94"/>
      <c r="RQG21" s="94"/>
      <c r="RQH21" s="94"/>
      <c r="RQI21" s="94"/>
      <c r="RQJ21" s="94"/>
      <c r="RQK21" s="94"/>
      <c r="RQL21" s="94"/>
      <c r="RQM21" s="94"/>
      <c r="RQN21" s="94"/>
      <c r="RQO21" s="94"/>
      <c r="RQP21" s="94"/>
      <c r="RQQ21" s="94"/>
      <c r="RQR21" s="94"/>
      <c r="RQS21" s="94"/>
      <c r="RQT21" s="94"/>
      <c r="RQU21" s="94"/>
      <c r="RQV21" s="94"/>
      <c r="RQW21" s="94"/>
      <c r="RQX21" s="94"/>
      <c r="RQY21" s="94"/>
      <c r="RQZ21" s="94"/>
      <c r="RRA21" s="94"/>
      <c r="RRB21" s="94"/>
      <c r="RRC21" s="94"/>
      <c r="RRD21" s="94"/>
      <c r="RRE21" s="94"/>
      <c r="RRF21" s="94"/>
      <c r="RRG21" s="94"/>
      <c r="RRH21" s="94"/>
      <c r="RRI21" s="94"/>
      <c r="RRJ21" s="94"/>
      <c r="RRK21" s="94"/>
      <c r="RRL21" s="94"/>
      <c r="RRM21" s="94"/>
      <c r="RRN21" s="94"/>
      <c r="RRO21" s="94"/>
      <c r="RRP21" s="94"/>
      <c r="RRQ21" s="94"/>
      <c r="RRR21" s="94"/>
      <c r="RRS21" s="94"/>
      <c r="RRT21" s="94"/>
      <c r="RRU21" s="94"/>
      <c r="RRV21" s="94"/>
      <c r="RRW21" s="94"/>
      <c r="RRX21" s="94"/>
      <c r="RRY21" s="94"/>
      <c r="RRZ21" s="94"/>
      <c r="RSA21" s="94"/>
      <c r="RSB21" s="94"/>
      <c r="RSC21" s="94"/>
      <c r="RSD21" s="94"/>
      <c r="RSE21" s="94"/>
      <c r="RSF21" s="94"/>
      <c r="RSG21" s="94"/>
      <c r="RSH21" s="94"/>
      <c r="RSI21" s="94"/>
      <c r="RSJ21" s="94"/>
      <c r="RSK21" s="94"/>
      <c r="RSL21" s="94"/>
      <c r="RSM21" s="94"/>
      <c r="RSN21" s="94"/>
      <c r="RSO21" s="94"/>
      <c r="RSP21" s="94"/>
      <c r="RSQ21" s="94"/>
      <c r="RSR21" s="94"/>
      <c r="RSS21" s="94"/>
      <c r="RST21" s="94"/>
      <c r="RSU21" s="94"/>
      <c r="RSV21" s="94"/>
      <c r="RSW21" s="94"/>
      <c r="RSX21" s="94"/>
      <c r="RSY21" s="94"/>
      <c r="RSZ21" s="94"/>
      <c r="RTA21" s="94"/>
      <c r="RTB21" s="94"/>
      <c r="RTC21" s="94"/>
      <c r="RTD21" s="94"/>
      <c r="RTE21" s="94"/>
      <c r="RTF21" s="94"/>
      <c r="RTG21" s="94"/>
      <c r="RTH21" s="94"/>
      <c r="RTI21" s="94"/>
      <c r="RTJ21" s="94"/>
      <c r="RTK21" s="94"/>
      <c r="RTL21" s="94"/>
      <c r="RTM21" s="94"/>
      <c r="RTN21" s="94"/>
      <c r="RTO21" s="94"/>
      <c r="RTP21" s="94"/>
      <c r="RTQ21" s="94"/>
      <c r="RTR21" s="94"/>
      <c r="RTS21" s="94"/>
      <c r="RTT21" s="94"/>
      <c r="RTU21" s="94"/>
      <c r="RTV21" s="94"/>
      <c r="RTW21" s="94"/>
      <c r="RTX21" s="94"/>
      <c r="RTY21" s="94"/>
      <c r="RTZ21" s="94"/>
      <c r="RUA21" s="94"/>
      <c r="RUB21" s="94"/>
      <c r="RUC21" s="94"/>
      <c r="RUD21" s="94"/>
      <c r="RUE21" s="94"/>
      <c r="RUF21" s="94"/>
      <c r="RUG21" s="94"/>
      <c r="RUH21" s="94"/>
      <c r="RUI21" s="94"/>
      <c r="RUJ21" s="94"/>
      <c r="RUK21" s="94"/>
      <c r="RUL21" s="94"/>
      <c r="RUM21" s="94"/>
      <c r="RUN21" s="94"/>
      <c r="RUO21" s="94"/>
      <c r="RUP21" s="94"/>
      <c r="RUQ21" s="94"/>
      <c r="RUR21" s="94"/>
      <c r="RUS21" s="94"/>
      <c r="RUT21" s="94"/>
      <c r="RUU21" s="94"/>
      <c r="RUV21" s="94"/>
      <c r="RUW21" s="94"/>
      <c r="RUX21" s="94"/>
      <c r="RUY21" s="94"/>
      <c r="RUZ21" s="94"/>
      <c r="RVA21" s="94"/>
      <c r="RVB21" s="94"/>
      <c r="RVC21" s="94"/>
      <c r="RVD21" s="94"/>
      <c r="RVE21" s="94"/>
      <c r="RVF21" s="94"/>
      <c r="RVG21" s="94"/>
      <c r="RVH21" s="94"/>
      <c r="RVI21" s="94"/>
      <c r="RVJ21" s="94"/>
      <c r="RVK21" s="94"/>
      <c r="RVL21" s="94"/>
      <c r="RVM21" s="94"/>
      <c r="RVN21" s="94"/>
      <c r="RVO21" s="94"/>
      <c r="RVP21" s="94"/>
      <c r="RVQ21" s="94"/>
      <c r="RVR21" s="94"/>
      <c r="RVS21" s="94"/>
      <c r="RVT21" s="94"/>
      <c r="RVU21" s="94"/>
      <c r="RVV21" s="94"/>
      <c r="RVW21" s="94"/>
      <c r="RVX21" s="94"/>
      <c r="RVY21" s="94"/>
      <c r="RVZ21" s="94"/>
      <c r="RWA21" s="94"/>
      <c r="RWB21" s="94"/>
      <c r="RWC21" s="94"/>
      <c r="RWD21" s="94"/>
      <c r="RWE21" s="94"/>
      <c r="RWF21" s="94"/>
      <c r="RWG21" s="94"/>
      <c r="RWH21" s="94"/>
      <c r="RWI21" s="94"/>
      <c r="RWJ21" s="94"/>
      <c r="RWK21" s="94"/>
      <c r="RWL21" s="94"/>
      <c r="RWM21" s="94"/>
      <c r="RWN21" s="94"/>
      <c r="RWO21" s="94"/>
      <c r="RWP21" s="94"/>
      <c r="RWQ21" s="94"/>
      <c r="RWR21" s="94"/>
      <c r="RWS21" s="94"/>
      <c r="RWT21" s="94"/>
      <c r="RWU21" s="94"/>
      <c r="RWV21" s="94"/>
      <c r="RWW21" s="94"/>
      <c r="RWX21" s="94"/>
      <c r="RWY21" s="94"/>
      <c r="RWZ21" s="94"/>
      <c r="RXA21" s="94"/>
      <c r="RXB21" s="94"/>
      <c r="RXC21" s="94"/>
      <c r="RXD21" s="94"/>
      <c r="RXE21" s="94"/>
      <c r="RXF21" s="94"/>
      <c r="RXG21" s="94"/>
      <c r="RXH21" s="94"/>
      <c r="RXI21" s="94"/>
      <c r="RXJ21" s="94"/>
      <c r="RXK21" s="94"/>
      <c r="RXL21" s="94"/>
      <c r="RXM21" s="94"/>
      <c r="RXN21" s="94"/>
      <c r="RXO21" s="94"/>
      <c r="RXP21" s="94"/>
      <c r="RXQ21" s="94"/>
      <c r="RXR21" s="94"/>
      <c r="RXS21" s="94"/>
      <c r="RXT21" s="94"/>
      <c r="RXU21" s="94"/>
      <c r="RXV21" s="94"/>
      <c r="RXW21" s="94"/>
      <c r="RXX21" s="94"/>
      <c r="RXY21" s="94"/>
      <c r="RXZ21" s="94"/>
      <c r="RYA21" s="94"/>
      <c r="RYB21" s="94"/>
      <c r="RYC21" s="94"/>
      <c r="RYD21" s="94"/>
      <c r="RYE21" s="94"/>
      <c r="RYF21" s="94"/>
      <c r="RYG21" s="94"/>
      <c r="RYH21" s="94"/>
      <c r="RYI21" s="94"/>
      <c r="RYJ21" s="94"/>
      <c r="RYK21" s="94"/>
      <c r="RYL21" s="94"/>
      <c r="RYM21" s="94"/>
      <c r="RYN21" s="94"/>
      <c r="RYO21" s="94"/>
      <c r="RYP21" s="94"/>
      <c r="RYQ21" s="94"/>
      <c r="RYR21" s="94"/>
      <c r="RYS21" s="94"/>
      <c r="RYT21" s="94"/>
      <c r="RYU21" s="94"/>
      <c r="RYV21" s="94"/>
      <c r="RYW21" s="94"/>
      <c r="RYX21" s="94"/>
      <c r="RYY21" s="94"/>
      <c r="RYZ21" s="94"/>
      <c r="RZA21" s="94"/>
      <c r="RZB21" s="94"/>
      <c r="RZC21" s="94"/>
      <c r="RZD21" s="94"/>
      <c r="RZE21" s="94"/>
      <c r="RZF21" s="94"/>
      <c r="RZG21" s="94"/>
      <c r="RZH21" s="94"/>
      <c r="RZI21" s="94"/>
      <c r="RZJ21" s="94"/>
      <c r="RZK21" s="94"/>
      <c r="RZL21" s="94"/>
      <c r="RZM21" s="94"/>
      <c r="RZN21" s="94"/>
      <c r="RZO21" s="94"/>
      <c r="RZP21" s="94"/>
      <c r="RZQ21" s="94"/>
      <c r="RZR21" s="94"/>
      <c r="RZS21" s="94"/>
      <c r="RZT21" s="94"/>
      <c r="RZU21" s="94"/>
      <c r="RZV21" s="94"/>
      <c r="RZW21" s="94"/>
      <c r="RZX21" s="94"/>
      <c r="RZY21" s="94"/>
      <c r="RZZ21" s="94"/>
      <c r="SAA21" s="94"/>
      <c r="SAB21" s="94"/>
      <c r="SAC21" s="94"/>
      <c r="SAD21" s="94"/>
      <c r="SAE21" s="94"/>
      <c r="SAF21" s="94"/>
      <c r="SAG21" s="94"/>
      <c r="SAH21" s="94"/>
      <c r="SAI21" s="94"/>
      <c r="SAJ21" s="94"/>
      <c r="SAK21" s="94"/>
      <c r="SAL21" s="94"/>
      <c r="SAM21" s="94"/>
      <c r="SAN21" s="94"/>
      <c r="SAO21" s="94"/>
      <c r="SAP21" s="94"/>
      <c r="SAQ21" s="94"/>
      <c r="SAR21" s="94"/>
      <c r="SAS21" s="94"/>
      <c r="SAT21" s="94"/>
      <c r="SAU21" s="94"/>
      <c r="SAV21" s="94"/>
      <c r="SAW21" s="94"/>
      <c r="SAX21" s="94"/>
      <c r="SAY21" s="94"/>
      <c r="SAZ21" s="94"/>
      <c r="SBA21" s="94"/>
      <c r="SBB21" s="94"/>
      <c r="SBC21" s="94"/>
      <c r="SBD21" s="94"/>
      <c r="SBE21" s="94"/>
      <c r="SBF21" s="94"/>
      <c r="SBG21" s="94"/>
      <c r="SBH21" s="94"/>
      <c r="SBI21" s="94"/>
      <c r="SBJ21" s="94"/>
      <c r="SBK21" s="94"/>
      <c r="SBL21" s="94"/>
      <c r="SBM21" s="94"/>
      <c r="SBN21" s="94"/>
      <c r="SBO21" s="94"/>
      <c r="SBP21" s="94"/>
      <c r="SBQ21" s="94"/>
      <c r="SBR21" s="94"/>
      <c r="SBS21" s="94"/>
      <c r="SBT21" s="94"/>
      <c r="SBU21" s="94"/>
      <c r="SBV21" s="94"/>
      <c r="SBW21" s="94"/>
      <c r="SBX21" s="94"/>
      <c r="SBY21" s="94"/>
      <c r="SBZ21" s="94"/>
      <c r="SCA21" s="94"/>
      <c r="SCB21" s="94"/>
      <c r="SCC21" s="94"/>
      <c r="SCD21" s="94"/>
      <c r="SCE21" s="94"/>
      <c r="SCF21" s="94"/>
      <c r="SCG21" s="94"/>
      <c r="SCH21" s="94"/>
      <c r="SCI21" s="94"/>
      <c r="SCJ21" s="94"/>
      <c r="SCK21" s="94"/>
      <c r="SCL21" s="94"/>
      <c r="SCM21" s="94"/>
      <c r="SCN21" s="94"/>
      <c r="SCO21" s="94"/>
      <c r="SCP21" s="94"/>
      <c r="SCQ21" s="94"/>
      <c r="SCR21" s="94"/>
      <c r="SCS21" s="94"/>
      <c r="SCT21" s="94"/>
      <c r="SCU21" s="94"/>
      <c r="SCV21" s="94"/>
      <c r="SCW21" s="94"/>
      <c r="SCX21" s="94"/>
      <c r="SCY21" s="94"/>
      <c r="SCZ21" s="94"/>
      <c r="SDA21" s="94"/>
      <c r="SDB21" s="94"/>
      <c r="SDC21" s="94"/>
      <c r="SDD21" s="94"/>
      <c r="SDE21" s="94"/>
      <c r="SDF21" s="94"/>
      <c r="SDG21" s="94"/>
      <c r="SDH21" s="94"/>
      <c r="SDI21" s="94"/>
      <c r="SDJ21" s="94"/>
      <c r="SDK21" s="94"/>
      <c r="SDL21" s="94"/>
      <c r="SDM21" s="94"/>
      <c r="SDN21" s="94"/>
      <c r="SDO21" s="94"/>
      <c r="SDP21" s="94"/>
      <c r="SDQ21" s="94"/>
      <c r="SDR21" s="94"/>
      <c r="SDS21" s="94"/>
      <c r="SDT21" s="94"/>
      <c r="SDU21" s="94"/>
      <c r="SDV21" s="94"/>
      <c r="SDW21" s="94"/>
      <c r="SDX21" s="94"/>
      <c r="SDY21" s="94"/>
      <c r="SDZ21" s="94"/>
      <c r="SEA21" s="94"/>
      <c r="SEB21" s="94"/>
      <c r="SEC21" s="94"/>
      <c r="SED21" s="94"/>
      <c r="SEE21" s="94"/>
      <c r="SEF21" s="94"/>
      <c r="SEG21" s="94"/>
      <c r="SEH21" s="94"/>
      <c r="SEI21" s="94"/>
      <c r="SEJ21" s="94"/>
      <c r="SEK21" s="94"/>
      <c r="SEL21" s="94"/>
      <c r="SEM21" s="94"/>
      <c r="SEN21" s="94"/>
      <c r="SEO21" s="94"/>
      <c r="SEP21" s="94"/>
      <c r="SEQ21" s="94"/>
      <c r="SER21" s="94"/>
      <c r="SES21" s="94"/>
      <c r="SET21" s="94"/>
      <c r="SEU21" s="94"/>
      <c r="SEV21" s="94"/>
      <c r="SEW21" s="94"/>
      <c r="SEX21" s="94"/>
      <c r="SEY21" s="94"/>
      <c r="SEZ21" s="94"/>
      <c r="SFA21" s="94"/>
      <c r="SFB21" s="94"/>
      <c r="SFC21" s="94"/>
      <c r="SFD21" s="94"/>
      <c r="SFE21" s="94"/>
      <c r="SFF21" s="94"/>
      <c r="SFG21" s="94"/>
      <c r="SFH21" s="94"/>
      <c r="SFI21" s="94"/>
      <c r="SFJ21" s="94"/>
      <c r="SFK21" s="94"/>
      <c r="SFL21" s="94"/>
      <c r="SFM21" s="94"/>
      <c r="SFN21" s="94"/>
      <c r="SFO21" s="94"/>
      <c r="SFP21" s="94"/>
      <c r="SFQ21" s="94"/>
      <c r="SFR21" s="94"/>
      <c r="SFS21" s="94"/>
      <c r="SFT21" s="94"/>
      <c r="SFU21" s="94"/>
      <c r="SFV21" s="94"/>
      <c r="SFW21" s="94"/>
      <c r="SFX21" s="94"/>
      <c r="SFY21" s="94"/>
      <c r="SFZ21" s="94"/>
      <c r="SGA21" s="94"/>
      <c r="SGB21" s="94"/>
      <c r="SGC21" s="94"/>
      <c r="SGD21" s="94"/>
      <c r="SGE21" s="94"/>
      <c r="SGF21" s="94"/>
      <c r="SGG21" s="94"/>
      <c r="SGH21" s="94"/>
      <c r="SGI21" s="94"/>
      <c r="SGJ21" s="94"/>
      <c r="SGK21" s="94"/>
      <c r="SGL21" s="94"/>
      <c r="SGM21" s="94"/>
      <c r="SGN21" s="94"/>
      <c r="SGO21" s="94"/>
      <c r="SGP21" s="94"/>
      <c r="SGQ21" s="94"/>
      <c r="SGR21" s="94"/>
      <c r="SGS21" s="94"/>
      <c r="SGT21" s="94"/>
      <c r="SGU21" s="94"/>
      <c r="SGV21" s="94"/>
      <c r="SGW21" s="94"/>
      <c r="SGX21" s="94"/>
      <c r="SGY21" s="94"/>
      <c r="SGZ21" s="94"/>
      <c r="SHA21" s="94"/>
      <c r="SHB21" s="94"/>
      <c r="SHC21" s="94"/>
      <c r="SHD21" s="94"/>
      <c r="SHE21" s="94"/>
      <c r="SHF21" s="94"/>
      <c r="SHG21" s="94"/>
      <c r="SHH21" s="94"/>
      <c r="SHI21" s="94"/>
      <c r="SHJ21" s="94"/>
      <c r="SHK21" s="94"/>
      <c r="SHL21" s="94"/>
      <c r="SHM21" s="94"/>
      <c r="SHN21" s="94"/>
      <c r="SHO21" s="94"/>
      <c r="SHP21" s="94"/>
      <c r="SHQ21" s="94"/>
      <c r="SHR21" s="94"/>
      <c r="SHS21" s="94"/>
      <c r="SHT21" s="94"/>
      <c r="SHU21" s="94"/>
      <c r="SHV21" s="94"/>
      <c r="SHW21" s="94"/>
      <c r="SHX21" s="94"/>
      <c r="SHY21" s="94"/>
      <c r="SHZ21" s="94"/>
      <c r="SIA21" s="94"/>
      <c r="SIB21" s="94"/>
      <c r="SIC21" s="94"/>
      <c r="SID21" s="94"/>
      <c r="SIE21" s="94"/>
      <c r="SIF21" s="94"/>
      <c r="SIG21" s="94"/>
      <c r="SIH21" s="94"/>
      <c r="SII21" s="94"/>
      <c r="SIJ21" s="94"/>
      <c r="SIK21" s="94"/>
      <c r="SIL21" s="94"/>
      <c r="SIM21" s="94"/>
      <c r="SIN21" s="94"/>
      <c r="SIO21" s="94"/>
      <c r="SIP21" s="94"/>
      <c r="SIQ21" s="94"/>
      <c r="SIR21" s="94"/>
      <c r="SIS21" s="94"/>
      <c r="SIT21" s="94"/>
      <c r="SIU21" s="94"/>
      <c r="SIV21" s="94"/>
      <c r="SIW21" s="94"/>
      <c r="SIX21" s="94"/>
      <c r="SIY21" s="94"/>
      <c r="SIZ21" s="94"/>
      <c r="SJA21" s="94"/>
      <c r="SJB21" s="94"/>
      <c r="SJC21" s="94"/>
      <c r="SJD21" s="94"/>
      <c r="SJE21" s="94"/>
      <c r="SJF21" s="94"/>
      <c r="SJG21" s="94"/>
      <c r="SJH21" s="94"/>
      <c r="SJI21" s="94"/>
      <c r="SJJ21" s="94"/>
      <c r="SJK21" s="94"/>
      <c r="SJL21" s="94"/>
      <c r="SJM21" s="94"/>
      <c r="SJN21" s="94"/>
      <c r="SJO21" s="94"/>
      <c r="SJP21" s="94"/>
      <c r="SJQ21" s="94"/>
      <c r="SJR21" s="94"/>
      <c r="SJS21" s="94"/>
      <c r="SJT21" s="94"/>
      <c r="SJU21" s="94"/>
      <c r="SJV21" s="94"/>
      <c r="SJW21" s="94"/>
      <c r="SJX21" s="94"/>
      <c r="SJY21" s="94"/>
      <c r="SJZ21" s="94"/>
      <c r="SKA21" s="94"/>
      <c r="SKB21" s="94"/>
      <c r="SKC21" s="94"/>
      <c r="SKD21" s="94"/>
      <c r="SKE21" s="94"/>
      <c r="SKF21" s="94"/>
      <c r="SKG21" s="94"/>
      <c r="SKH21" s="94"/>
      <c r="SKI21" s="94"/>
      <c r="SKJ21" s="94"/>
      <c r="SKK21" s="94"/>
      <c r="SKL21" s="94"/>
      <c r="SKM21" s="94"/>
      <c r="SKN21" s="94"/>
      <c r="SKO21" s="94"/>
      <c r="SKP21" s="94"/>
      <c r="SKQ21" s="94"/>
      <c r="SKR21" s="94"/>
      <c r="SKS21" s="94"/>
      <c r="SKT21" s="94"/>
      <c r="SKU21" s="94"/>
      <c r="SKV21" s="94"/>
      <c r="SKW21" s="94"/>
      <c r="SKX21" s="94"/>
      <c r="SKY21" s="94"/>
      <c r="SKZ21" s="94"/>
      <c r="SLA21" s="94"/>
      <c r="SLB21" s="94"/>
      <c r="SLC21" s="94"/>
      <c r="SLD21" s="94"/>
      <c r="SLE21" s="94"/>
      <c r="SLF21" s="94"/>
      <c r="SLG21" s="94"/>
      <c r="SLH21" s="94"/>
      <c r="SLI21" s="94"/>
      <c r="SLJ21" s="94"/>
      <c r="SLK21" s="94"/>
      <c r="SLL21" s="94"/>
      <c r="SLM21" s="94"/>
      <c r="SLN21" s="94"/>
      <c r="SLO21" s="94"/>
      <c r="SLP21" s="94"/>
      <c r="SLQ21" s="94"/>
      <c r="SLR21" s="94"/>
      <c r="SLS21" s="94"/>
      <c r="SLT21" s="94"/>
      <c r="SLU21" s="94"/>
      <c r="SLV21" s="94"/>
      <c r="SLW21" s="94"/>
      <c r="SLX21" s="94"/>
      <c r="SLY21" s="94"/>
      <c r="SLZ21" s="94"/>
      <c r="SMA21" s="94"/>
      <c r="SMB21" s="94"/>
      <c r="SMC21" s="94"/>
      <c r="SMD21" s="94"/>
      <c r="SME21" s="94"/>
      <c r="SMF21" s="94"/>
      <c r="SMG21" s="94"/>
      <c r="SMH21" s="94"/>
      <c r="SMI21" s="94"/>
      <c r="SMJ21" s="94"/>
      <c r="SMK21" s="94"/>
      <c r="SML21" s="94"/>
      <c r="SMM21" s="94"/>
      <c r="SMN21" s="94"/>
      <c r="SMO21" s="94"/>
      <c r="SMP21" s="94"/>
      <c r="SMQ21" s="94"/>
      <c r="SMR21" s="94"/>
      <c r="SMS21" s="94"/>
      <c r="SMT21" s="94"/>
      <c r="SMU21" s="94"/>
      <c r="SMV21" s="94"/>
      <c r="SMW21" s="94"/>
      <c r="SMX21" s="94"/>
      <c r="SMY21" s="94"/>
      <c r="SMZ21" s="94"/>
      <c r="SNA21" s="94"/>
      <c r="SNB21" s="94"/>
      <c r="SNC21" s="94"/>
      <c r="SND21" s="94"/>
      <c r="SNE21" s="94"/>
      <c r="SNF21" s="94"/>
      <c r="SNG21" s="94"/>
      <c r="SNH21" s="94"/>
      <c r="SNI21" s="94"/>
      <c r="SNJ21" s="94"/>
      <c r="SNK21" s="94"/>
      <c r="SNL21" s="94"/>
      <c r="SNM21" s="94"/>
      <c r="SNN21" s="94"/>
      <c r="SNO21" s="94"/>
      <c r="SNP21" s="94"/>
      <c r="SNQ21" s="94"/>
      <c r="SNR21" s="94"/>
      <c r="SNS21" s="94"/>
      <c r="SNT21" s="94"/>
      <c r="SNU21" s="94"/>
      <c r="SNV21" s="94"/>
      <c r="SNW21" s="94"/>
      <c r="SNX21" s="94"/>
      <c r="SNY21" s="94"/>
      <c r="SNZ21" s="94"/>
      <c r="SOA21" s="94"/>
      <c r="SOB21" s="94"/>
      <c r="SOC21" s="94"/>
      <c r="SOD21" s="94"/>
      <c r="SOE21" s="94"/>
      <c r="SOF21" s="94"/>
      <c r="SOG21" s="94"/>
      <c r="SOH21" s="94"/>
      <c r="SOI21" s="94"/>
      <c r="SOJ21" s="94"/>
      <c r="SOK21" s="94"/>
      <c r="SOL21" s="94"/>
      <c r="SOM21" s="94"/>
      <c r="SON21" s="94"/>
      <c r="SOO21" s="94"/>
      <c r="SOP21" s="94"/>
      <c r="SOQ21" s="94"/>
      <c r="SOR21" s="94"/>
      <c r="SOS21" s="94"/>
      <c r="SOT21" s="94"/>
      <c r="SOU21" s="94"/>
      <c r="SOV21" s="94"/>
      <c r="SOW21" s="94"/>
      <c r="SOX21" s="94"/>
      <c r="SOY21" s="94"/>
      <c r="SOZ21" s="94"/>
      <c r="SPA21" s="94"/>
      <c r="SPB21" s="94"/>
      <c r="SPC21" s="94"/>
      <c r="SPD21" s="94"/>
      <c r="SPE21" s="94"/>
      <c r="SPF21" s="94"/>
      <c r="SPG21" s="94"/>
      <c r="SPH21" s="94"/>
      <c r="SPI21" s="94"/>
      <c r="SPJ21" s="94"/>
      <c r="SPK21" s="94"/>
      <c r="SPL21" s="94"/>
      <c r="SPM21" s="94"/>
      <c r="SPN21" s="94"/>
      <c r="SPO21" s="94"/>
      <c r="SPP21" s="94"/>
      <c r="SPQ21" s="94"/>
      <c r="SPR21" s="94"/>
      <c r="SPS21" s="94"/>
      <c r="SPT21" s="94"/>
      <c r="SPU21" s="94"/>
      <c r="SPV21" s="94"/>
      <c r="SPW21" s="94"/>
      <c r="SPX21" s="94"/>
      <c r="SPY21" s="94"/>
      <c r="SPZ21" s="94"/>
      <c r="SQA21" s="94"/>
      <c r="SQB21" s="94"/>
      <c r="SQC21" s="94"/>
      <c r="SQD21" s="94"/>
      <c r="SQE21" s="94"/>
      <c r="SQF21" s="94"/>
      <c r="SQG21" s="94"/>
      <c r="SQH21" s="94"/>
      <c r="SQI21" s="94"/>
      <c r="SQJ21" s="94"/>
      <c r="SQK21" s="94"/>
      <c r="SQL21" s="94"/>
      <c r="SQM21" s="94"/>
      <c r="SQN21" s="94"/>
      <c r="SQO21" s="94"/>
      <c r="SQP21" s="94"/>
      <c r="SQQ21" s="94"/>
      <c r="SQR21" s="94"/>
      <c r="SQS21" s="94"/>
      <c r="SQT21" s="94"/>
      <c r="SQU21" s="94"/>
      <c r="SQV21" s="94"/>
      <c r="SQW21" s="94"/>
      <c r="SQX21" s="94"/>
      <c r="SQY21" s="94"/>
      <c r="SQZ21" s="94"/>
      <c r="SRA21" s="94"/>
      <c r="SRB21" s="94"/>
      <c r="SRC21" s="94"/>
      <c r="SRD21" s="94"/>
      <c r="SRE21" s="94"/>
      <c r="SRF21" s="94"/>
      <c r="SRG21" s="94"/>
      <c r="SRH21" s="94"/>
      <c r="SRI21" s="94"/>
      <c r="SRJ21" s="94"/>
      <c r="SRK21" s="94"/>
      <c r="SRL21" s="94"/>
      <c r="SRM21" s="94"/>
      <c r="SRN21" s="94"/>
      <c r="SRO21" s="94"/>
      <c r="SRP21" s="94"/>
      <c r="SRQ21" s="94"/>
      <c r="SRR21" s="94"/>
      <c r="SRS21" s="94"/>
      <c r="SRT21" s="94"/>
      <c r="SRU21" s="94"/>
      <c r="SRV21" s="94"/>
      <c r="SRW21" s="94"/>
      <c r="SRX21" s="94"/>
      <c r="SRY21" s="94"/>
      <c r="SRZ21" s="94"/>
      <c r="SSA21" s="94"/>
      <c r="SSB21" s="94"/>
      <c r="SSC21" s="94"/>
      <c r="SSD21" s="94"/>
      <c r="SSE21" s="94"/>
      <c r="SSF21" s="94"/>
      <c r="SSG21" s="94"/>
      <c r="SSH21" s="94"/>
      <c r="SSI21" s="94"/>
      <c r="SSJ21" s="94"/>
      <c r="SSK21" s="94"/>
      <c r="SSL21" s="94"/>
      <c r="SSM21" s="94"/>
      <c r="SSN21" s="94"/>
      <c r="SSO21" s="94"/>
      <c r="SSP21" s="94"/>
      <c r="SSQ21" s="94"/>
      <c r="SSR21" s="94"/>
      <c r="SSS21" s="94"/>
      <c r="SST21" s="94"/>
      <c r="SSU21" s="94"/>
      <c r="SSV21" s="94"/>
      <c r="SSW21" s="94"/>
      <c r="SSX21" s="94"/>
      <c r="SSY21" s="94"/>
      <c r="SSZ21" s="94"/>
      <c r="STA21" s="94"/>
      <c r="STB21" s="94"/>
      <c r="STC21" s="94"/>
      <c r="STD21" s="94"/>
      <c r="STE21" s="94"/>
      <c r="STF21" s="94"/>
      <c r="STG21" s="94"/>
      <c r="STH21" s="94"/>
      <c r="STI21" s="94"/>
      <c r="STJ21" s="94"/>
      <c r="STK21" s="94"/>
      <c r="STL21" s="94"/>
      <c r="STM21" s="94"/>
      <c r="STN21" s="94"/>
      <c r="STO21" s="94"/>
      <c r="STP21" s="94"/>
      <c r="STQ21" s="94"/>
      <c r="STR21" s="94"/>
      <c r="STS21" s="94"/>
      <c r="STT21" s="94"/>
      <c r="STU21" s="94"/>
      <c r="STV21" s="94"/>
      <c r="STW21" s="94"/>
      <c r="STX21" s="94"/>
      <c r="STY21" s="94"/>
      <c r="STZ21" s="94"/>
      <c r="SUA21" s="94"/>
      <c r="SUB21" s="94"/>
      <c r="SUC21" s="94"/>
      <c r="SUD21" s="94"/>
      <c r="SUE21" s="94"/>
      <c r="SUF21" s="94"/>
      <c r="SUG21" s="94"/>
      <c r="SUH21" s="94"/>
      <c r="SUI21" s="94"/>
      <c r="SUJ21" s="94"/>
      <c r="SUK21" s="94"/>
      <c r="SUL21" s="94"/>
      <c r="SUM21" s="94"/>
      <c r="SUN21" s="94"/>
      <c r="SUO21" s="94"/>
      <c r="SUP21" s="94"/>
      <c r="SUQ21" s="94"/>
      <c r="SUR21" s="94"/>
      <c r="SUS21" s="94"/>
      <c r="SUT21" s="94"/>
      <c r="SUU21" s="94"/>
      <c r="SUV21" s="94"/>
      <c r="SUW21" s="94"/>
      <c r="SUX21" s="94"/>
      <c r="SUY21" s="94"/>
      <c r="SUZ21" s="94"/>
      <c r="SVA21" s="94"/>
      <c r="SVB21" s="94"/>
      <c r="SVC21" s="94"/>
      <c r="SVD21" s="94"/>
      <c r="SVE21" s="94"/>
      <c r="SVF21" s="94"/>
      <c r="SVG21" s="94"/>
      <c r="SVH21" s="94"/>
      <c r="SVI21" s="94"/>
      <c r="SVJ21" s="94"/>
      <c r="SVK21" s="94"/>
      <c r="SVL21" s="94"/>
      <c r="SVM21" s="94"/>
      <c r="SVN21" s="94"/>
      <c r="SVO21" s="94"/>
      <c r="SVP21" s="94"/>
      <c r="SVQ21" s="94"/>
      <c r="SVR21" s="94"/>
      <c r="SVS21" s="94"/>
      <c r="SVT21" s="94"/>
      <c r="SVU21" s="94"/>
      <c r="SVV21" s="94"/>
      <c r="SVW21" s="94"/>
      <c r="SVX21" s="94"/>
      <c r="SVY21" s="94"/>
      <c r="SVZ21" s="94"/>
      <c r="SWA21" s="94"/>
      <c r="SWB21" s="94"/>
      <c r="SWC21" s="94"/>
      <c r="SWD21" s="94"/>
      <c r="SWE21" s="94"/>
      <c r="SWF21" s="94"/>
      <c r="SWG21" s="94"/>
      <c r="SWH21" s="94"/>
      <c r="SWI21" s="94"/>
      <c r="SWJ21" s="94"/>
      <c r="SWK21" s="94"/>
      <c r="SWL21" s="94"/>
      <c r="SWM21" s="94"/>
      <c r="SWN21" s="94"/>
      <c r="SWO21" s="94"/>
      <c r="SWP21" s="94"/>
      <c r="SWQ21" s="94"/>
      <c r="SWR21" s="94"/>
      <c r="SWS21" s="94"/>
      <c r="SWT21" s="94"/>
      <c r="SWU21" s="94"/>
      <c r="SWV21" s="94"/>
      <c r="SWW21" s="94"/>
      <c r="SWX21" s="94"/>
      <c r="SWY21" s="94"/>
      <c r="SWZ21" s="94"/>
      <c r="SXA21" s="94"/>
      <c r="SXB21" s="94"/>
      <c r="SXC21" s="94"/>
      <c r="SXD21" s="94"/>
      <c r="SXE21" s="94"/>
      <c r="SXF21" s="94"/>
      <c r="SXG21" s="94"/>
      <c r="SXH21" s="94"/>
      <c r="SXI21" s="94"/>
      <c r="SXJ21" s="94"/>
      <c r="SXK21" s="94"/>
      <c r="SXL21" s="94"/>
      <c r="SXM21" s="94"/>
      <c r="SXN21" s="94"/>
      <c r="SXO21" s="94"/>
      <c r="SXP21" s="94"/>
      <c r="SXQ21" s="94"/>
      <c r="SXR21" s="94"/>
      <c r="SXS21" s="94"/>
      <c r="SXT21" s="94"/>
      <c r="SXU21" s="94"/>
      <c r="SXV21" s="94"/>
      <c r="SXW21" s="94"/>
      <c r="SXX21" s="94"/>
      <c r="SXY21" s="94"/>
      <c r="SXZ21" s="94"/>
      <c r="SYA21" s="94"/>
      <c r="SYB21" s="94"/>
      <c r="SYC21" s="94"/>
      <c r="SYD21" s="94"/>
      <c r="SYE21" s="94"/>
      <c r="SYF21" s="94"/>
      <c r="SYG21" s="94"/>
      <c r="SYH21" s="94"/>
      <c r="SYI21" s="94"/>
      <c r="SYJ21" s="94"/>
      <c r="SYK21" s="94"/>
      <c r="SYL21" s="94"/>
      <c r="SYM21" s="94"/>
      <c r="SYN21" s="94"/>
      <c r="SYO21" s="94"/>
      <c r="SYP21" s="94"/>
      <c r="SYQ21" s="94"/>
      <c r="SYR21" s="94"/>
      <c r="SYS21" s="94"/>
      <c r="SYT21" s="94"/>
      <c r="SYU21" s="94"/>
      <c r="SYV21" s="94"/>
      <c r="SYW21" s="94"/>
      <c r="SYX21" s="94"/>
      <c r="SYY21" s="94"/>
      <c r="SYZ21" s="94"/>
      <c r="SZA21" s="94"/>
      <c r="SZB21" s="94"/>
      <c r="SZC21" s="94"/>
      <c r="SZD21" s="94"/>
      <c r="SZE21" s="94"/>
      <c r="SZF21" s="94"/>
      <c r="SZG21" s="94"/>
      <c r="SZH21" s="94"/>
      <c r="SZI21" s="94"/>
      <c r="SZJ21" s="94"/>
      <c r="SZK21" s="94"/>
      <c r="SZL21" s="94"/>
      <c r="SZM21" s="94"/>
      <c r="SZN21" s="94"/>
      <c r="SZO21" s="94"/>
      <c r="SZP21" s="94"/>
      <c r="SZQ21" s="94"/>
      <c r="SZR21" s="94"/>
      <c r="SZS21" s="94"/>
      <c r="SZT21" s="94"/>
      <c r="SZU21" s="94"/>
      <c r="SZV21" s="94"/>
      <c r="SZW21" s="94"/>
      <c r="SZX21" s="94"/>
      <c r="SZY21" s="94"/>
      <c r="SZZ21" s="94"/>
      <c r="TAA21" s="94"/>
      <c r="TAB21" s="94"/>
      <c r="TAC21" s="94"/>
      <c r="TAD21" s="94"/>
      <c r="TAE21" s="94"/>
      <c r="TAF21" s="94"/>
      <c r="TAG21" s="94"/>
      <c r="TAH21" s="94"/>
      <c r="TAI21" s="94"/>
      <c r="TAJ21" s="94"/>
      <c r="TAK21" s="94"/>
      <c r="TAL21" s="94"/>
      <c r="TAM21" s="94"/>
      <c r="TAN21" s="94"/>
      <c r="TAO21" s="94"/>
      <c r="TAP21" s="94"/>
      <c r="TAQ21" s="94"/>
      <c r="TAR21" s="94"/>
      <c r="TAS21" s="94"/>
      <c r="TAT21" s="94"/>
      <c r="TAU21" s="94"/>
      <c r="TAV21" s="94"/>
      <c r="TAW21" s="94"/>
      <c r="TAX21" s="94"/>
      <c r="TAY21" s="94"/>
      <c r="TAZ21" s="94"/>
      <c r="TBA21" s="94"/>
      <c r="TBB21" s="94"/>
      <c r="TBC21" s="94"/>
      <c r="TBD21" s="94"/>
      <c r="TBE21" s="94"/>
      <c r="TBF21" s="94"/>
      <c r="TBG21" s="94"/>
      <c r="TBH21" s="94"/>
      <c r="TBI21" s="94"/>
      <c r="TBJ21" s="94"/>
      <c r="TBK21" s="94"/>
      <c r="TBL21" s="94"/>
      <c r="TBM21" s="94"/>
      <c r="TBN21" s="94"/>
      <c r="TBO21" s="94"/>
      <c r="TBP21" s="94"/>
      <c r="TBQ21" s="94"/>
      <c r="TBR21" s="94"/>
      <c r="TBS21" s="94"/>
      <c r="TBT21" s="94"/>
      <c r="TBU21" s="94"/>
      <c r="TBV21" s="94"/>
      <c r="TBW21" s="94"/>
      <c r="TBX21" s="94"/>
      <c r="TBY21" s="94"/>
      <c r="TBZ21" s="94"/>
      <c r="TCA21" s="94"/>
      <c r="TCB21" s="94"/>
      <c r="TCC21" s="94"/>
      <c r="TCD21" s="94"/>
      <c r="TCE21" s="94"/>
      <c r="TCF21" s="94"/>
      <c r="TCG21" s="94"/>
      <c r="TCH21" s="94"/>
      <c r="TCI21" s="94"/>
      <c r="TCJ21" s="94"/>
      <c r="TCK21" s="94"/>
      <c r="TCL21" s="94"/>
      <c r="TCM21" s="94"/>
      <c r="TCN21" s="94"/>
      <c r="TCO21" s="94"/>
      <c r="TCP21" s="94"/>
      <c r="TCQ21" s="94"/>
      <c r="TCR21" s="94"/>
      <c r="TCS21" s="94"/>
      <c r="TCT21" s="94"/>
      <c r="TCU21" s="94"/>
      <c r="TCV21" s="94"/>
      <c r="TCW21" s="94"/>
      <c r="TCX21" s="94"/>
      <c r="TCY21" s="94"/>
      <c r="TCZ21" s="94"/>
      <c r="TDA21" s="94"/>
      <c r="TDB21" s="94"/>
      <c r="TDC21" s="94"/>
      <c r="TDD21" s="94"/>
      <c r="TDE21" s="94"/>
      <c r="TDF21" s="94"/>
      <c r="TDG21" s="94"/>
      <c r="TDH21" s="94"/>
      <c r="TDI21" s="94"/>
      <c r="TDJ21" s="94"/>
      <c r="TDK21" s="94"/>
      <c r="TDL21" s="94"/>
      <c r="TDM21" s="94"/>
      <c r="TDN21" s="94"/>
      <c r="TDO21" s="94"/>
      <c r="TDP21" s="94"/>
      <c r="TDQ21" s="94"/>
      <c r="TDR21" s="94"/>
      <c r="TDS21" s="94"/>
      <c r="TDT21" s="94"/>
      <c r="TDU21" s="94"/>
      <c r="TDV21" s="94"/>
      <c r="TDW21" s="94"/>
      <c r="TDX21" s="94"/>
      <c r="TDY21" s="94"/>
      <c r="TDZ21" s="94"/>
      <c r="TEA21" s="94"/>
      <c r="TEB21" s="94"/>
      <c r="TEC21" s="94"/>
      <c r="TED21" s="94"/>
      <c r="TEE21" s="94"/>
      <c r="TEF21" s="94"/>
      <c r="TEG21" s="94"/>
      <c r="TEH21" s="94"/>
      <c r="TEI21" s="94"/>
      <c r="TEJ21" s="94"/>
      <c r="TEK21" s="94"/>
      <c r="TEL21" s="94"/>
      <c r="TEM21" s="94"/>
      <c r="TEN21" s="94"/>
      <c r="TEO21" s="94"/>
      <c r="TEP21" s="94"/>
      <c r="TEQ21" s="94"/>
      <c r="TER21" s="94"/>
      <c r="TES21" s="94"/>
      <c r="TET21" s="94"/>
      <c r="TEU21" s="94"/>
      <c r="TEV21" s="94"/>
      <c r="TEW21" s="94"/>
      <c r="TEX21" s="94"/>
      <c r="TEY21" s="94"/>
      <c r="TEZ21" s="94"/>
      <c r="TFA21" s="94"/>
      <c r="TFB21" s="94"/>
      <c r="TFC21" s="94"/>
      <c r="TFD21" s="94"/>
      <c r="TFE21" s="94"/>
      <c r="TFF21" s="94"/>
      <c r="TFG21" s="94"/>
      <c r="TFH21" s="94"/>
      <c r="TFI21" s="94"/>
      <c r="TFJ21" s="94"/>
      <c r="TFK21" s="94"/>
      <c r="TFL21" s="94"/>
      <c r="TFM21" s="94"/>
      <c r="TFN21" s="94"/>
      <c r="TFO21" s="94"/>
      <c r="TFP21" s="94"/>
      <c r="TFQ21" s="94"/>
      <c r="TFR21" s="94"/>
      <c r="TFS21" s="94"/>
      <c r="TFT21" s="94"/>
      <c r="TFU21" s="94"/>
      <c r="TFV21" s="94"/>
      <c r="TFW21" s="94"/>
      <c r="TFX21" s="94"/>
      <c r="TFY21" s="94"/>
      <c r="TFZ21" s="94"/>
      <c r="TGA21" s="94"/>
      <c r="TGB21" s="94"/>
      <c r="TGC21" s="94"/>
      <c r="TGD21" s="94"/>
      <c r="TGE21" s="94"/>
      <c r="TGF21" s="94"/>
      <c r="TGG21" s="94"/>
      <c r="TGH21" s="94"/>
      <c r="TGI21" s="94"/>
      <c r="TGJ21" s="94"/>
      <c r="TGK21" s="94"/>
      <c r="TGL21" s="94"/>
      <c r="TGM21" s="94"/>
      <c r="TGN21" s="94"/>
      <c r="TGO21" s="94"/>
      <c r="TGP21" s="94"/>
      <c r="TGQ21" s="94"/>
      <c r="TGR21" s="94"/>
      <c r="TGS21" s="94"/>
      <c r="TGT21" s="94"/>
      <c r="TGU21" s="94"/>
      <c r="TGV21" s="94"/>
      <c r="TGW21" s="94"/>
      <c r="TGX21" s="94"/>
      <c r="TGY21" s="94"/>
      <c r="TGZ21" s="94"/>
      <c r="THA21" s="94"/>
      <c r="THB21" s="94"/>
      <c r="THC21" s="94"/>
      <c r="THD21" s="94"/>
      <c r="THE21" s="94"/>
      <c r="THF21" s="94"/>
      <c r="THG21" s="94"/>
      <c r="THH21" s="94"/>
      <c r="THI21" s="94"/>
      <c r="THJ21" s="94"/>
      <c r="THK21" s="94"/>
      <c r="THL21" s="94"/>
      <c r="THM21" s="94"/>
      <c r="THN21" s="94"/>
      <c r="THO21" s="94"/>
      <c r="THP21" s="94"/>
      <c r="THQ21" s="94"/>
      <c r="THR21" s="94"/>
      <c r="THS21" s="94"/>
      <c r="THT21" s="94"/>
      <c r="THU21" s="94"/>
      <c r="THV21" s="94"/>
      <c r="THW21" s="94"/>
      <c r="THX21" s="94"/>
      <c r="THY21" s="94"/>
      <c r="THZ21" s="94"/>
      <c r="TIA21" s="94"/>
      <c r="TIB21" s="94"/>
      <c r="TIC21" s="94"/>
      <c r="TID21" s="94"/>
      <c r="TIE21" s="94"/>
      <c r="TIF21" s="94"/>
      <c r="TIG21" s="94"/>
      <c r="TIH21" s="94"/>
      <c r="TII21" s="94"/>
      <c r="TIJ21" s="94"/>
      <c r="TIK21" s="94"/>
      <c r="TIL21" s="94"/>
      <c r="TIM21" s="94"/>
      <c r="TIN21" s="94"/>
      <c r="TIO21" s="94"/>
      <c r="TIP21" s="94"/>
      <c r="TIQ21" s="94"/>
      <c r="TIR21" s="94"/>
      <c r="TIS21" s="94"/>
      <c r="TIT21" s="94"/>
      <c r="TIU21" s="94"/>
      <c r="TIV21" s="94"/>
      <c r="TIW21" s="94"/>
      <c r="TIX21" s="94"/>
      <c r="TIY21" s="94"/>
      <c r="TIZ21" s="94"/>
      <c r="TJA21" s="94"/>
      <c r="TJB21" s="94"/>
      <c r="TJC21" s="94"/>
      <c r="TJD21" s="94"/>
      <c r="TJE21" s="94"/>
      <c r="TJF21" s="94"/>
      <c r="TJG21" s="94"/>
      <c r="TJH21" s="94"/>
      <c r="TJI21" s="94"/>
      <c r="TJJ21" s="94"/>
      <c r="TJK21" s="94"/>
      <c r="TJL21" s="94"/>
      <c r="TJM21" s="94"/>
      <c r="TJN21" s="94"/>
      <c r="TJO21" s="94"/>
      <c r="TJP21" s="94"/>
      <c r="TJQ21" s="94"/>
      <c r="TJR21" s="94"/>
      <c r="TJS21" s="94"/>
      <c r="TJT21" s="94"/>
      <c r="TJU21" s="94"/>
      <c r="TJV21" s="94"/>
      <c r="TJW21" s="94"/>
      <c r="TJX21" s="94"/>
      <c r="TJY21" s="94"/>
      <c r="TJZ21" s="94"/>
      <c r="TKA21" s="94"/>
      <c r="TKB21" s="94"/>
      <c r="TKC21" s="94"/>
      <c r="TKD21" s="94"/>
      <c r="TKE21" s="94"/>
      <c r="TKF21" s="94"/>
      <c r="TKG21" s="94"/>
      <c r="TKH21" s="94"/>
      <c r="TKI21" s="94"/>
      <c r="TKJ21" s="94"/>
      <c r="TKK21" s="94"/>
      <c r="TKL21" s="94"/>
      <c r="TKM21" s="94"/>
      <c r="TKN21" s="94"/>
      <c r="TKO21" s="94"/>
      <c r="TKP21" s="94"/>
      <c r="TKQ21" s="94"/>
      <c r="TKR21" s="94"/>
      <c r="TKS21" s="94"/>
      <c r="TKT21" s="94"/>
      <c r="TKU21" s="94"/>
      <c r="TKV21" s="94"/>
      <c r="TKW21" s="94"/>
      <c r="TKX21" s="94"/>
      <c r="TKY21" s="94"/>
      <c r="TKZ21" s="94"/>
      <c r="TLA21" s="94"/>
      <c r="TLB21" s="94"/>
      <c r="TLC21" s="94"/>
      <c r="TLD21" s="94"/>
      <c r="TLE21" s="94"/>
      <c r="TLF21" s="94"/>
      <c r="TLG21" s="94"/>
      <c r="TLH21" s="94"/>
      <c r="TLI21" s="94"/>
      <c r="TLJ21" s="94"/>
      <c r="TLK21" s="94"/>
      <c r="TLL21" s="94"/>
      <c r="TLM21" s="94"/>
      <c r="TLN21" s="94"/>
      <c r="TLO21" s="94"/>
      <c r="TLP21" s="94"/>
      <c r="TLQ21" s="94"/>
      <c r="TLR21" s="94"/>
      <c r="TLS21" s="94"/>
      <c r="TLT21" s="94"/>
      <c r="TLU21" s="94"/>
      <c r="TLV21" s="94"/>
      <c r="TLW21" s="94"/>
      <c r="TLX21" s="94"/>
      <c r="TLY21" s="94"/>
      <c r="TLZ21" s="94"/>
      <c r="TMA21" s="94"/>
      <c r="TMB21" s="94"/>
      <c r="TMC21" s="94"/>
      <c r="TMD21" s="94"/>
      <c r="TME21" s="94"/>
      <c r="TMF21" s="94"/>
      <c r="TMG21" s="94"/>
      <c r="TMH21" s="94"/>
      <c r="TMI21" s="94"/>
      <c r="TMJ21" s="94"/>
      <c r="TMK21" s="94"/>
      <c r="TML21" s="94"/>
      <c r="TMM21" s="94"/>
      <c r="TMN21" s="94"/>
      <c r="TMO21" s="94"/>
      <c r="TMP21" s="94"/>
      <c r="TMQ21" s="94"/>
      <c r="TMR21" s="94"/>
      <c r="TMS21" s="94"/>
      <c r="TMT21" s="94"/>
      <c r="TMU21" s="94"/>
      <c r="TMV21" s="94"/>
      <c r="TMW21" s="94"/>
      <c r="TMX21" s="94"/>
      <c r="TMY21" s="94"/>
      <c r="TMZ21" s="94"/>
      <c r="TNA21" s="94"/>
      <c r="TNB21" s="94"/>
      <c r="TNC21" s="94"/>
      <c r="TND21" s="94"/>
      <c r="TNE21" s="94"/>
      <c r="TNF21" s="94"/>
      <c r="TNG21" s="94"/>
      <c r="TNH21" s="94"/>
      <c r="TNI21" s="94"/>
      <c r="TNJ21" s="94"/>
      <c r="TNK21" s="94"/>
      <c r="TNL21" s="94"/>
      <c r="TNM21" s="94"/>
      <c r="TNN21" s="94"/>
      <c r="TNO21" s="94"/>
      <c r="TNP21" s="94"/>
      <c r="TNQ21" s="94"/>
      <c r="TNR21" s="94"/>
      <c r="TNS21" s="94"/>
      <c r="TNT21" s="94"/>
      <c r="TNU21" s="94"/>
      <c r="TNV21" s="94"/>
      <c r="TNW21" s="94"/>
      <c r="TNX21" s="94"/>
      <c r="TNY21" s="94"/>
      <c r="TNZ21" s="94"/>
      <c r="TOA21" s="94"/>
      <c r="TOB21" s="94"/>
      <c r="TOC21" s="94"/>
      <c r="TOD21" s="94"/>
      <c r="TOE21" s="94"/>
      <c r="TOF21" s="94"/>
      <c r="TOG21" s="94"/>
      <c r="TOH21" s="94"/>
      <c r="TOI21" s="94"/>
      <c r="TOJ21" s="94"/>
      <c r="TOK21" s="94"/>
      <c r="TOL21" s="94"/>
      <c r="TOM21" s="94"/>
      <c r="TON21" s="94"/>
      <c r="TOO21" s="94"/>
      <c r="TOP21" s="94"/>
      <c r="TOQ21" s="94"/>
      <c r="TOR21" s="94"/>
      <c r="TOS21" s="94"/>
      <c r="TOT21" s="94"/>
      <c r="TOU21" s="94"/>
      <c r="TOV21" s="94"/>
      <c r="TOW21" s="94"/>
      <c r="TOX21" s="94"/>
      <c r="TOY21" s="94"/>
      <c r="TOZ21" s="94"/>
      <c r="TPA21" s="94"/>
      <c r="TPB21" s="94"/>
      <c r="TPC21" s="94"/>
      <c r="TPD21" s="94"/>
      <c r="TPE21" s="94"/>
      <c r="TPF21" s="94"/>
      <c r="TPG21" s="94"/>
      <c r="TPH21" s="94"/>
      <c r="TPI21" s="94"/>
      <c r="TPJ21" s="94"/>
      <c r="TPK21" s="94"/>
      <c r="TPL21" s="94"/>
      <c r="TPM21" s="94"/>
      <c r="TPN21" s="94"/>
      <c r="TPO21" s="94"/>
      <c r="TPP21" s="94"/>
      <c r="TPQ21" s="94"/>
      <c r="TPR21" s="94"/>
      <c r="TPS21" s="94"/>
      <c r="TPT21" s="94"/>
      <c r="TPU21" s="94"/>
      <c r="TPV21" s="94"/>
      <c r="TPW21" s="94"/>
      <c r="TPX21" s="94"/>
      <c r="TPY21" s="94"/>
      <c r="TPZ21" s="94"/>
      <c r="TQA21" s="94"/>
      <c r="TQB21" s="94"/>
      <c r="TQC21" s="94"/>
      <c r="TQD21" s="94"/>
      <c r="TQE21" s="94"/>
      <c r="TQF21" s="94"/>
      <c r="TQG21" s="94"/>
      <c r="TQH21" s="94"/>
      <c r="TQI21" s="94"/>
      <c r="TQJ21" s="94"/>
      <c r="TQK21" s="94"/>
      <c r="TQL21" s="94"/>
      <c r="TQM21" s="94"/>
      <c r="TQN21" s="94"/>
      <c r="TQO21" s="94"/>
      <c r="TQP21" s="94"/>
      <c r="TQQ21" s="94"/>
      <c r="TQR21" s="94"/>
      <c r="TQS21" s="94"/>
      <c r="TQT21" s="94"/>
      <c r="TQU21" s="94"/>
      <c r="TQV21" s="94"/>
      <c r="TQW21" s="94"/>
      <c r="TQX21" s="94"/>
      <c r="TQY21" s="94"/>
      <c r="TQZ21" s="94"/>
      <c r="TRA21" s="94"/>
      <c r="TRB21" s="94"/>
      <c r="TRC21" s="94"/>
      <c r="TRD21" s="94"/>
      <c r="TRE21" s="94"/>
      <c r="TRF21" s="94"/>
      <c r="TRG21" s="94"/>
      <c r="TRH21" s="94"/>
      <c r="TRI21" s="94"/>
      <c r="TRJ21" s="94"/>
      <c r="TRK21" s="94"/>
      <c r="TRL21" s="94"/>
      <c r="TRM21" s="94"/>
      <c r="TRN21" s="94"/>
      <c r="TRO21" s="94"/>
      <c r="TRP21" s="94"/>
      <c r="TRQ21" s="94"/>
      <c r="TRR21" s="94"/>
      <c r="TRS21" s="94"/>
      <c r="TRT21" s="94"/>
      <c r="TRU21" s="94"/>
      <c r="TRV21" s="94"/>
      <c r="TRW21" s="94"/>
      <c r="TRX21" s="94"/>
      <c r="TRY21" s="94"/>
      <c r="TRZ21" s="94"/>
      <c r="TSA21" s="94"/>
      <c r="TSB21" s="94"/>
      <c r="TSC21" s="94"/>
      <c r="TSD21" s="94"/>
      <c r="TSE21" s="94"/>
      <c r="TSF21" s="94"/>
      <c r="TSG21" s="94"/>
      <c r="TSH21" s="94"/>
      <c r="TSI21" s="94"/>
      <c r="TSJ21" s="94"/>
      <c r="TSK21" s="94"/>
      <c r="TSL21" s="94"/>
      <c r="TSM21" s="94"/>
      <c r="TSN21" s="94"/>
      <c r="TSO21" s="94"/>
      <c r="TSP21" s="94"/>
      <c r="TSQ21" s="94"/>
      <c r="TSR21" s="94"/>
      <c r="TSS21" s="94"/>
      <c r="TST21" s="94"/>
      <c r="TSU21" s="94"/>
      <c r="TSV21" s="94"/>
      <c r="TSW21" s="94"/>
      <c r="TSX21" s="94"/>
      <c r="TSY21" s="94"/>
      <c r="TSZ21" s="94"/>
      <c r="TTA21" s="94"/>
      <c r="TTB21" s="94"/>
      <c r="TTC21" s="94"/>
      <c r="TTD21" s="94"/>
      <c r="TTE21" s="94"/>
      <c r="TTF21" s="94"/>
      <c r="TTG21" s="94"/>
      <c r="TTH21" s="94"/>
      <c r="TTI21" s="94"/>
      <c r="TTJ21" s="94"/>
      <c r="TTK21" s="94"/>
      <c r="TTL21" s="94"/>
      <c r="TTM21" s="94"/>
      <c r="TTN21" s="94"/>
      <c r="TTO21" s="94"/>
      <c r="TTP21" s="94"/>
      <c r="TTQ21" s="94"/>
      <c r="TTR21" s="94"/>
      <c r="TTS21" s="94"/>
      <c r="TTT21" s="94"/>
      <c r="TTU21" s="94"/>
      <c r="TTV21" s="94"/>
      <c r="TTW21" s="94"/>
      <c r="TTX21" s="94"/>
      <c r="TTY21" s="94"/>
      <c r="TTZ21" s="94"/>
      <c r="TUA21" s="94"/>
      <c r="TUB21" s="94"/>
      <c r="TUC21" s="94"/>
      <c r="TUD21" s="94"/>
      <c r="TUE21" s="94"/>
      <c r="TUF21" s="94"/>
      <c r="TUG21" s="94"/>
      <c r="TUH21" s="94"/>
      <c r="TUI21" s="94"/>
      <c r="TUJ21" s="94"/>
      <c r="TUK21" s="94"/>
      <c r="TUL21" s="94"/>
      <c r="TUM21" s="94"/>
      <c r="TUN21" s="94"/>
      <c r="TUO21" s="94"/>
      <c r="TUP21" s="94"/>
      <c r="TUQ21" s="94"/>
      <c r="TUR21" s="94"/>
      <c r="TUS21" s="94"/>
      <c r="TUT21" s="94"/>
      <c r="TUU21" s="94"/>
      <c r="TUV21" s="94"/>
      <c r="TUW21" s="94"/>
      <c r="TUX21" s="94"/>
      <c r="TUY21" s="94"/>
      <c r="TUZ21" s="94"/>
      <c r="TVA21" s="94"/>
      <c r="TVB21" s="94"/>
      <c r="TVC21" s="94"/>
      <c r="TVD21" s="94"/>
      <c r="TVE21" s="94"/>
      <c r="TVF21" s="94"/>
      <c r="TVG21" s="94"/>
      <c r="TVH21" s="94"/>
      <c r="TVI21" s="94"/>
      <c r="TVJ21" s="94"/>
      <c r="TVK21" s="94"/>
      <c r="TVL21" s="94"/>
      <c r="TVM21" s="94"/>
      <c r="TVN21" s="94"/>
      <c r="TVO21" s="94"/>
      <c r="TVP21" s="94"/>
      <c r="TVQ21" s="94"/>
      <c r="TVR21" s="94"/>
      <c r="TVS21" s="94"/>
      <c r="TVT21" s="94"/>
      <c r="TVU21" s="94"/>
      <c r="TVV21" s="94"/>
      <c r="TVW21" s="94"/>
      <c r="TVX21" s="94"/>
      <c r="TVY21" s="94"/>
      <c r="TVZ21" s="94"/>
      <c r="TWA21" s="94"/>
      <c r="TWB21" s="94"/>
      <c r="TWC21" s="94"/>
      <c r="TWD21" s="94"/>
      <c r="TWE21" s="94"/>
      <c r="TWF21" s="94"/>
      <c r="TWG21" s="94"/>
      <c r="TWH21" s="94"/>
      <c r="TWI21" s="94"/>
      <c r="TWJ21" s="94"/>
      <c r="TWK21" s="94"/>
      <c r="TWL21" s="94"/>
      <c r="TWM21" s="94"/>
      <c r="TWN21" s="94"/>
      <c r="TWO21" s="94"/>
      <c r="TWP21" s="94"/>
      <c r="TWQ21" s="94"/>
      <c r="TWR21" s="94"/>
      <c r="TWS21" s="94"/>
      <c r="TWT21" s="94"/>
      <c r="TWU21" s="94"/>
      <c r="TWV21" s="94"/>
      <c r="TWW21" s="94"/>
      <c r="TWX21" s="94"/>
      <c r="TWY21" s="94"/>
      <c r="TWZ21" s="94"/>
      <c r="TXA21" s="94"/>
      <c r="TXB21" s="94"/>
      <c r="TXC21" s="94"/>
      <c r="TXD21" s="94"/>
      <c r="TXE21" s="94"/>
      <c r="TXF21" s="94"/>
      <c r="TXG21" s="94"/>
      <c r="TXH21" s="94"/>
      <c r="TXI21" s="94"/>
      <c r="TXJ21" s="94"/>
      <c r="TXK21" s="94"/>
      <c r="TXL21" s="94"/>
      <c r="TXM21" s="94"/>
      <c r="TXN21" s="94"/>
      <c r="TXO21" s="94"/>
      <c r="TXP21" s="94"/>
      <c r="TXQ21" s="94"/>
      <c r="TXR21" s="94"/>
      <c r="TXS21" s="94"/>
      <c r="TXT21" s="94"/>
      <c r="TXU21" s="94"/>
      <c r="TXV21" s="94"/>
      <c r="TXW21" s="94"/>
      <c r="TXX21" s="94"/>
      <c r="TXY21" s="94"/>
      <c r="TXZ21" s="94"/>
      <c r="TYA21" s="94"/>
      <c r="TYB21" s="94"/>
      <c r="TYC21" s="94"/>
      <c r="TYD21" s="94"/>
      <c r="TYE21" s="94"/>
      <c r="TYF21" s="94"/>
      <c r="TYG21" s="94"/>
      <c r="TYH21" s="94"/>
      <c r="TYI21" s="94"/>
      <c r="TYJ21" s="94"/>
      <c r="TYK21" s="94"/>
      <c r="TYL21" s="94"/>
      <c r="TYM21" s="94"/>
      <c r="TYN21" s="94"/>
      <c r="TYO21" s="94"/>
      <c r="TYP21" s="94"/>
      <c r="TYQ21" s="94"/>
      <c r="TYR21" s="94"/>
      <c r="TYS21" s="94"/>
      <c r="TYT21" s="94"/>
      <c r="TYU21" s="94"/>
      <c r="TYV21" s="94"/>
      <c r="TYW21" s="94"/>
      <c r="TYX21" s="94"/>
      <c r="TYY21" s="94"/>
      <c r="TYZ21" s="94"/>
      <c r="TZA21" s="94"/>
      <c r="TZB21" s="94"/>
      <c r="TZC21" s="94"/>
      <c r="TZD21" s="94"/>
      <c r="TZE21" s="94"/>
      <c r="TZF21" s="94"/>
      <c r="TZG21" s="94"/>
      <c r="TZH21" s="94"/>
      <c r="TZI21" s="94"/>
      <c r="TZJ21" s="94"/>
      <c r="TZK21" s="94"/>
      <c r="TZL21" s="94"/>
      <c r="TZM21" s="94"/>
      <c r="TZN21" s="94"/>
      <c r="TZO21" s="94"/>
      <c r="TZP21" s="94"/>
      <c r="TZQ21" s="94"/>
      <c r="TZR21" s="94"/>
      <c r="TZS21" s="94"/>
      <c r="TZT21" s="94"/>
      <c r="TZU21" s="94"/>
      <c r="TZV21" s="94"/>
      <c r="TZW21" s="94"/>
      <c r="TZX21" s="94"/>
      <c r="TZY21" s="94"/>
      <c r="TZZ21" s="94"/>
      <c r="UAA21" s="94"/>
      <c r="UAB21" s="94"/>
      <c r="UAC21" s="94"/>
      <c r="UAD21" s="94"/>
      <c r="UAE21" s="94"/>
      <c r="UAF21" s="94"/>
      <c r="UAG21" s="94"/>
      <c r="UAH21" s="94"/>
      <c r="UAI21" s="94"/>
      <c r="UAJ21" s="94"/>
      <c r="UAK21" s="94"/>
      <c r="UAL21" s="94"/>
      <c r="UAM21" s="94"/>
      <c r="UAN21" s="94"/>
      <c r="UAO21" s="94"/>
      <c r="UAP21" s="94"/>
      <c r="UAQ21" s="94"/>
      <c r="UAR21" s="94"/>
      <c r="UAS21" s="94"/>
      <c r="UAT21" s="94"/>
      <c r="UAU21" s="94"/>
      <c r="UAV21" s="94"/>
      <c r="UAW21" s="94"/>
      <c r="UAX21" s="94"/>
      <c r="UAY21" s="94"/>
      <c r="UAZ21" s="94"/>
      <c r="UBA21" s="94"/>
      <c r="UBB21" s="94"/>
      <c r="UBC21" s="94"/>
      <c r="UBD21" s="94"/>
      <c r="UBE21" s="94"/>
      <c r="UBF21" s="94"/>
      <c r="UBG21" s="94"/>
      <c r="UBH21" s="94"/>
      <c r="UBI21" s="94"/>
      <c r="UBJ21" s="94"/>
      <c r="UBK21" s="94"/>
      <c r="UBL21" s="94"/>
      <c r="UBM21" s="94"/>
      <c r="UBN21" s="94"/>
      <c r="UBO21" s="94"/>
      <c r="UBP21" s="94"/>
      <c r="UBQ21" s="94"/>
      <c r="UBR21" s="94"/>
      <c r="UBS21" s="94"/>
      <c r="UBT21" s="94"/>
      <c r="UBU21" s="94"/>
      <c r="UBV21" s="94"/>
      <c r="UBW21" s="94"/>
      <c r="UBX21" s="94"/>
      <c r="UBY21" s="94"/>
      <c r="UBZ21" s="94"/>
      <c r="UCA21" s="94"/>
      <c r="UCB21" s="94"/>
      <c r="UCC21" s="94"/>
      <c r="UCD21" s="94"/>
      <c r="UCE21" s="94"/>
      <c r="UCF21" s="94"/>
      <c r="UCG21" s="94"/>
      <c r="UCH21" s="94"/>
      <c r="UCI21" s="94"/>
      <c r="UCJ21" s="94"/>
      <c r="UCK21" s="94"/>
      <c r="UCL21" s="94"/>
      <c r="UCM21" s="94"/>
      <c r="UCN21" s="94"/>
      <c r="UCO21" s="94"/>
      <c r="UCP21" s="94"/>
      <c r="UCQ21" s="94"/>
      <c r="UCR21" s="94"/>
      <c r="UCS21" s="94"/>
      <c r="UCT21" s="94"/>
      <c r="UCU21" s="94"/>
      <c r="UCV21" s="94"/>
      <c r="UCW21" s="94"/>
      <c r="UCX21" s="94"/>
      <c r="UCY21" s="94"/>
      <c r="UCZ21" s="94"/>
      <c r="UDA21" s="94"/>
      <c r="UDB21" s="94"/>
      <c r="UDC21" s="94"/>
      <c r="UDD21" s="94"/>
      <c r="UDE21" s="94"/>
      <c r="UDF21" s="94"/>
      <c r="UDG21" s="94"/>
      <c r="UDH21" s="94"/>
      <c r="UDI21" s="94"/>
      <c r="UDJ21" s="94"/>
      <c r="UDK21" s="94"/>
      <c r="UDL21" s="94"/>
      <c r="UDM21" s="94"/>
      <c r="UDN21" s="94"/>
      <c r="UDO21" s="94"/>
      <c r="UDP21" s="94"/>
      <c r="UDQ21" s="94"/>
      <c r="UDR21" s="94"/>
      <c r="UDS21" s="94"/>
      <c r="UDT21" s="94"/>
      <c r="UDU21" s="94"/>
      <c r="UDV21" s="94"/>
      <c r="UDW21" s="94"/>
      <c r="UDX21" s="94"/>
      <c r="UDY21" s="94"/>
      <c r="UDZ21" s="94"/>
      <c r="UEA21" s="94"/>
      <c r="UEB21" s="94"/>
      <c r="UEC21" s="94"/>
      <c r="UED21" s="94"/>
      <c r="UEE21" s="94"/>
      <c r="UEF21" s="94"/>
      <c r="UEG21" s="94"/>
      <c r="UEH21" s="94"/>
      <c r="UEI21" s="94"/>
      <c r="UEJ21" s="94"/>
      <c r="UEK21" s="94"/>
      <c r="UEL21" s="94"/>
      <c r="UEM21" s="94"/>
      <c r="UEN21" s="94"/>
      <c r="UEO21" s="94"/>
      <c r="UEP21" s="94"/>
      <c r="UEQ21" s="94"/>
      <c r="UER21" s="94"/>
      <c r="UES21" s="94"/>
      <c r="UET21" s="94"/>
      <c r="UEU21" s="94"/>
      <c r="UEV21" s="94"/>
      <c r="UEW21" s="94"/>
      <c r="UEX21" s="94"/>
      <c r="UEY21" s="94"/>
      <c r="UEZ21" s="94"/>
      <c r="UFA21" s="94"/>
      <c r="UFB21" s="94"/>
      <c r="UFC21" s="94"/>
      <c r="UFD21" s="94"/>
      <c r="UFE21" s="94"/>
      <c r="UFF21" s="94"/>
      <c r="UFG21" s="94"/>
      <c r="UFH21" s="94"/>
      <c r="UFI21" s="94"/>
      <c r="UFJ21" s="94"/>
      <c r="UFK21" s="94"/>
      <c r="UFL21" s="94"/>
      <c r="UFM21" s="94"/>
      <c r="UFN21" s="94"/>
      <c r="UFO21" s="94"/>
      <c r="UFP21" s="94"/>
      <c r="UFQ21" s="94"/>
      <c r="UFR21" s="94"/>
      <c r="UFS21" s="94"/>
      <c r="UFT21" s="94"/>
      <c r="UFU21" s="94"/>
      <c r="UFV21" s="94"/>
      <c r="UFW21" s="94"/>
      <c r="UFX21" s="94"/>
      <c r="UFY21" s="94"/>
      <c r="UFZ21" s="94"/>
      <c r="UGA21" s="94"/>
      <c r="UGB21" s="94"/>
      <c r="UGC21" s="94"/>
      <c r="UGD21" s="94"/>
      <c r="UGE21" s="94"/>
      <c r="UGF21" s="94"/>
      <c r="UGG21" s="94"/>
      <c r="UGH21" s="94"/>
      <c r="UGI21" s="94"/>
      <c r="UGJ21" s="94"/>
      <c r="UGK21" s="94"/>
      <c r="UGL21" s="94"/>
      <c r="UGM21" s="94"/>
      <c r="UGN21" s="94"/>
      <c r="UGO21" s="94"/>
      <c r="UGP21" s="94"/>
      <c r="UGQ21" s="94"/>
      <c r="UGR21" s="94"/>
      <c r="UGS21" s="94"/>
      <c r="UGT21" s="94"/>
      <c r="UGU21" s="94"/>
      <c r="UGV21" s="94"/>
      <c r="UGW21" s="94"/>
      <c r="UGX21" s="94"/>
      <c r="UGY21" s="94"/>
      <c r="UGZ21" s="94"/>
      <c r="UHA21" s="94"/>
      <c r="UHB21" s="94"/>
      <c r="UHC21" s="94"/>
      <c r="UHD21" s="94"/>
      <c r="UHE21" s="94"/>
      <c r="UHF21" s="94"/>
      <c r="UHG21" s="94"/>
      <c r="UHH21" s="94"/>
      <c r="UHI21" s="94"/>
      <c r="UHJ21" s="94"/>
      <c r="UHK21" s="94"/>
      <c r="UHL21" s="94"/>
      <c r="UHM21" s="94"/>
      <c r="UHN21" s="94"/>
      <c r="UHO21" s="94"/>
      <c r="UHP21" s="94"/>
      <c r="UHQ21" s="94"/>
      <c r="UHR21" s="94"/>
      <c r="UHS21" s="94"/>
      <c r="UHT21" s="94"/>
      <c r="UHU21" s="94"/>
      <c r="UHV21" s="94"/>
      <c r="UHW21" s="94"/>
      <c r="UHX21" s="94"/>
      <c r="UHY21" s="94"/>
      <c r="UHZ21" s="94"/>
      <c r="UIA21" s="94"/>
      <c r="UIB21" s="94"/>
      <c r="UIC21" s="94"/>
      <c r="UID21" s="94"/>
      <c r="UIE21" s="94"/>
      <c r="UIF21" s="94"/>
      <c r="UIG21" s="94"/>
      <c r="UIH21" s="94"/>
      <c r="UII21" s="94"/>
      <c r="UIJ21" s="94"/>
      <c r="UIK21" s="94"/>
      <c r="UIL21" s="94"/>
      <c r="UIM21" s="94"/>
      <c r="UIN21" s="94"/>
      <c r="UIO21" s="94"/>
      <c r="UIP21" s="94"/>
      <c r="UIQ21" s="94"/>
      <c r="UIR21" s="94"/>
      <c r="UIS21" s="94"/>
      <c r="UIT21" s="94"/>
      <c r="UIU21" s="94"/>
      <c r="UIV21" s="94"/>
      <c r="UIW21" s="94"/>
      <c r="UIX21" s="94"/>
      <c r="UIY21" s="94"/>
      <c r="UIZ21" s="94"/>
      <c r="UJA21" s="94"/>
      <c r="UJB21" s="94"/>
      <c r="UJC21" s="94"/>
      <c r="UJD21" s="94"/>
      <c r="UJE21" s="94"/>
      <c r="UJF21" s="94"/>
      <c r="UJG21" s="94"/>
      <c r="UJH21" s="94"/>
      <c r="UJI21" s="94"/>
      <c r="UJJ21" s="94"/>
      <c r="UJK21" s="94"/>
      <c r="UJL21" s="94"/>
      <c r="UJM21" s="94"/>
      <c r="UJN21" s="94"/>
      <c r="UJO21" s="94"/>
      <c r="UJP21" s="94"/>
      <c r="UJQ21" s="94"/>
      <c r="UJR21" s="94"/>
      <c r="UJS21" s="94"/>
      <c r="UJT21" s="94"/>
      <c r="UJU21" s="94"/>
      <c r="UJV21" s="94"/>
      <c r="UJW21" s="94"/>
      <c r="UJX21" s="94"/>
      <c r="UJY21" s="94"/>
      <c r="UJZ21" s="94"/>
      <c r="UKA21" s="94"/>
      <c r="UKB21" s="94"/>
      <c r="UKC21" s="94"/>
      <c r="UKD21" s="94"/>
      <c r="UKE21" s="94"/>
      <c r="UKF21" s="94"/>
      <c r="UKG21" s="94"/>
      <c r="UKH21" s="94"/>
      <c r="UKI21" s="94"/>
      <c r="UKJ21" s="94"/>
      <c r="UKK21" s="94"/>
      <c r="UKL21" s="94"/>
      <c r="UKM21" s="94"/>
      <c r="UKN21" s="94"/>
      <c r="UKO21" s="94"/>
      <c r="UKP21" s="94"/>
      <c r="UKQ21" s="94"/>
      <c r="UKR21" s="94"/>
      <c r="UKS21" s="94"/>
      <c r="UKT21" s="94"/>
      <c r="UKU21" s="94"/>
      <c r="UKV21" s="94"/>
      <c r="UKW21" s="94"/>
      <c r="UKX21" s="94"/>
      <c r="UKY21" s="94"/>
      <c r="UKZ21" s="94"/>
      <c r="ULA21" s="94"/>
      <c r="ULB21" s="94"/>
      <c r="ULC21" s="94"/>
      <c r="ULD21" s="94"/>
      <c r="ULE21" s="94"/>
      <c r="ULF21" s="94"/>
      <c r="ULG21" s="94"/>
      <c r="ULH21" s="94"/>
      <c r="ULI21" s="94"/>
      <c r="ULJ21" s="94"/>
      <c r="ULK21" s="94"/>
      <c r="ULL21" s="94"/>
      <c r="ULM21" s="94"/>
      <c r="ULN21" s="94"/>
      <c r="ULO21" s="94"/>
      <c r="ULP21" s="94"/>
      <c r="ULQ21" s="94"/>
      <c r="ULR21" s="94"/>
      <c r="ULS21" s="94"/>
      <c r="ULT21" s="94"/>
      <c r="ULU21" s="94"/>
      <c r="ULV21" s="94"/>
      <c r="ULW21" s="94"/>
      <c r="ULX21" s="94"/>
      <c r="ULY21" s="94"/>
      <c r="ULZ21" s="94"/>
      <c r="UMA21" s="94"/>
      <c r="UMB21" s="94"/>
      <c r="UMC21" s="94"/>
      <c r="UMD21" s="94"/>
      <c r="UME21" s="94"/>
      <c r="UMF21" s="94"/>
      <c r="UMG21" s="94"/>
      <c r="UMH21" s="94"/>
      <c r="UMI21" s="94"/>
      <c r="UMJ21" s="94"/>
      <c r="UMK21" s="94"/>
      <c r="UML21" s="94"/>
      <c r="UMM21" s="94"/>
      <c r="UMN21" s="94"/>
      <c r="UMO21" s="94"/>
      <c r="UMP21" s="94"/>
      <c r="UMQ21" s="94"/>
      <c r="UMR21" s="94"/>
      <c r="UMS21" s="94"/>
      <c r="UMT21" s="94"/>
      <c r="UMU21" s="94"/>
      <c r="UMV21" s="94"/>
      <c r="UMW21" s="94"/>
      <c r="UMX21" s="94"/>
      <c r="UMY21" s="94"/>
      <c r="UMZ21" s="94"/>
      <c r="UNA21" s="94"/>
      <c r="UNB21" s="94"/>
      <c r="UNC21" s="94"/>
      <c r="UND21" s="94"/>
      <c r="UNE21" s="94"/>
      <c r="UNF21" s="94"/>
      <c r="UNG21" s="94"/>
      <c r="UNH21" s="94"/>
      <c r="UNI21" s="94"/>
      <c r="UNJ21" s="94"/>
      <c r="UNK21" s="94"/>
      <c r="UNL21" s="94"/>
      <c r="UNM21" s="94"/>
      <c r="UNN21" s="94"/>
      <c r="UNO21" s="94"/>
      <c r="UNP21" s="94"/>
      <c r="UNQ21" s="94"/>
      <c r="UNR21" s="94"/>
      <c r="UNS21" s="94"/>
      <c r="UNT21" s="94"/>
      <c r="UNU21" s="94"/>
      <c r="UNV21" s="94"/>
      <c r="UNW21" s="94"/>
      <c r="UNX21" s="94"/>
      <c r="UNY21" s="94"/>
      <c r="UNZ21" s="94"/>
      <c r="UOA21" s="94"/>
      <c r="UOB21" s="94"/>
      <c r="UOC21" s="94"/>
      <c r="UOD21" s="94"/>
      <c r="UOE21" s="94"/>
      <c r="UOF21" s="94"/>
      <c r="UOG21" s="94"/>
      <c r="UOH21" s="94"/>
      <c r="UOI21" s="94"/>
      <c r="UOJ21" s="94"/>
      <c r="UOK21" s="94"/>
      <c r="UOL21" s="94"/>
      <c r="UOM21" s="94"/>
      <c r="UON21" s="94"/>
      <c r="UOO21" s="94"/>
      <c r="UOP21" s="94"/>
      <c r="UOQ21" s="94"/>
      <c r="UOR21" s="94"/>
      <c r="UOS21" s="94"/>
      <c r="UOT21" s="94"/>
      <c r="UOU21" s="94"/>
      <c r="UOV21" s="94"/>
      <c r="UOW21" s="94"/>
      <c r="UOX21" s="94"/>
      <c r="UOY21" s="94"/>
      <c r="UOZ21" s="94"/>
      <c r="UPA21" s="94"/>
      <c r="UPB21" s="94"/>
      <c r="UPC21" s="94"/>
      <c r="UPD21" s="94"/>
      <c r="UPE21" s="94"/>
      <c r="UPF21" s="94"/>
      <c r="UPG21" s="94"/>
      <c r="UPH21" s="94"/>
      <c r="UPI21" s="94"/>
      <c r="UPJ21" s="94"/>
      <c r="UPK21" s="94"/>
      <c r="UPL21" s="94"/>
      <c r="UPM21" s="94"/>
      <c r="UPN21" s="94"/>
      <c r="UPO21" s="94"/>
      <c r="UPP21" s="94"/>
      <c r="UPQ21" s="94"/>
      <c r="UPR21" s="94"/>
      <c r="UPS21" s="94"/>
      <c r="UPT21" s="94"/>
      <c r="UPU21" s="94"/>
      <c r="UPV21" s="94"/>
      <c r="UPW21" s="94"/>
      <c r="UPX21" s="94"/>
      <c r="UPY21" s="94"/>
      <c r="UPZ21" s="94"/>
      <c r="UQA21" s="94"/>
      <c r="UQB21" s="94"/>
      <c r="UQC21" s="94"/>
      <c r="UQD21" s="94"/>
      <c r="UQE21" s="94"/>
      <c r="UQF21" s="94"/>
      <c r="UQG21" s="94"/>
      <c r="UQH21" s="94"/>
      <c r="UQI21" s="94"/>
      <c r="UQJ21" s="94"/>
      <c r="UQK21" s="94"/>
      <c r="UQL21" s="94"/>
      <c r="UQM21" s="94"/>
      <c r="UQN21" s="94"/>
      <c r="UQO21" s="94"/>
      <c r="UQP21" s="94"/>
      <c r="UQQ21" s="94"/>
      <c r="UQR21" s="94"/>
      <c r="UQS21" s="94"/>
      <c r="UQT21" s="94"/>
      <c r="UQU21" s="94"/>
      <c r="UQV21" s="94"/>
      <c r="UQW21" s="94"/>
      <c r="UQX21" s="94"/>
      <c r="UQY21" s="94"/>
      <c r="UQZ21" s="94"/>
      <c r="URA21" s="94"/>
      <c r="URB21" s="94"/>
      <c r="URC21" s="94"/>
      <c r="URD21" s="94"/>
      <c r="URE21" s="94"/>
      <c r="URF21" s="94"/>
      <c r="URG21" s="94"/>
      <c r="URH21" s="94"/>
      <c r="URI21" s="94"/>
      <c r="URJ21" s="94"/>
      <c r="URK21" s="94"/>
      <c r="URL21" s="94"/>
      <c r="URM21" s="94"/>
      <c r="URN21" s="94"/>
      <c r="URO21" s="94"/>
      <c r="URP21" s="94"/>
      <c r="URQ21" s="94"/>
      <c r="URR21" s="94"/>
      <c r="URS21" s="94"/>
      <c r="URT21" s="94"/>
      <c r="URU21" s="94"/>
      <c r="URV21" s="94"/>
      <c r="URW21" s="94"/>
      <c r="URX21" s="94"/>
      <c r="URY21" s="94"/>
      <c r="URZ21" s="94"/>
      <c r="USA21" s="94"/>
      <c r="USB21" s="94"/>
      <c r="USC21" s="94"/>
      <c r="USD21" s="94"/>
      <c r="USE21" s="94"/>
      <c r="USF21" s="94"/>
      <c r="USG21" s="94"/>
      <c r="USH21" s="94"/>
      <c r="USI21" s="94"/>
      <c r="USJ21" s="94"/>
      <c r="USK21" s="94"/>
      <c r="USL21" s="94"/>
      <c r="USM21" s="94"/>
      <c r="USN21" s="94"/>
      <c r="USO21" s="94"/>
      <c r="USP21" s="94"/>
      <c r="USQ21" s="94"/>
      <c r="USR21" s="94"/>
      <c r="USS21" s="94"/>
      <c r="UST21" s="94"/>
      <c r="USU21" s="94"/>
      <c r="USV21" s="94"/>
      <c r="USW21" s="94"/>
      <c r="USX21" s="94"/>
      <c r="USY21" s="94"/>
      <c r="USZ21" s="94"/>
      <c r="UTA21" s="94"/>
      <c r="UTB21" s="94"/>
      <c r="UTC21" s="94"/>
      <c r="UTD21" s="94"/>
      <c r="UTE21" s="94"/>
      <c r="UTF21" s="94"/>
      <c r="UTG21" s="94"/>
      <c r="UTH21" s="94"/>
      <c r="UTI21" s="94"/>
      <c r="UTJ21" s="94"/>
      <c r="UTK21" s="94"/>
      <c r="UTL21" s="94"/>
      <c r="UTM21" s="94"/>
      <c r="UTN21" s="94"/>
      <c r="UTO21" s="94"/>
      <c r="UTP21" s="94"/>
      <c r="UTQ21" s="94"/>
      <c r="UTR21" s="94"/>
      <c r="UTS21" s="94"/>
      <c r="UTT21" s="94"/>
      <c r="UTU21" s="94"/>
      <c r="UTV21" s="94"/>
      <c r="UTW21" s="94"/>
      <c r="UTX21" s="94"/>
      <c r="UTY21" s="94"/>
      <c r="UTZ21" s="94"/>
      <c r="UUA21" s="94"/>
      <c r="UUB21" s="94"/>
      <c r="UUC21" s="94"/>
      <c r="UUD21" s="94"/>
      <c r="UUE21" s="94"/>
      <c r="UUF21" s="94"/>
      <c r="UUG21" s="94"/>
      <c r="UUH21" s="94"/>
      <c r="UUI21" s="94"/>
      <c r="UUJ21" s="94"/>
      <c r="UUK21" s="94"/>
      <c r="UUL21" s="94"/>
      <c r="UUM21" s="94"/>
      <c r="UUN21" s="94"/>
      <c r="UUO21" s="94"/>
      <c r="UUP21" s="94"/>
      <c r="UUQ21" s="94"/>
      <c r="UUR21" s="94"/>
      <c r="UUS21" s="94"/>
      <c r="UUT21" s="94"/>
      <c r="UUU21" s="94"/>
      <c r="UUV21" s="94"/>
      <c r="UUW21" s="94"/>
      <c r="UUX21" s="94"/>
      <c r="UUY21" s="94"/>
      <c r="UUZ21" s="94"/>
      <c r="UVA21" s="94"/>
      <c r="UVB21" s="94"/>
      <c r="UVC21" s="94"/>
      <c r="UVD21" s="94"/>
      <c r="UVE21" s="94"/>
      <c r="UVF21" s="94"/>
      <c r="UVG21" s="94"/>
      <c r="UVH21" s="94"/>
      <c r="UVI21" s="94"/>
      <c r="UVJ21" s="94"/>
      <c r="UVK21" s="94"/>
      <c r="UVL21" s="94"/>
      <c r="UVM21" s="94"/>
      <c r="UVN21" s="94"/>
      <c r="UVO21" s="94"/>
      <c r="UVP21" s="94"/>
      <c r="UVQ21" s="94"/>
      <c r="UVR21" s="94"/>
      <c r="UVS21" s="94"/>
      <c r="UVT21" s="94"/>
      <c r="UVU21" s="94"/>
      <c r="UVV21" s="94"/>
      <c r="UVW21" s="94"/>
      <c r="UVX21" s="94"/>
      <c r="UVY21" s="94"/>
      <c r="UVZ21" s="94"/>
      <c r="UWA21" s="94"/>
      <c r="UWB21" s="94"/>
      <c r="UWC21" s="94"/>
      <c r="UWD21" s="94"/>
      <c r="UWE21" s="94"/>
      <c r="UWF21" s="94"/>
      <c r="UWG21" s="94"/>
      <c r="UWH21" s="94"/>
      <c r="UWI21" s="94"/>
      <c r="UWJ21" s="94"/>
      <c r="UWK21" s="94"/>
      <c r="UWL21" s="94"/>
      <c r="UWM21" s="94"/>
      <c r="UWN21" s="94"/>
      <c r="UWO21" s="94"/>
      <c r="UWP21" s="94"/>
      <c r="UWQ21" s="94"/>
      <c r="UWR21" s="94"/>
      <c r="UWS21" s="94"/>
      <c r="UWT21" s="94"/>
      <c r="UWU21" s="94"/>
      <c r="UWV21" s="94"/>
      <c r="UWW21" s="94"/>
      <c r="UWX21" s="94"/>
      <c r="UWY21" s="94"/>
      <c r="UWZ21" s="94"/>
      <c r="UXA21" s="94"/>
      <c r="UXB21" s="94"/>
      <c r="UXC21" s="94"/>
      <c r="UXD21" s="94"/>
      <c r="UXE21" s="94"/>
      <c r="UXF21" s="94"/>
      <c r="UXG21" s="94"/>
      <c r="UXH21" s="94"/>
      <c r="UXI21" s="94"/>
      <c r="UXJ21" s="94"/>
      <c r="UXK21" s="94"/>
      <c r="UXL21" s="94"/>
      <c r="UXM21" s="94"/>
      <c r="UXN21" s="94"/>
      <c r="UXO21" s="94"/>
      <c r="UXP21" s="94"/>
      <c r="UXQ21" s="94"/>
      <c r="UXR21" s="94"/>
      <c r="UXS21" s="94"/>
      <c r="UXT21" s="94"/>
      <c r="UXU21" s="94"/>
      <c r="UXV21" s="94"/>
      <c r="UXW21" s="94"/>
      <c r="UXX21" s="94"/>
      <c r="UXY21" s="94"/>
      <c r="UXZ21" s="94"/>
      <c r="UYA21" s="94"/>
      <c r="UYB21" s="94"/>
      <c r="UYC21" s="94"/>
      <c r="UYD21" s="94"/>
      <c r="UYE21" s="94"/>
      <c r="UYF21" s="94"/>
      <c r="UYG21" s="94"/>
      <c r="UYH21" s="94"/>
      <c r="UYI21" s="94"/>
      <c r="UYJ21" s="94"/>
      <c r="UYK21" s="94"/>
      <c r="UYL21" s="94"/>
      <c r="UYM21" s="94"/>
      <c r="UYN21" s="94"/>
      <c r="UYO21" s="94"/>
      <c r="UYP21" s="94"/>
      <c r="UYQ21" s="94"/>
      <c r="UYR21" s="94"/>
      <c r="UYS21" s="94"/>
      <c r="UYT21" s="94"/>
      <c r="UYU21" s="94"/>
      <c r="UYV21" s="94"/>
      <c r="UYW21" s="94"/>
      <c r="UYX21" s="94"/>
      <c r="UYY21" s="94"/>
      <c r="UYZ21" s="94"/>
      <c r="UZA21" s="94"/>
      <c r="UZB21" s="94"/>
      <c r="UZC21" s="94"/>
      <c r="UZD21" s="94"/>
      <c r="UZE21" s="94"/>
      <c r="UZF21" s="94"/>
      <c r="UZG21" s="94"/>
      <c r="UZH21" s="94"/>
      <c r="UZI21" s="94"/>
      <c r="UZJ21" s="94"/>
      <c r="UZK21" s="94"/>
      <c r="UZL21" s="94"/>
      <c r="UZM21" s="94"/>
      <c r="UZN21" s="94"/>
      <c r="UZO21" s="94"/>
      <c r="UZP21" s="94"/>
      <c r="UZQ21" s="94"/>
      <c r="UZR21" s="94"/>
      <c r="UZS21" s="94"/>
      <c r="UZT21" s="94"/>
      <c r="UZU21" s="94"/>
      <c r="UZV21" s="94"/>
      <c r="UZW21" s="94"/>
      <c r="UZX21" s="94"/>
      <c r="UZY21" s="94"/>
      <c r="UZZ21" s="94"/>
      <c r="VAA21" s="94"/>
      <c r="VAB21" s="94"/>
      <c r="VAC21" s="94"/>
      <c r="VAD21" s="94"/>
      <c r="VAE21" s="94"/>
      <c r="VAF21" s="94"/>
      <c r="VAG21" s="94"/>
      <c r="VAH21" s="94"/>
      <c r="VAI21" s="94"/>
      <c r="VAJ21" s="94"/>
      <c r="VAK21" s="94"/>
      <c r="VAL21" s="94"/>
      <c r="VAM21" s="94"/>
      <c r="VAN21" s="94"/>
      <c r="VAO21" s="94"/>
      <c r="VAP21" s="94"/>
      <c r="VAQ21" s="94"/>
      <c r="VAR21" s="94"/>
      <c r="VAS21" s="94"/>
      <c r="VAT21" s="94"/>
      <c r="VAU21" s="94"/>
      <c r="VAV21" s="94"/>
      <c r="VAW21" s="94"/>
      <c r="VAX21" s="94"/>
      <c r="VAY21" s="94"/>
      <c r="VAZ21" s="94"/>
      <c r="VBA21" s="94"/>
      <c r="VBB21" s="94"/>
      <c r="VBC21" s="94"/>
      <c r="VBD21" s="94"/>
      <c r="VBE21" s="94"/>
      <c r="VBF21" s="94"/>
      <c r="VBG21" s="94"/>
      <c r="VBH21" s="94"/>
      <c r="VBI21" s="94"/>
      <c r="VBJ21" s="94"/>
      <c r="VBK21" s="94"/>
      <c r="VBL21" s="94"/>
      <c r="VBM21" s="94"/>
      <c r="VBN21" s="94"/>
      <c r="VBO21" s="94"/>
      <c r="VBP21" s="94"/>
      <c r="VBQ21" s="94"/>
      <c r="VBR21" s="94"/>
      <c r="VBS21" s="94"/>
      <c r="VBT21" s="94"/>
      <c r="VBU21" s="94"/>
      <c r="VBV21" s="94"/>
      <c r="VBW21" s="94"/>
      <c r="VBX21" s="94"/>
      <c r="VBY21" s="94"/>
      <c r="VBZ21" s="94"/>
      <c r="VCA21" s="94"/>
      <c r="VCB21" s="94"/>
      <c r="VCC21" s="94"/>
      <c r="VCD21" s="94"/>
      <c r="VCE21" s="94"/>
      <c r="VCF21" s="94"/>
      <c r="VCG21" s="94"/>
      <c r="VCH21" s="94"/>
      <c r="VCI21" s="94"/>
      <c r="VCJ21" s="94"/>
      <c r="VCK21" s="94"/>
      <c r="VCL21" s="94"/>
      <c r="VCM21" s="94"/>
      <c r="VCN21" s="94"/>
      <c r="VCO21" s="94"/>
      <c r="VCP21" s="94"/>
      <c r="VCQ21" s="94"/>
      <c r="VCR21" s="94"/>
      <c r="VCS21" s="94"/>
      <c r="VCT21" s="94"/>
      <c r="VCU21" s="94"/>
      <c r="VCV21" s="94"/>
      <c r="VCW21" s="94"/>
      <c r="VCX21" s="94"/>
      <c r="VCY21" s="94"/>
      <c r="VCZ21" s="94"/>
      <c r="VDA21" s="94"/>
      <c r="VDB21" s="94"/>
      <c r="VDC21" s="94"/>
      <c r="VDD21" s="94"/>
      <c r="VDE21" s="94"/>
      <c r="VDF21" s="94"/>
      <c r="VDG21" s="94"/>
      <c r="VDH21" s="94"/>
      <c r="VDI21" s="94"/>
      <c r="VDJ21" s="94"/>
      <c r="VDK21" s="94"/>
      <c r="VDL21" s="94"/>
      <c r="VDM21" s="94"/>
      <c r="VDN21" s="94"/>
      <c r="VDO21" s="94"/>
      <c r="VDP21" s="94"/>
      <c r="VDQ21" s="94"/>
      <c r="VDR21" s="94"/>
      <c r="VDS21" s="94"/>
      <c r="VDT21" s="94"/>
      <c r="VDU21" s="94"/>
      <c r="VDV21" s="94"/>
      <c r="VDW21" s="94"/>
      <c r="VDX21" s="94"/>
      <c r="VDY21" s="94"/>
      <c r="VDZ21" s="94"/>
      <c r="VEA21" s="94"/>
      <c r="VEB21" s="94"/>
      <c r="VEC21" s="94"/>
      <c r="VED21" s="94"/>
      <c r="VEE21" s="94"/>
      <c r="VEF21" s="94"/>
      <c r="VEG21" s="94"/>
      <c r="VEH21" s="94"/>
      <c r="VEI21" s="94"/>
      <c r="VEJ21" s="94"/>
      <c r="VEK21" s="94"/>
      <c r="VEL21" s="94"/>
      <c r="VEM21" s="94"/>
      <c r="VEN21" s="94"/>
      <c r="VEO21" s="94"/>
      <c r="VEP21" s="94"/>
      <c r="VEQ21" s="94"/>
      <c r="VER21" s="94"/>
      <c r="VES21" s="94"/>
      <c r="VET21" s="94"/>
      <c r="VEU21" s="94"/>
      <c r="VEV21" s="94"/>
      <c r="VEW21" s="94"/>
      <c r="VEX21" s="94"/>
      <c r="VEY21" s="94"/>
      <c r="VEZ21" s="94"/>
      <c r="VFA21" s="94"/>
      <c r="VFB21" s="94"/>
      <c r="VFC21" s="94"/>
      <c r="VFD21" s="94"/>
      <c r="VFE21" s="94"/>
      <c r="VFF21" s="94"/>
      <c r="VFG21" s="94"/>
      <c r="VFH21" s="94"/>
      <c r="VFI21" s="94"/>
      <c r="VFJ21" s="94"/>
      <c r="VFK21" s="94"/>
      <c r="VFL21" s="94"/>
      <c r="VFM21" s="94"/>
      <c r="VFN21" s="94"/>
      <c r="VFO21" s="94"/>
      <c r="VFP21" s="94"/>
      <c r="VFQ21" s="94"/>
      <c r="VFR21" s="94"/>
      <c r="VFS21" s="94"/>
      <c r="VFT21" s="94"/>
      <c r="VFU21" s="94"/>
      <c r="VFV21" s="94"/>
      <c r="VFW21" s="94"/>
      <c r="VFX21" s="94"/>
      <c r="VFY21" s="94"/>
      <c r="VFZ21" s="94"/>
      <c r="VGA21" s="94"/>
      <c r="VGB21" s="94"/>
      <c r="VGC21" s="94"/>
      <c r="VGD21" s="94"/>
      <c r="VGE21" s="94"/>
      <c r="VGF21" s="94"/>
      <c r="VGG21" s="94"/>
      <c r="VGH21" s="94"/>
      <c r="VGI21" s="94"/>
      <c r="VGJ21" s="94"/>
      <c r="VGK21" s="94"/>
      <c r="VGL21" s="94"/>
      <c r="VGM21" s="94"/>
      <c r="VGN21" s="94"/>
      <c r="VGO21" s="94"/>
      <c r="VGP21" s="94"/>
      <c r="VGQ21" s="94"/>
      <c r="VGR21" s="94"/>
      <c r="VGS21" s="94"/>
      <c r="VGT21" s="94"/>
      <c r="VGU21" s="94"/>
      <c r="VGV21" s="94"/>
      <c r="VGW21" s="94"/>
      <c r="VGX21" s="94"/>
      <c r="VGY21" s="94"/>
      <c r="VGZ21" s="94"/>
      <c r="VHA21" s="94"/>
      <c r="VHB21" s="94"/>
      <c r="VHC21" s="94"/>
      <c r="VHD21" s="94"/>
      <c r="VHE21" s="94"/>
      <c r="VHF21" s="94"/>
      <c r="VHG21" s="94"/>
      <c r="VHH21" s="94"/>
      <c r="VHI21" s="94"/>
      <c r="VHJ21" s="94"/>
      <c r="VHK21" s="94"/>
      <c r="VHL21" s="94"/>
      <c r="VHM21" s="94"/>
      <c r="VHN21" s="94"/>
      <c r="VHO21" s="94"/>
      <c r="VHP21" s="94"/>
      <c r="VHQ21" s="94"/>
      <c r="VHR21" s="94"/>
      <c r="VHS21" s="94"/>
      <c r="VHT21" s="94"/>
      <c r="VHU21" s="94"/>
      <c r="VHV21" s="94"/>
      <c r="VHW21" s="94"/>
      <c r="VHX21" s="94"/>
      <c r="VHY21" s="94"/>
      <c r="VHZ21" s="94"/>
      <c r="VIA21" s="94"/>
      <c r="VIB21" s="94"/>
      <c r="VIC21" s="94"/>
      <c r="VID21" s="94"/>
      <c r="VIE21" s="94"/>
      <c r="VIF21" s="94"/>
      <c r="VIG21" s="94"/>
      <c r="VIH21" s="94"/>
      <c r="VII21" s="94"/>
      <c r="VIJ21" s="94"/>
      <c r="VIK21" s="94"/>
      <c r="VIL21" s="94"/>
      <c r="VIM21" s="94"/>
      <c r="VIN21" s="94"/>
      <c r="VIO21" s="94"/>
      <c r="VIP21" s="94"/>
      <c r="VIQ21" s="94"/>
      <c r="VIR21" s="94"/>
      <c r="VIS21" s="94"/>
      <c r="VIT21" s="94"/>
      <c r="VIU21" s="94"/>
      <c r="VIV21" s="94"/>
      <c r="VIW21" s="94"/>
      <c r="VIX21" s="94"/>
      <c r="VIY21" s="94"/>
      <c r="VIZ21" s="94"/>
      <c r="VJA21" s="94"/>
      <c r="VJB21" s="94"/>
      <c r="VJC21" s="94"/>
      <c r="VJD21" s="94"/>
      <c r="VJE21" s="94"/>
      <c r="VJF21" s="94"/>
      <c r="VJG21" s="94"/>
      <c r="VJH21" s="94"/>
      <c r="VJI21" s="94"/>
      <c r="VJJ21" s="94"/>
      <c r="VJK21" s="94"/>
      <c r="VJL21" s="94"/>
      <c r="VJM21" s="94"/>
      <c r="VJN21" s="94"/>
      <c r="VJO21" s="94"/>
      <c r="VJP21" s="94"/>
      <c r="VJQ21" s="94"/>
      <c r="VJR21" s="94"/>
      <c r="VJS21" s="94"/>
      <c r="VJT21" s="94"/>
      <c r="VJU21" s="94"/>
      <c r="VJV21" s="94"/>
      <c r="VJW21" s="94"/>
      <c r="VJX21" s="94"/>
      <c r="VJY21" s="94"/>
      <c r="VJZ21" s="94"/>
      <c r="VKA21" s="94"/>
      <c r="VKB21" s="94"/>
      <c r="VKC21" s="94"/>
      <c r="VKD21" s="94"/>
      <c r="VKE21" s="94"/>
      <c r="VKF21" s="94"/>
      <c r="VKG21" s="94"/>
      <c r="VKH21" s="94"/>
      <c r="VKI21" s="94"/>
      <c r="VKJ21" s="94"/>
      <c r="VKK21" s="94"/>
      <c r="VKL21" s="94"/>
      <c r="VKM21" s="94"/>
      <c r="VKN21" s="94"/>
      <c r="VKO21" s="94"/>
      <c r="VKP21" s="94"/>
      <c r="VKQ21" s="94"/>
      <c r="VKR21" s="94"/>
      <c r="VKS21" s="94"/>
      <c r="VKT21" s="94"/>
      <c r="VKU21" s="94"/>
      <c r="VKV21" s="94"/>
      <c r="VKW21" s="94"/>
      <c r="VKX21" s="94"/>
      <c r="VKY21" s="94"/>
      <c r="VKZ21" s="94"/>
      <c r="VLA21" s="94"/>
      <c r="VLB21" s="94"/>
      <c r="VLC21" s="94"/>
      <c r="VLD21" s="94"/>
      <c r="VLE21" s="94"/>
      <c r="VLF21" s="94"/>
      <c r="VLG21" s="94"/>
      <c r="VLH21" s="94"/>
      <c r="VLI21" s="94"/>
      <c r="VLJ21" s="94"/>
      <c r="VLK21" s="94"/>
      <c r="VLL21" s="94"/>
      <c r="VLM21" s="94"/>
      <c r="VLN21" s="94"/>
      <c r="VLO21" s="94"/>
      <c r="VLP21" s="94"/>
      <c r="VLQ21" s="94"/>
      <c r="VLR21" s="94"/>
      <c r="VLS21" s="94"/>
      <c r="VLT21" s="94"/>
      <c r="VLU21" s="94"/>
      <c r="VLV21" s="94"/>
      <c r="VLW21" s="94"/>
      <c r="VLX21" s="94"/>
      <c r="VLY21" s="94"/>
      <c r="VLZ21" s="94"/>
      <c r="VMA21" s="94"/>
      <c r="VMB21" s="94"/>
      <c r="VMC21" s="94"/>
      <c r="VMD21" s="94"/>
      <c r="VME21" s="94"/>
      <c r="VMF21" s="94"/>
      <c r="VMG21" s="94"/>
      <c r="VMH21" s="94"/>
      <c r="VMI21" s="94"/>
      <c r="VMJ21" s="94"/>
      <c r="VMK21" s="94"/>
      <c r="VML21" s="94"/>
      <c r="VMM21" s="94"/>
      <c r="VMN21" s="94"/>
      <c r="VMO21" s="94"/>
      <c r="VMP21" s="94"/>
      <c r="VMQ21" s="94"/>
      <c r="VMR21" s="94"/>
      <c r="VMS21" s="94"/>
      <c r="VMT21" s="94"/>
      <c r="VMU21" s="94"/>
      <c r="VMV21" s="94"/>
      <c r="VMW21" s="94"/>
      <c r="VMX21" s="94"/>
      <c r="VMY21" s="94"/>
      <c r="VMZ21" s="94"/>
      <c r="VNA21" s="94"/>
      <c r="VNB21" s="94"/>
      <c r="VNC21" s="94"/>
      <c r="VND21" s="94"/>
      <c r="VNE21" s="94"/>
      <c r="VNF21" s="94"/>
      <c r="VNG21" s="94"/>
      <c r="VNH21" s="94"/>
      <c r="VNI21" s="94"/>
      <c r="VNJ21" s="94"/>
      <c r="VNK21" s="94"/>
      <c r="VNL21" s="94"/>
      <c r="VNM21" s="94"/>
      <c r="VNN21" s="94"/>
      <c r="VNO21" s="94"/>
      <c r="VNP21" s="94"/>
      <c r="VNQ21" s="94"/>
      <c r="VNR21" s="94"/>
      <c r="VNS21" s="94"/>
      <c r="VNT21" s="94"/>
      <c r="VNU21" s="94"/>
      <c r="VNV21" s="94"/>
      <c r="VNW21" s="94"/>
      <c r="VNX21" s="94"/>
      <c r="VNY21" s="94"/>
      <c r="VNZ21" s="94"/>
      <c r="VOA21" s="94"/>
      <c r="VOB21" s="94"/>
      <c r="VOC21" s="94"/>
      <c r="VOD21" s="94"/>
      <c r="VOE21" s="94"/>
      <c r="VOF21" s="94"/>
      <c r="VOG21" s="94"/>
      <c r="VOH21" s="94"/>
      <c r="VOI21" s="94"/>
      <c r="VOJ21" s="94"/>
      <c r="VOK21" s="94"/>
      <c r="VOL21" s="94"/>
      <c r="VOM21" s="94"/>
      <c r="VON21" s="94"/>
      <c r="VOO21" s="94"/>
      <c r="VOP21" s="94"/>
      <c r="VOQ21" s="94"/>
      <c r="VOR21" s="94"/>
      <c r="VOS21" s="94"/>
      <c r="VOT21" s="94"/>
      <c r="VOU21" s="94"/>
      <c r="VOV21" s="94"/>
      <c r="VOW21" s="94"/>
      <c r="VOX21" s="94"/>
      <c r="VOY21" s="94"/>
      <c r="VOZ21" s="94"/>
      <c r="VPA21" s="94"/>
      <c r="VPB21" s="94"/>
      <c r="VPC21" s="94"/>
      <c r="VPD21" s="94"/>
      <c r="VPE21" s="94"/>
      <c r="VPF21" s="94"/>
      <c r="VPG21" s="94"/>
      <c r="VPH21" s="94"/>
      <c r="VPI21" s="94"/>
      <c r="VPJ21" s="94"/>
      <c r="VPK21" s="94"/>
      <c r="VPL21" s="94"/>
      <c r="VPM21" s="94"/>
      <c r="VPN21" s="94"/>
      <c r="VPO21" s="94"/>
      <c r="VPP21" s="94"/>
      <c r="VPQ21" s="94"/>
      <c r="VPR21" s="94"/>
      <c r="VPS21" s="94"/>
      <c r="VPT21" s="94"/>
      <c r="VPU21" s="94"/>
      <c r="VPV21" s="94"/>
      <c r="VPW21" s="94"/>
      <c r="VPX21" s="94"/>
      <c r="VPY21" s="94"/>
      <c r="VPZ21" s="94"/>
      <c r="VQA21" s="94"/>
      <c r="VQB21" s="94"/>
      <c r="VQC21" s="94"/>
      <c r="VQD21" s="94"/>
      <c r="VQE21" s="94"/>
      <c r="VQF21" s="94"/>
      <c r="VQG21" s="94"/>
      <c r="VQH21" s="94"/>
      <c r="VQI21" s="94"/>
      <c r="VQJ21" s="94"/>
      <c r="VQK21" s="94"/>
      <c r="VQL21" s="94"/>
      <c r="VQM21" s="94"/>
      <c r="VQN21" s="94"/>
      <c r="VQO21" s="94"/>
      <c r="VQP21" s="94"/>
      <c r="VQQ21" s="94"/>
      <c r="VQR21" s="94"/>
      <c r="VQS21" s="94"/>
      <c r="VQT21" s="94"/>
      <c r="VQU21" s="94"/>
      <c r="VQV21" s="94"/>
      <c r="VQW21" s="94"/>
      <c r="VQX21" s="94"/>
      <c r="VQY21" s="94"/>
      <c r="VQZ21" s="94"/>
      <c r="VRA21" s="94"/>
      <c r="VRB21" s="94"/>
      <c r="VRC21" s="94"/>
      <c r="VRD21" s="94"/>
      <c r="VRE21" s="94"/>
      <c r="VRF21" s="94"/>
      <c r="VRG21" s="94"/>
      <c r="VRH21" s="94"/>
      <c r="VRI21" s="94"/>
      <c r="VRJ21" s="94"/>
      <c r="VRK21" s="94"/>
      <c r="VRL21" s="94"/>
      <c r="VRM21" s="94"/>
      <c r="VRN21" s="94"/>
      <c r="VRO21" s="94"/>
      <c r="VRP21" s="94"/>
      <c r="VRQ21" s="94"/>
      <c r="VRR21" s="94"/>
      <c r="VRS21" s="94"/>
      <c r="VRT21" s="94"/>
      <c r="VRU21" s="94"/>
      <c r="VRV21" s="94"/>
      <c r="VRW21" s="94"/>
      <c r="VRX21" s="94"/>
      <c r="VRY21" s="94"/>
      <c r="VRZ21" s="94"/>
      <c r="VSA21" s="94"/>
      <c r="VSB21" s="94"/>
      <c r="VSC21" s="94"/>
      <c r="VSD21" s="94"/>
      <c r="VSE21" s="94"/>
      <c r="VSF21" s="94"/>
      <c r="VSG21" s="94"/>
      <c r="VSH21" s="94"/>
      <c r="VSI21" s="94"/>
      <c r="VSJ21" s="94"/>
      <c r="VSK21" s="94"/>
      <c r="VSL21" s="94"/>
      <c r="VSM21" s="94"/>
      <c r="VSN21" s="94"/>
      <c r="VSO21" s="94"/>
      <c r="VSP21" s="94"/>
      <c r="VSQ21" s="94"/>
      <c r="VSR21" s="94"/>
      <c r="VSS21" s="94"/>
      <c r="VST21" s="94"/>
      <c r="VSU21" s="94"/>
      <c r="VSV21" s="94"/>
      <c r="VSW21" s="94"/>
      <c r="VSX21" s="94"/>
      <c r="VSY21" s="94"/>
      <c r="VSZ21" s="94"/>
      <c r="VTA21" s="94"/>
      <c r="VTB21" s="94"/>
      <c r="VTC21" s="94"/>
      <c r="VTD21" s="94"/>
      <c r="VTE21" s="94"/>
      <c r="VTF21" s="94"/>
      <c r="VTG21" s="94"/>
      <c r="VTH21" s="94"/>
      <c r="VTI21" s="94"/>
      <c r="VTJ21" s="94"/>
      <c r="VTK21" s="94"/>
      <c r="VTL21" s="94"/>
      <c r="VTM21" s="94"/>
      <c r="VTN21" s="94"/>
      <c r="VTO21" s="94"/>
      <c r="VTP21" s="94"/>
      <c r="VTQ21" s="94"/>
      <c r="VTR21" s="94"/>
      <c r="VTS21" s="94"/>
      <c r="VTT21" s="94"/>
      <c r="VTU21" s="94"/>
      <c r="VTV21" s="94"/>
      <c r="VTW21" s="94"/>
      <c r="VTX21" s="94"/>
      <c r="VTY21" s="94"/>
      <c r="VTZ21" s="94"/>
      <c r="VUA21" s="94"/>
      <c r="VUB21" s="94"/>
      <c r="VUC21" s="94"/>
      <c r="VUD21" s="94"/>
      <c r="VUE21" s="94"/>
      <c r="VUF21" s="94"/>
      <c r="VUG21" s="94"/>
      <c r="VUH21" s="94"/>
      <c r="VUI21" s="94"/>
      <c r="VUJ21" s="94"/>
      <c r="VUK21" s="94"/>
      <c r="VUL21" s="94"/>
      <c r="VUM21" s="94"/>
      <c r="VUN21" s="94"/>
      <c r="VUO21" s="94"/>
      <c r="VUP21" s="94"/>
      <c r="VUQ21" s="94"/>
      <c r="VUR21" s="94"/>
      <c r="VUS21" s="94"/>
      <c r="VUT21" s="94"/>
      <c r="VUU21" s="94"/>
      <c r="VUV21" s="94"/>
      <c r="VUW21" s="94"/>
      <c r="VUX21" s="94"/>
      <c r="VUY21" s="94"/>
      <c r="VUZ21" s="94"/>
      <c r="VVA21" s="94"/>
      <c r="VVB21" s="94"/>
      <c r="VVC21" s="94"/>
      <c r="VVD21" s="94"/>
      <c r="VVE21" s="94"/>
      <c r="VVF21" s="94"/>
      <c r="VVG21" s="94"/>
      <c r="VVH21" s="94"/>
      <c r="VVI21" s="94"/>
      <c r="VVJ21" s="94"/>
      <c r="VVK21" s="94"/>
      <c r="VVL21" s="94"/>
      <c r="VVM21" s="94"/>
      <c r="VVN21" s="94"/>
      <c r="VVO21" s="94"/>
      <c r="VVP21" s="94"/>
      <c r="VVQ21" s="94"/>
      <c r="VVR21" s="94"/>
      <c r="VVS21" s="94"/>
      <c r="VVT21" s="94"/>
      <c r="VVU21" s="94"/>
      <c r="VVV21" s="94"/>
      <c r="VVW21" s="94"/>
      <c r="VVX21" s="94"/>
      <c r="VVY21" s="94"/>
      <c r="VVZ21" s="94"/>
      <c r="VWA21" s="94"/>
      <c r="VWB21" s="94"/>
      <c r="VWC21" s="94"/>
      <c r="VWD21" s="94"/>
      <c r="VWE21" s="94"/>
      <c r="VWF21" s="94"/>
      <c r="VWG21" s="94"/>
      <c r="VWH21" s="94"/>
      <c r="VWI21" s="94"/>
      <c r="VWJ21" s="94"/>
      <c r="VWK21" s="94"/>
      <c r="VWL21" s="94"/>
      <c r="VWM21" s="94"/>
      <c r="VWN21" s="94"/>
      <c r="VWO21" s="94"/>
      <c r="VWP21" s="94"/>
      <c r="VWQ21" s="94"/>
      <c r="VWR21" s="94"/>
      <c r="VWS21" s="94"/>
      <c r="VWT21" s="94"/>
      <c r="VWU21" s="94"/>
      <c r="VWV21" s="94"/>
      <c r="VWW21" s="94"/>
      <c r="VWX21" s="94"/>
      <c r="VWY21" s="94"/>
      <c r="VWZ21" s="94"/>
      <c r="VXA21" s="94"/>
      <c r="VXB21" s="94"/>
      <c r="VXC21" s="94"/>
      <c r="VXD21" s="94"/>
      <c r="VXE21" s="94"/>
      <c r="VXF21" s="94"/>
      <c r="VXG21" s="94"/>
      <c r="VXH21" s="94"/>
      <c r="VXI21" s="94"/>
      <c r="VXJ21" s="94"/>
      <c r="VXK21" s="94"/>
      <c r="VXL21" s="94"/>
      <c r="VXM21" s="94"/>
      <c r="VXN21" s="94"/>
      <c r="VXO21" s="94"/>
      <c r="VXP21" s="94"/>
      <c r="VXQ21" s="94"/>
      <c r="VXR21" s="94"/>
      <c r="VXS21" s="94"/>
      <c r="VXT21" s="94"/>
      <c r="VXU21" s="94"/>
      <c r="VXV21" s="94"/>
      <c r="VXW21" s="94"/>
      <c r="VXX21" s="94"/>
      <c r="VXY21" s="94"/>
      <c r="VXZ21" s="94"/>
      <c r="VYA21" s="94"/>
      <c r="VYB21" s="94"/>
      <c r="VYC21" s="94"/>
      <c r="VYD21" s="94"/>
      <c r="VYE21" s="94"/>
      <c r="VYF21" s="94"/>
      <c r="VYG21" s="94"/>
      <c r="VYH21" s="94"/>
      <c r="VYI21" s="94"/>
      <c r="VYJ21" s="94"/>
      <c r="VYK21" s="94"/>
      <c r="VYL21" s="94"/>
      <c r="VYM21" s="94"/>
      <c r="VYN21" s="94"/>
      <c r="VYO21" s="94"/>
      <c r="VYP21" s="94"/>
      <c r="VYQ21" s="94"/>
      <c r="VYR21" s="94"/>
      <c r="VYS21" s="94"/>
      <c r="VYT21" s="94"/>
      <c r="VYU21" s="94"/>
      <c r="VYV21" s="94"/>
      <c r="VYW21" s="94"/>
      <c r="VYX21" s="94"/>
      <c r="VYY21" s="94"/>
      <c r="VYZ21" s="94"/>
      <c r="VZA21" s="94"/>
      <c r="VZB21" s="94"/>
      <c r="VZC21" s="94"/>
      <c r="VZD21" s="94"/>
      <c r="VZE21" s="94"/>
      <c r="VZF21" s="94"/>
      <c r="VZG21" s="94"/>
      <c r="VZH21" s="94"/>
      <c r="VZI21" s="94"/>
      <c r="VZJ21" s="94"/>
      <c r="VZK21" s="94"/>
      <c r="VZL21" s="94"/>
      <c r="VZM21" s="94"/>
      <c r="VZN21" s="94"/>
      <c r="VZO21" s="94"/>
      <c r="VZP21" s="94"/>
      <c r="VZQ21" s="94"/>
      <c r="VZR21" s="94"/>
      <c r="VZS21" s="94"/>
      <c r="VZT21" s="94"/>
      <c r="VZU21" s="94"/>
      <c r="VZV21" s="94"/>
      <c r="VZW21" s="94"/>
      <c r="VZX21" s="94"/>
      <c r="VZY21" s="94"/>
      <c r="VZZ21" s="94"/>
      <c r="WAA21" s="94"/>
      <c r="WAB21" s="94"/>
      <c r="WAC21" s="94"/>
      <c r="WAD21" s="94"/>
      <c r="WAE21" s="94"/>
      <c r="WAF21" s="94"/>
      <c r="WAG21" s="94"/>
      <c r="WAH21" s="94"/>
      <c r="WAI21" s="94"/>
      <c r="WAJ21" s="94"/>
      <c r="WAK21" s="94"/>
      <c r="WAL21" s="94"/>
      <c r="WAM21" s="94"/>
      <c r="WAN21" s="94"/>
      <c r="WAO21" s="94"/>
      <c r="WAP21" s="94"/>
      <c r="WAQ21" s="94"/>
      <c r="WAR21" s="94"/>
      <c r="WAS21" s="94"/>
      <c r="WAT21" s="94"/>
      <c r="WAU21" s="94"/>
      <c r="WAV21" s="94"/>
      <c r="WAW21" s="94"/>
      <c r="WAX21" s="94"/>
      <c r="WAY21" s="94"/>
      <c r="WAZ21" s="94"/>
      <c r="WBA21" s="94"/>
      <c r="WBB21" s="94"/>
      <c r="WBC21" s="94"/>
      <c r="WBD21" s="94"/>
      <c r="WBE21" s="94"/>
      <c r="WBF21" s="94"/>
      <c r="WBG21" s="94"/>
      <c r="WBH21" s="94"/>
      <c r="WBI21" s="94"/>
      <c r="WBJ21" s="94"/>
      <c r="WBK21" s="94"/>
      <c r="WBL21" s="94"/>
      <c r="WBM21" s="94"/>
      <c r="WBN21" s="94"/>
      <c r="WBO21" s="94"/>
      <c r="WBP21" s="94"/>
      <c r="WBQ21" s="94"/>
      <c r="WBR21" s="94"/>
      <c r="WBS21" s="94"/>
      <c r="WBT21" s="94"/>
      <c r="WBU21" s="94"/>
      <c r="WBV21" s="94"/>
      <c r="WBW21" s="94"/>
      <c r="WBX21" s="94"/>
      <c r="WBY21" s="94"/>
      <c r="WBZ21" s="94"/>
      <c r="WCA21" s="94"/>
      <c r="WCB21" s="94"/>
      <c r="WCC21" s="94"/>
      <c r="WCD21" s="94"/>
      <c r="WCE21" s="94"/>
      <c r="WCF21" s="94"/>
      <c r="WCG21" s="94"/>
      <c r="WCH21" s="94"/>
      <c r="WCI21" s="94"/>
      <c r="WCJ21" s="94"/>
      <c r="WCK21" s="94"/>
      <c r="WCL21" s="94"/>
      <c r="WCM21" s="94"/>
      <c r="WCN21" s="94"/>
      <c r="WCO21" s="94"/>
      <c r="WCP21" s="94"/>
      <c r="WCQ21" s="94"/>
      <c r="WCR21" s="94"/>
      <c r="WCS21" s="94"/>
      <c r="WCT21" s="94"/>
      <c r="WCU21" s="94"/>
      <c r="WCV21" s="94"/>
      <c r="WCW21" s="94"/>
      <c r="WCX21" s="94"/>
      <c r="WCY21" s="94"/>
      <c r="WCZ21" s="94"/>
      <c r="WDA21" s="94"/>
      <c r="WDB21" s="94"/>
      <c r="WDC21" s="94"/>
      <c r="WDD21" s="94"/>
      <c r="WDE21" s="94"/>
      <c r="WDF21" s="94"/>
      <c r="WDG21" s="94"/>
      <c r="WDH21" s="94"/>
      <c r="WDI21" s="94"/>
      <c r="WDJ21" s="94"/>
      <c r="WDK21" s="94"/>
      <c r="WDL21" s="94"/>
      <c r="WDM21" s="94"/>
      <c r="WDN21" s="94"/>
      <c r="WDO21" s="94"/>
      <c r="WDP21" s="94"/>
      <c r="WDQ21" s="94"/>
      <c r="WDR21" s="94"/>
      <c r="WDS21" s="94"/>
      <c r="WDT21" s="94"/>
      <c r="WDU21" s="94"/>
      <c r="WDV21" s="94"/>
      <c r="WDW21" s="94"/>
      <c r="WDX21" s="94"/>
      <c r="WDY21" s="94"/>
      <c r="WDZ21" s="94"/>
      <c r="WEA21" s="94"/>
      <c r="WEB21" s="94"/>
      <c r="WEC21" s="94"/>
      <c r="WED21" s="94"/>
      <c r="WEE21" s="94"/>
      <c r="WEF21" s="94"/>
      <c r="WEG21" s="94"/>
      <c r="WEH21" s="94"/>
      <c r="WEI21" s="94"/>
      <c r="WEJ21" s="94"/>
      <c r="WEK21" s="94"/>
      <c r="WEL21" s="94"/>
      <c r="WEM21" s="94"/>
      <c r="WEN21" s="94"/>
      <c r="WEO21" s="94"/>
      <c r="WEP21" s="94"/>
      <c r="WEQ21" s="94"/>
      <c r="WER21" s="94"/>
      <c r="WES21" s="94"/>
      <c r="WET21" s="94"/>
      <c r="WEU21" s="94"/>
      <c r="WEV21" s="94"/>
      <c r="WEW21" s="94"/>
      <c r="WEX21" s="94"/>
      <c r="WEY21" s="94"/>
      <c r="WEZ21" s="94"/>
      <c r="WFA21" s="94"/>
      <c r="WFB21" s="94"/>
      <c r="WFC21" s="94"/>
      <c r="WFD21" s="94"/>
      <c r="WFE21" s="94"/>
      <c r="WFF21" s="94"/>
      <c r="WFG21" s="94"/>
      <c r="WFH21" s="94"/>
      <c r="WFI21" s="94"/>
      <c r="WFJ21" s="94"/>
      <c r="WFK21" s="94"/>
      <c r="WFL21" s="94"/>
      <c r="WFM21" s="94"/>
      <c r="WFN21" s="94"/>
      <c r="WFO21" s="94"/>
      <c r="WFP21" s="94"/>
      <c r="WFQ21" s="94"/>
      <c r="WFR21" s="94"/>
      <c r="WFS21" s="94"/>
      <c r="WFT21" s="94"/>
      <c r="WFU21" s="94"/>
      <c r="WFV21" s="94"/>
      <c r="WFW21" s="94"/>
      <c r="WFX21" s="94"/>
      <c r="WFY21" s="94"/>
      <c r="WFZ21" s="94"/>
      <c r="WGA21" s="94"/>
      <c r="WGB21" s="94"/>
      <c r="WGC21" s="94"/>
      <c r="WGD21" s="94"/>
      <c r="WGE21" s="94"/>
      <c r="WGF21" s="94"/>
      <c r="WGG21" s="94"/>
      <c r="WGH21" s="94"/>
      <c r="WGI21" s="94"/>
      <c r="WGJ21" s="94"/>
      <c r="WGK21" s="94"/>
      <c r="WGL21" s="94"/>
      <c r="WGM21" s="94"/>
      <c r="WGN21" s="94"/>
      <c r="WGO21" s="94"/>
      <c r="WGP21" s="94"/>
      <c r="WGQ21" s="94"/>
      <c r="WGR21" s="94"/>
      <c r="WGS21" s="94"/>
      <c r="WGT21" s="94"/>
      <c r="WGU21" s="94"/>
      <c r="WGV21" s="94"/>
      <c r="WGW21" s="94"/>
      <c r="WGX21" s="94"/>
      <c r="WGY21" s="94"/>
      <c r="WGZ21" s="94"/>
      <c r="WHA21" s="94"/>
      <c r="WHB21" s="94"/>
      <c r="WHC21" s="94"/>
      <c r="WHD21" s="94"/>
      <c r="WHE21" s="94"/>
      <c r="WHF21" s="94"/>
      <c r="WHG21" s="94"/>
      <c r="WHH21" s="94"/>
      <c r="WHI21" s="94"/>
      <c r="WHJ21" s="94"/>
      <c r="WHK21" s="94"/>
      <c r="WHL21" s="94"/>
      <c r="WHM21" s="94"/>
      <c r="WHN21" s="94"/>
      <c r="WHO21" s="94"/>
      <c r="WHP21" s="94"/>
      <c r="WHQ21" s="94"/>
      <c r="WHR21" s="94"/>
      <c r="WHS21" s="94"/>
      <c r="WHT21" s="94"/>
      <c r="WHU21" s="94"/>
      <c r="WHV21" s="94"/>
      <c r="WHW21" s="94"/>
      <c r="WHX21" s="94"/>
      <c r="WHY21" s="94"/>
      <c r="WHZ21" s="94"/>
      <c r="WIA21" s="94"/>
      <c r="WIB21" s="94"/>
      <c r="WIC21" s="94"/>
      <c r="WID21" s="94"/>
      <c r="WIE21" s="94"/>
      <c r="WIF21" s="94"/>
      <c r="WIG21" s="94"/>
      <c r="WIH21" s="94"/>
      <c r="WII21" s="94"/>
      <c r="WIJ21" s="94"/>
      <c r="WIK21" s="94"/>
      <c r="WIL21" s="94"/>
      <c r="WIM21" s="94"/>
      <c r="WIN21" s="94"/>
      <c r="WIO21" s="94"/>
      <c r="WIP21" s="94"/>
      <c r="WIQ21" s="94"/>
      <c r="WIR21" s="94"/>
      <c r="WIS21" s="94"/>
      <c r="WIT21" s="94"/>
      <c r="WIU21" s="94"/>
      <c r="WIV21" s="94"/>
      <c r="WIW21" s="94"/>
      <c r="WIX21" s="94"/>
      <c r="WIY21" s="94"/>
      <c r="WIZ21" s="94"/>
      <c r="WJA21" s="94"/>
      <c r="WJB21" s="94"/>
      <c r="WJC21" s="94"/>
      <c r="WJD21" s="94"/>
      <c r="WJE21" s="94"/>
      <c r="WJF21" s="94"/>
      <c r="WJG21" s="94"/>
      <c r="WJH21" s="94"/>
      <c r="WJI21" s="94"/>
      <c r="WJJ21" s="94"/>
      <c r="WJK21" s="94"/>
      <c r="WJL21" s="94"/>
      <c r="WJM21" s="94"/>
      <c r="WJN21" s="94"/>
      <c r="WJO21" s="94"/>
      <c r="WJP21" s="94"/>
      <c r="WJQ21" s="94"/>
      <c r="WJR21" s="94"/>
      <c r="WJS21" s="94"/>
      <c r="WJT21" s="94"/>
      <c r="WJU21" s="94"/>
      <c r="WJV21" s="94"/>
      <c r="WJW21" s="94"/>
      <c r="WJX21" s="94"/>
      <c r="WJY21" s="94"/>
      <c r="WJZ21" s="94"/>
      <c r="WKA21" s="94"/>
      <c r="WKB21" s="94"/>
      <c r="WKC21" s="94"/>
      <c r="WKD21" s="94"/>
      <c r="WKE21" s="94"/>
      <c r="WKF21" s="94"/>
      <c r="WKG21" s="94"/>
      <c r="WKH21" s="94"/>
      <c r="WKI21" s="94"/>
      <c r="WKJ21" s="94"/>
      <c r="WKK21" s="94"/>
      <c r="WKL21" s="94"/>
      <c r="WKM21" s="94"/>
      <c r="WKN21" s="94"/>
      <c r="WKO21" s="94"/>
      <c r="WKP21" s="94"/>
      <c r="WKQ21" s="94"/>
      <c r="WKR21" s="94"/>
      <c r="WKS21" s="94"/>
      <c r="WKT21" s="94"/>
      <c r="WKU21" s="94"/>
      <c r="WKV21" s="94"/>
      <c r="WKW21" s="94"/>
      <c r="WKX21" s="94"/>
      <c r="WKY21" s="94"/>
      <c r="WKZ21" s="94"/>
      <c r="WLA21" s="94"/>
      <c r="WLB21" s="94"/>
      <c r="WLC21" s="94"/>
      <c r="WLD21" s="94"/>
      <c r="WLE21" s="94"/>
      <c r="WLF21" s="94"/>
      <c r="WLG21" s="94"/>
      <c r="WLH21" s="94"/>
      <c r="WLI21" s="94"/>
      <c r="WLJ21" s="94"/>
      <c r="WLK21" s="94"/>
      <c r="WLL21" s="94"/>
      <c r="WLM21" s="94"/>
      <c r="WLN21" s="94"/>
      <c r="WLO21" s="94"/>
      <c r="WLP21" s="94"/>
      <c r="WLQ21" s="94"/>
      <c r="WLR21" s="94"/>
      <c r="WLS21" s="94"/>
      <c r="WLT21" s="94"/>
      <c r="WLU21" s="94"/>
      <c r="WLV21" s="94"/>
      <c r="WLW21" s="94"/>
      <c r="WLX21" s="94"/>
      <c r="WLY21" s="94"/>
      <c r="WLZ21" s="94"/>
      <c r="WMA21" s="94"/>
      <c r="WMB21" s="94"/>
      <c r="WMC21" s="94"/>
      <c r="WMD21" s="94"/>
      <c r="WME21" s="94"/>
      <c r="WMF21" s="94"/>
      <c r="WMG21" s="94"/>
      <c r="WMH21" s="94"/>
      <c r="WMI21" s="94"/>
      <c r="WMJ21" s="94"/>
      <c r="WMK21" s="94"/>
      <c r="WML21" s="94"/>
      <c r="WMM21" s="94"/>
      <c r="WMN21" s="94"/>
      <c r="WMO21" s="94"/>
      <c r="WMP21" s="94"/>
      <c r="WMQ21" s="94"/>
      <c r="WMR21" s="94"/>
      <c r="WMS21" s="94"/>
      <c r="WMT21" s="94"/>
      <c r="WMU21" s="94"/>
      <c r="WMV21" s="94"/>
      <c r="WMW21" s="94"/>
      <c r="WMX21" s="94"/>
      <c r="WMY21" s="94"/>
      <c r="WMZ21" s="94"/>
      <c r="WNA21" s="94"/>
      <c r="WNB21" s="94"/>
      <c r="WNC21" s="94"/>
      <c r="WND21" s="94"/>
      <c r="WNE21" s="94"/>
      <c r="WNF21" s="94"/>
      <c r="WNG21" s="94"/>
      <c r="WNH21" s="94"/>
      <c r="WNI21" s="94"/>
      <c r="WNJ21" s="94"/>
      <c r="WNK21" s="94"/>
      <c r="WNL21" s="94"/>
      <c r="WNM21" s="94"/>
      <c r="WNN21" s="94"/>
      <c r="WNO21" s="94"/>
      <c r="WNP21" s="94"/>
      <c r="WNQ21" s="94"/>
      <c r="WNR21" s="94"/>
      <c r="WNS21" s="94"/>
      <c r="WNT21" s="94"/>
      <c r="WNU21" s="94"/>
      <c r="WNV21" s="94"/>
      <c r="WNW21" s="94"/>
      <c r="WNX21" s="94"/>
      <c r="WNY21" s="94"/>
      <c r="WNZ21" s="94"/>
      <c r="WOA21" s="94"/>
      <c r="WOB21" s="94"/>
      <c r="WOC21" s="94"/>
      <c r="WOD21" s="94"/>
      <c r="WOE21" s="94"/>
      <c r="WOF21" s="94"/>
      <c r="WOG21" s="94"/>
      <c r="WOH21" s="94"/>
      <c r="WOI21" s="94"/>
      <c r="WOJ21" s="94"/>
      <c r="WOK21" s="94"/>
      <c r="WOL21" s="94"/>
      <c r="WOM21" s="94"/>
      <c r="WON21" s="94"/>
      <c r="WOO21" s="94"/>
      <c r="WOP21" s="94"/>
      <c r="WOQ21" s="94"/>
      <c r="WOR21" s="94"/>
      <c r="WOS21" s="94"/>
      <c r="WOT21" s="94"/>
      <c r="WOU21" s="94"/>
      <c r="WOV21" s="94"/>
      <c r="WOW21" s="94"/>
      <c r="WOX21" s="94"/>
      <c r="WOY21" s="94"/>
      <c r="WOZ21" s="94"/>
      <c r="WPA21" s="94"/>
      <c r="WPB21" s="94"/>
      <c r="WPC21" s="94"/>
      <c r="WPD21" s="94"/>
      <c r="WPE21" s="94"/>
      <c r="WPF21" s="94"/>
      <c r="WPG21" s="94"/>
      <c r="WPH21" s="94"/>
      <c r="WPI21" s="94"/>
      <c r="WPJ21" s="94"/>
      <c r="WPK21" s="94"/>
      <c r="WPL21" s="94"/>
      <c r="WPM21" s="94"/>
      <c r="WPN21" s="94"/>
      <c r="WPO21" s="94"/>
      <c r="WPP21" s="94"/>
      <c r="WPQ21" s="94"/>
      <c r="WPR21" s="94"/>
      <c r="WPS21" s="94"/>
      <c r="WPT21" s="94"/>
      <c r="WPU21" s="94"/>
      <c r="WPV21" s="94"/>
      <c r="WPW21" s="94"/>
      <c r="WPX21" s="94"/>
      <c r="WPY21" s="94"/>
      <c r="WPZ21" s="94"/>
      <c r="WQA21" s="94"/>
      <c r="WQB21" s="94"/>
      <c r="WQC21" s="94"/>
      <c r="WQD21" s="94"/>
      <c r="WQE21" s="94"/>
      <c r="WQF21" s="94"/>
      <c r="WQG21" s="94"/>
      <c r="WQH21" s="94"/>
      <c r="WQI21" s="94"/>
      <c r="WQJ21" s="94"/>
      <c r="WQK21" s="94"/>
      <c r="WQL21" s="94"/>
      <c r="WQM21" s="94"/>
      <c r="WQN21" s="94"/>
      <c r="WQO21" s="94"/>
      <c r="WQP21" s="94"/>
      <c r="WQQ21" s="94"/>
      <c r="WQR21" s="94"/>
      <c r="WQS21" s="94"/>
      <c r="WQT21" s="94"/>
      <c r="WQU21" s="94"/>
      <c r="WQV21" s="94"/>
      <c r="WQW21" s="94"/>
      <c r="WQX21" s="94"/>
      <c r="WQY21" s="94"/>
      <c r="WQZ21" s="94"/>
      <c r="WRA21" s="94"/>
      <c r="WRB21" s="94"/>
      <c r="WRC21" s="94"/>
      <c r="WRD21" s="94"/>
      <c r="WRE21" s="94"/>
      <c r="WRF21" s="94"/>
      <c r="WRG21" s="94"/>
      <c r="WRH21" s="94"/>
      <c r="WRI21" s="94"/>
      <c r="WRJ21" s="94"/>
      <c r="WRK21" s="94"/>
      <c r="WRL21" s="94"/>
      <c r="WRM21" s="94"/>
      <c r="WRN21" s="94"/>
      <c r="WRO21" s="94"/>
      <c r="WRP21" s="94"/>
      <c r="WRQ21" s="94"/>
      <c r="WRR21" s="94"/>
      <c r="WRS21" s="94"/>
      <c r="WRT21" s="94"/>
      <c r="WRU21" s="94"/>
      <c r="WRV21" s="94"/>
      <c r="WRW21" s="94"/>
      <c r="WRX21" s="94"/>
      <c r="WRY21" s="94"/>
      <c r="WRZ21" s="94"/>
      <c r="WSA21" s="94"/>
      <c r="WSB21" s="94"/>
      <c r="WSC21" s="94"/>
      <c r="WSD21" s="94"/>
      <c r="WSE21" s="94"/>
      <c r="WSF21" s="94"/>
      <c r="WSG21" s="94"/>
      <c r="WSH21" s="94"/>
      <c r="WSI21" s="94"/>
      <c r="WSJ21" s="94"/>
      <c r="WSK21" s="94"/>
      <c r="WSL21" s="94"/>
      <c r="WSM21" s="94"/>
      <c r="WSN21" s="94"/>
      <c r="WSO21" s="94"/>
      <c r="WSP21" s="94"/>
      <c r="WSQ21" s="94"/>
      <c r="WSR21" s="94"/>
      <c r="WSS21" s="94"/>
      <c r="WST21" s="94"/>
      <c r="WSU21" s="94"/>
      <c r="WSV21" s="94"/>
      <c r="WSW21" s="94"/>
      <c r="WSX21" s="94"/>
      <c r="WSY21" s="94"/>
      <c r="WSZ21" s="94"/>
      <c r="WTA21" s="94"/>
      <c r="WTB21" s="94"/>
      <c r="WTC21" s="94"/>
      <c r="WTD21" s="94"/>
      <c r="WTE21" s="94"/>
      <c r="WTF21" s="94"/>
      <c r="WTG21" s="94"/>
      <c r="WTH21" s="94"/>
      <c r="WTI21" s="94"/>
      <c r="WTJ21" s="94"/>
      <c r="WTK21" s="94"/>
      <c r="WTL21" s="94"/>
      <c r="WTM21" s="94"/>
      <c r="WTN21" s="94"/>
      <c r="WTO21" s="94"/>
      <c r="WTP21" s="94"/>
      <c r="WTQ21" s="94"/>
      <c r="WTR21" s="94"/>
      <c r="WTS21" s="94"/>
      <c r="WTT21" s="94"/>
      <c r="WTU21" s="94"/>
      <c r="WTV21" s="94"/>
      <c r="WTW21" s="94"/>
      <c r="WTX21" s="94"/>
      <c r="WTY21" s="94"/>
      <c r="WTZ21" s="94"/>
      <c r="WUA21" s="94"/>
      <c r="WUB21" s="94"/>
      <c r="WUC21" s="94"/>
      <c r="WUD21" s="94"/>
      <c r="WUE21" s="94"/>
      <c r="WUF21" s="94"/>
      <c r="WUG21" s="94"/>
      <c r="WUH21" s="94"/>
      <c r="WUI21" s="94"/>
      <c r="WUJ21" s="94"/>
      <c r="WUK21" s="94"/>
      <c r="WUL21" s="94"/>
      <c r="WUM21" s="94"/>
      <c r="WUN21" s="94"/>
      <c r="WUO21" s="94"/>
      <c r="WUP21" s="94"/>
      <c r="WUQ21" s="94"/>
      <c r="WUR21" s="94"/>
      <c r="WUS21" s="94"/>
      <c r="WUT21" s="94"/>
      <c r="WUU21" s="94"/>
      <c r="WUV21" s="94"/>
      <c r="WUW21" s="94"/>
      <c r="WUX21" s="94"/>
      <c r="WUY21" s="94"/>
      <c r="WUZ21" s="94"/>
      <c r="WVA21" s="94"/>
      <c r="WVB21" s="94"/>
      <c r="WVC21" s="94"/>
      <c r="WVD21" s="94"/>
      <c r="WVE21" s="94"/>
      <c r="WVF21" s="94"/>
      <c r="WVG21" s="94"/>
      <c r="WVH21" s="94"/>
      <c r="WVI21" s="94"/>
      <c r="WVJ21" s="94"/>
      <c r="WVK21" s="94"/>
      <c r="WVL21" s="94"/>
      <c r="WVM21" s="94"/>
      <c r="WVN21" s="94"/>
      <c r="WVO21" s="94"/>
      <c r="WVP21" s="94"/>
      <c r="WVQ21" s="94"/>
      <c r="WVR21" s="94"/>
      <c r="WVS21" s="94"/>
      <c r="WVT21" s="94"/>
      <c r="WVU21" s="94"/>
      <c r="WVV21" s="94"/>
      <c r="WVW21" s="94"/>
      <c r="WVX21" s="94"/>
      <c r="WVY21" s="94"/>
      <c r="WVZ21" s="94"/>
      <c r="WWA21" s="94"/>
      <c r="WWB21" s="94"/>
      <c r="WWC21" s="94"/>
      <c r="WWD21" s="94"/>
      <c r="WWE21" s="94"/>
      <c r="WWF21" s="94"/>
      <c r="WWG21" s="94"/>
      <c r="WWH21" s="94"/>
      <c r="WWI21" s="94"/>
      <c r="WWJ21" s="94"/>
      <c r="WWK21" s="94"/>
      <c r="WWL21" s="94"/>
      <c r="WWM21" s="94"/>
      <c r="WWN21" s="94"/>
      <c r="WWO21" s="94"/>
      <c r="WWP21" s="94"/>
      <c r="WWQ21" s="94"/>
      <c r="WWR21" s="94"/>
      <c r="WWS21" s="94"/>
      <c r="WWT21" s="94"/>
      <c r="WWU21" s="94"/>
      <c r="WWV21" s="94"/>
      <c r="WWW21" s="94"/>
      <c r="WWX21" s="94"/>
      <c r="WWY21" s="94"/>
      <c r="WWZ21" s="94"/>
      <c r="WXA21" s="94"/>
      <c r="WXB21" s="94"/>
      <c r="WXC21" s="94"/>
      <c r="WXD21" s="94"/>
      <c r="WXE21" s="94"/>
      <c r="WXF21" s="94"/>
      <c r="WXG21" s="94"/>
      <c r="WXH21" s="94"/>
      <c r="WXI21" s="94"/>
      <c r="WXJ21" s="94"/>
      <c r="WXK21" s="94"/>
      <c r="WXL21" s="94"/>
      <c r="WXM21" s="94"/>
      <c r="WXN21" s="94"/>
      <c r="WXO21" s="94"/>
      <c r="WXP21" s="94"/>
      <c r="WXQ21" s="94"/>
      <c r="WXR21" s="94"/>
      <c r="WXS21" s="94"/>
      <c r="WXT21" s="94"/>
      <c r="WXU21" s="94"/>
      <c r="WXV21" s="94"/>
      <c r="WXW21" s="94"/>
      <c r="WXX21" s="94"/>
      <c r="WXY21" s="94"/>
      <c r="WXZ21" s="94"/>
      <c r="WYA21" s="94"/>
      <c r="WYB21" s="94"/>
      <c r="WYC21" s="94"/>
      <c r="WYD21" s="94"/>
      <c r="WYE21" s="94"/>
      <c r="WYF21" s="94"/>
      <c r="WYG21" s="94"/>
      <c r="WYH21" s="94"/>
      <c r="WYI21" s="94"/>
      <c r="WYJ21" s="94"/>
      <c r="WYK21" s="94"/>
      <c r="WYL21" s="94"/>
      <c r="WYM21" s="94"/>
      <c r="WYN21" s="94"/>
      <c r="WYO21" s="94"/>
      <c r="WYP21" s="94"/>
      <c r="WYQ21" s="94"/>
      <c r="WYR21" s="94"/>
      <c r="WYS21" s="94"/>
      <c r="WYT21" s="94"/>
      <c r="WYU21" s="94"/>
      <c r="WYV21" s="94"/>
      <c r="WYW21" s="94"/>
      <c r="WYX21" s="94"/>
      <c r="WYY21" s="94"/>
      <c r="WYZ21" s="94"/>
      <c r="WZA21" s="94"/>
      <c r="WZB21" s="94"/>
      <c r="WZC21" s="94"/>
      <c r="WZD21" s="94"/>
      <c r="WZE21" s="94"/>
      <c r="WZF21" s="94"/>
      <c r="WZG21" s="94"/>
      <c r="WZH21" s="94"/>
      <c r="WZI21" s="94"/>
      <c r="WZJ21" s="94"/>
      <c r="WZK21" s="94"/>
      <c r="WZL21" s="94"/>
      <c r="WZM21" s="94"/>
      <c r="WZN21" s="94"/>
      <c r="WZO21" s="94"/>
      <c r="WZP21" s="94"/>
      <c r="WZQ21" s="94"/>
      <c r="WZR21" s="94"/>
      <c r="WZS21" s="94"/>
      <c r="WZT21" s="94"/>
      <c r="WZU21" s="94"/>
      <c r="WZV21" s="94"/>
      <c r="WZW21" s="94"/>
      <c r="WZX21" s="94"/>
      <c r="WZY21" s="94"/>
      <c r="WZZ21" s="94"/>
      <c r="XAA21" s="94"/>
      <c r="XAB21" s="94"/>
      <c r="XAC21" s="94"/>
      <c r="XAD21" s="94"/>
      <c r="XAE21" s="94"/>
      <c r="XAF21" s="94"/>
      <c r="XAG21" s="94"/>
      <c r="XAH21" s="94"/>
      <c r="XAI21" s="94"/>
      <c r="XAJ21" s="94"/>
      <c r="XAK21" s="94"/>
      <c r="XAL21" s="94"/>
      <c r="XAM21" s="94"/>
      <c r="XAN21" s="94"/>
      <c r="XAO21" s="94"/>
      <c r="XAP21" s="94"/>
      <c r="XAQ21" s="94"/>
      <c r="XAR21" s="94"/>
      <c r="XAS21" s="94"/>
      <c r="XAT21" s="94"/>
      <c r="XAU21" s="94"/>
      <c r="XAV21" s="94"/>
      <c r="XAW21" s="94"/>
      <c r="XAX21" s="94"/>
      <c r="XAY21" s="94"/>
      <c r="XAZ21" s="94"/>
      <c r="XBA21" s="94"/>
      <c r="XBB21" s="94"/>
      <c r="XBC21" s="94"/>
      <c r="XBD21" s="94"/>
      <c r="XBE21" s="94"/>
      <c r="XBF21" s="94"/>
      <c r="XBG21" s="94"/>
      <c r="XBH21" s="94"/>
      <c r="XBI21" s="94"/>
      <c r="XBJ21" s="94"/>
      <c r="XBK21" s="94"/>
      <c r="XBL21" s="94"/>
      <c r="XBM21" s="94"/>
      <c r="XBN21" s="94"/>
      <c r="XBO21" s="94"/>
      <c r="XBP21" s="94"/>
      <c r="XBQ21" s="94"/>
      <c r="XBR21" s="94"/>
      <c r="XBS21" s="94"/>
      <c r="XBT21" s="94"/>
      <c r="XBU21" s="94"/>
      <c r="XBV21" s="94"/>
      <c r="XBW21" s="94"/>
      <c r="XBX21" s="94"/>
      <c r="XBY21" s="94"/>
      <c r="XBZ21" s="94"/>
      <c r="XCA21" s="94"/>
      <c r="XCB21" s="94"/>
      <c r="XCC21" s="94"/>
      <c r="XCD21" s="94"/>
      <c r="XCE21" s="94"/>
      <c r="XCF21" s="94"/>
      <c r="XCG21" s="94"/>
      <c r="XCH21" s="94"/>
      <c r="XCI21" s="94"/>
      <c r="XCJ21" s="94"/>
      <c r="XCK21" s="94"/>
      <c r="XCL21" s="94"/>
      <c r="XCM21" s="94"/>
      <c r="XCN21" s="94"/>
      <c r="XCO21" s="94"/>
      <c r="XCP21" s="94"/>
      <c r="XCQ21" s="94"/>
      <c r="XCR21" s="94"/>
      <c r="XCS21" s="94"/>
      <c r="XCT21" s="94"/>
      <c r="XCU21" s="94"/>
      <c r="XCV21" s="94"/>
      <c r="XCW21" s="94"/>
      <c r="XCX21" s="94"/>
      <c r="XCY21" s="94"/>
      <c r="XCZ21" s="94"/>
      <c r="XDA21" s="94"/>
      <c r="XDB21" s="94"/>
      <c r="XDC21" s="94"/>
      <c r="XDD21" s="94"/>
      <c r="XDE21" s="94"/>
      <c r="XDF21" s="94"/>
      <c r="XDG21" s="94"/>
      <c r="XDH21" s="94"/>
      <c r="XDI21" s="94"/>
      <c r="XDJ21" s="94"/>
      <c r="XDK21" s="94"/>
      <c r="XDL21" s="94"/>
      <c r="XDM21" s="94"/>
      <c r="XDN21" s="94"/>
      <c r="XDO21" s="94"/>
      <c r="XDP21" s="94"/>
      <c r="XDQ21" s="94"/>
      <c r="XDR21" s="94"/>
      <c r="XDS21" s="94"/>
      <c r="XDT21" s="94"/>
      <c r="XDU21" s="94"/>
      <c r="XDV21" s="94"/>
      <c r="XDW21" s="94"/>
      <c r="XDX21" s="94"/>
      <c r="XDY21" s="94"/>
      <c r="XDZ21" s="94"/>
      <c r="XEA21" s="94"/>
      <c r="XEB21" s="94"/>
      <c r="XEC21" s="94"/>
      <c r="XED21" s="94"/>
      <c r="XEE21" s="94"/>
      <c r="XEF21" s="94"/>
      <c r="XEG21" s="94"/>
      <c r="XEH21" s="94"/>
      <c r="XEI21" s="94"/>
      <c r="XEJ21" s="94"/>
      <c r="XEK21" s="94"/>
      <c r="XEL21" s="94"/>
      <c r="XEM21" s="94"/>
      <c r="XEN21" s="94"/>
      <c r="XEO21" s="94"/>
      <c r="XEP21" s="94"/>
      <c r="XEQ21" s="94"/>
      <c r="XER21" s="94"/>
      <c r="XES21" s="94"/>
      <c r="XET21" s="94"/>
      <c r="XEU21" s="94"/>
    </row>
    <row r="22" spans="1:16375" s="94" customFormat="1" ht="14.5" x14ac:dyDescent="0.35">
      <c r="A22" s="96" t="s">
        <v>536</v>
      </c>
      <c r="B22" s="96" t="s">
        <v>581</v>
      </c>
      <c r="C22" s="96" t="s">
        <v>546</v>
      </c>
      <c r="D22" s="96">
        <v>21</v>
      </c>
      <c r="E22" s="96" t="s">
        <v>576</v>
      </c>
      <c r="F22" s="96">
        <v>4</v>
      </c>
      <c r="G22" s="96" t="s">
        <v>532</v>
      </c>
      <c r="H22" s="96" t="s">
        <v>575</v>
      </c>
      <c r="I22" s="96" t="s">
        <v>529</v>
      </c>
      <c r="J22" s="101">
        <v>1</v>
      </c>
      <c r="K22" s="101" t="s">
        <v>530</v>
      </c>
      <c r="L22" s="101" t="s">
        <v>529</v>
      </c>
      <c r="M22" s="82">
        <v>2023</v>
      </c>
      <c r="N22" s="101">
        <v>12473</v>
      </c>
      <c r="O22" s="101">
        <v>25</v>
      </c>
      <c r="P22" s="101">
        <v>40</v>
      </c>
      <c r="Q22" s="96" t="s">
        <v>528</v>
      </c>
      <c r="R22" s="96">
        <v>0</v>
      </c>
      <c r="S22" s="96">
        <v>0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>
        <v>0</v>
      </c>
      <c r="AA22" s="96">
        <v>0</v>
      </c>
      <c r="AB22" s="96">
        <v>0</v>
      </c>
      <c r="AC22" s="96">
        <v>0</v>
      </c>
      <c r="AD22" s="96">
        <v>0</v>
      </c>
      <c r="AE22" s="96">
        <v>0</v>
      </c>
      <c r="AF22" s="96">
        <v>0</v>
      </c>
      <c r="AG22" s="96">
        <v>0</v>
      </c>
      <c r="AH22" s="96">
        <v>0</v>
      </c>
      <c r="AI22" s="96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289.2</v>
      </c>
      <c r="AT22" s="96">
        <v>28504.89</v>
      </c>
      <c r="AU22" s="96">
        <v>360</v>
      </c>
      <c r="AV22" s="96">
        <v>33478.1</v>
      </c>
      <c r="AW22" s="96">
        <v>360</v>
      </c>
      <c r="AX22" s="96">
        <v>34313.26</v>
      </c>
      <c r="AY22" s="96">
        <v>360</v>
      </c>
      <c r="AZ22" s="100" t="s">
        <v>579</v>
      </c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99"/>
      <c r="GZ22" s="99"/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99"/>
      <c r="HT22" s="99"/>
      <c r="HU22" s="99"/>
      <c r="HV22" s="99"/>
      <c r="HW22" s="99"/>
      <c r="HX22" s="99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99"/>
      <c r="JC22" s="99"/>
      <c r="JD22" s="99"/>
      <c r="JE22" s="99"/>
      <c r="JF22" s="99"/>
      <c r="JG22" s="99"/>
      <c r="JH22" s="99"/>
      <c r="JI22" s="99"/>
      <c r="JJ22" s="99"/>
      <c r="JK22" s="99"/>
      <c r="JL22" s="99"/>
      <c r="JM22" s="99"/>
      <c r="JN22" s="99"/>
      <c r="JO22" s="99"/>
      <c r="JP22" s="99"/>
      <c r="JQ22" s="99"/>
      <c r="JR22" s="99"/>
      <c r="JS22" s="99"/>
      <c r="JT22" s="99"/>
      <c r="JU22" s="99"/>
      <c r="JV22" s="99"/>
      <c r="JW22" s="99"/>
      <c r="JX22" s="99"/>
      <c r="JY22" s="99"/>
      <c r="JZ22" s="99"/>
      <c r="KA22" s="99"/>
      <c r="KB22" s="99"/>
      <c r="KC22" s="99"/>
      <c r="KD22" s="99"/>
      <c r="KE22" s="99"/>
      <c r="KF22" s="99"/>
      <c r="KG22" s="99"/>
      <c r="KH22" s="99"/>
      <c r="KI22" s="99"/>
      <c r="KJ22" s="99"/>
      <c r="KK22" s="99"/>
      <c r="KL22" s="99"/>
      <c r="KM22" s="99"/>
      <c r="KN22" s="99"/>
      <c r="KO22" s="99"/>
      <c r="KP22" s="99"/>
      <c r="KQ22" s="99"/>
      <c r="KR22" s="99"/>
      <c r="KS22" s="99"/>
      <c r="KT22" s="99"/>
      <c r="KU22" s="99"/>
      <c r="KV22" s="99"/>
      <c r="KW22" s="99"/>
      <c r="KX22" s="99"/>
      <c r="KY22" s="99"/>
      <c r="KZ22" s="99"/>
      <c r="LA22" s="99"/>
      <c r="LB22" s="99"/>
      <c r="LC22" s="99"/>
      <c r="LD22" s="99"/>
      <c r="LE22" s="99"/>
      <c r="LF22" s="99"/>
      <c r="LG22" s="99"/>
      <c r="LH22" s="99"/>
      <c r="LI22" s="99"/>
      <c r="LJ22" s="99"/>
      <c r="LK22" s="99"/>
      <c r="LL22" s="99"/>
      <c r="LM22" s="99"/>
      <c r="LN22" s="99"/>
      <c r="LO22" s="99"/>
      <c r="LP22" s="99"/>
      <c r="LQ22" s="99"/>
      <c r="LR22" s="99"/>
      <c r="LS22" s="99"/>
      <c r="LT22" s="99"/>
      <c r="LU22" s="99"/>
      <c r="LV22" s="99"/>
      <c r="LW22" s="99"/>
      <c r="LX22" s="99"/>
      <c r="LY22" s="99"/>
      <c r="LZ22" s="99"/>
      <c r="MA22" s="99"/>
      <c r="MB22" s="99"/>
      <c r="MC22" s="99"/>
      <c r="MD22" s="99"/>
      <c r="ME22" s="99"/>
      <c r="MF22" s="99"/>
      <c r="MG22" s="99"/>
      <c r="MH22" s="99"/>
      <c r="MI22" s="99"/>
      <c r="MJ22" s="99"/>
      <c r="MK22" s="99"/>
      <c r="ML22" s="99"/>
      <c r="MM22" s="99"/>
      <c r="MN22" s="99"/>
      <c r="MO22" s="99"/>
      <c r="MP22" s="99"/>
      <c r="MQ22" s="99"/>
      <c r="MR22" s="99"/>
      <c r="MS22" s="99"/>
      <c r="MT22" s="99"/>
      <c r="MU22" s="99"/>
      <c r="MV22" s="99"/>
      <c r="MW22" s="99"/>
      <c r="MX22" s="99"/>
      <c r="MY22" s="99"/>
      <c r="MZ22" s="99"/>
      <c r="NA22" s="99"/>
      <c r="NB22" s="99"/>
      <c r="NC22" s="99"/>
      <c r="ND22" s="99"/>
      <c r="NE22" s="99"/>
      <c r="NF22" s="99"/>
      <c r="NG22" s="99"/>
      <c r="NH22" s="99"/>
      <c r="NI22" s="99"/>
      <c r="NJ22" s="99"/>
      <c r="NK22" s="99"/>
      <c r="NL22" s="99"/>
      <c r="NM22" s="99"/>
      <c r="NN22" s="99"/>
      <c r="NO22" s="99"/>
      <c r="NP22" s="99"/>
      <c r="NQ22" s="99"/>
      <c r="NR22" s="99"/>
      <c r="NS22" s="99"/>
      <c r="NT22" s="99"/>
      <c r="NU22" s="99"/>
      <c r="NV22" s="99"/>
      <c r="NW22" s="99"/>
      <c r="NX22" s="99"/>
      <c r="NY22" s="99"/>
      <c r="NZ22" s="99"/>
      <c r="OA22" s="99"/>
      <c r="OB22" s="99"/>
      <c r="OC22" s="99"/>
      <c r="OD22" s="99"/>
      <c r="OE22" s="99"/>
      <c r="OF22" s="99"/>
      <c r="OG22" s="99"/>
      <c r="OH22" s="99"/>
      <c r="OI22" s="99"/>
      <c r="OJ22" s="99"/>
      <c r="OK22" s="99"/>
      <c r="OL22" s="99"/>
      <c r="OM22" s="99"/>
      <c r="ON22" s="99"/>
      <c r="OO22" s="99"/>
      <c r="OP22" s="99"/>
      <c r="OQ22" s="99"/>
      <c r="OR22" s="99"/>
      <c r="OS22" s="99"/>
      <c r="OT22" s="99"/>
      <c r="OU22" s="99"/>
      <c r="OV22" s="99"/>
      <c r="OW22" s="99"/>
      <c r="OX22" s="99"/>
      <c r="OY22" s="99"/>
      <c r="OZ22" s="99"/>
      <c r="PA22" s="99"/>
      <c r="PB22" s="99"/>
      <c r="PC22" s="99"/>
      <c r="PD22" s="99"/>
      <c r="PE22" s="99"/>
      <c r="PF22" s="99"/>
      <c r="PG22" s="99"/>
      <c r="PH22" s="99"/>
      <c r="PI22" s="99"/>
      <c r="PJ22" s="99"/>
      <c r="PK22" s="99"/>
      <c r="PL22" s="99"/>
      <c r="PM22" s="99"/>
      <c r="PN22" s="99"/>
      <c r="PO22" s="99"/>
      <c r="PP22" s="99"/>
      <c r="PQ22" s="99"/>
      <c r="PR22" s="99"/>
      <c r="PS22" s="99"/>
      <c r="PT22" s="99"/>
      <c r="PU22" s="99"/>
      <c r="PV22" s="99"/>
      <c r="PW22" s="99"/>
      <c r="PX22" s="99"/>
      <c r="PY22" s="99"/>
      <c r="PZ22" s="99"/>
      <c r="QA22" s="99"/>
      <c r="QB22" s="99"/>
      <c r="QC22" s="99"/>
      <c r="QD22" s="99"/>
      <c r="QE22" s="99"/>
      <c r="QF22" s="99"/>
      <c r="QG22" s="99"/>
      <c r="QH22" s="99"/>
      <c r="QI22" s="99"/>
      <c r="QJ22" s="99"/>
      <c r="QK22" s="99"/>
      <c r="QL22" s="99"/>
      <c r="QM22" s="99"/>
      <c r="QN22" s="99"/>
      <c r="QO22" s="99"/>
      <c r="QP22" s="99"/>
      <c r="QQ22" s="99"/>
      <c r="QR22" s="99"/>
      <c r="QS22" s="99"/>
      <c r="QT22" s="99"/>
      <c r="QU22" s="99"/>
      <c r="QV22" s="99"/>
      <c r="QW22" s="99"/>
      <c r="QX22" s="99"/>
      <c r="QY22" s="99"/>
      <c r="QZ22" s="99"/>
      <c r="RA22" s="99"/>
      <c r="RB22" s="99"/>
      <c r="RC22" s="99"/>
      <c r="RD22" s="99"/>
      <c r="RE22" s="99"/>
      <c r="RF22" s="99"/>
      <c r="RG22" s="99"/>
      <c r="RH22" s="99"/>
      <c r="RI22" s="99"/>
      <c r="RJ22" s="99"/>
      <c r="RK22" s="99"/>
      <c r="RL22" s="99"/>
      <c r="RM22" s="99"/>
      <c r="RN22" s="99"/>
      <c r="RO22" s="99"/>
      <c r="RP22" s="99"/>
      <c r="RQ22" s="99"/>
      <c r="RR22" s="99"/>
      <c r="RS22" s="99"/>
      <c r="RT22" s="99"/>
      <c r="RU22" s="99"/>
      <c r="RV22" s="99"/>
      <c r="RW22" s="99"/>
      <c r="RX22" s="99"/>
      <c r="RY22" s="99"/>
      <c r="RZ22" s="99"/>
      <c r="SA22" s="99"/>
      <c r="SB22" s="99"/>
      <c r="SC22" s="99"/>
      <c r="SD22" s="99"/>
      <c r="SE22" s="99"/>
      <c r="SF22" s="99"/>
      <c r="SG22" s="99"/>
      <c r="SH22" s="99"/>
      <c r="SI22" s="99"/>
      <c r="SJ22" s="99"/>
      <c r="SK22" s="99"/>
      <c r="SL22" s="99"/>
      <c r="SM22" s="99"/>
      <c r="SN22" s="99"/>
      <c r="SO22" s="99"/>
      <c r="SP22" s="99"/>
      <c r="SQ22" s="99"/>
      <c r="SR22" s="99"/>
      <c r="SS22" s="99"/>
      <c r="ST22" s="99"/>
      <c r="SU22" s="99"/>
      <c r="SV22" s="99"/>
      <c r="SW22" s="99"/>
      <c r="SX22" s="99"/>
      <c r="SY22" s="99"/>
      <c r="SZ22" s="99"/>
      <c r="TA22" s="99"/>
      <c r="TB22" s="99"/>
      <c r="TC22" s="99"/>
      <c r="TD22" s="99"/>
      <c r="TE22" s="99"/>
      <c r="TF22" s="99"/>
      <c r="TG22" s="99"/>
      <c r="TH22" s="99"/>
      <c r="TI22" s="99"/>
      <c r="TJ22" s="99"/>
      <c r="TK22" s="99"/>
      <c r="TL22" s="99"/>
      <c r="TM22" s="99"/>
      <c r="TN22" s="99"/>
      <c r="TO22" s="99"/>
      <c r="TP22" s="99"/>
      <c r="TQ22" s="99"/>
      <c r="TR22" s="99"/>
      <c r="TS22" s="99"/>
      <c r="TT22" s="99"/>
      <c r="TU22" s="99"/>
      <c r="TV22" s="99"/>
      <c r="TW22" s="99"/>
      <c r="TX22" s="99"/>
      <c r="TY22" s="99"/>
      <c r="TZ22" s="99"/>
      <c r="UA22" s="99"/>
      <c r="UB22" s="99"/>
      <c r="UC22" s="99"/>
      <c r="UD22" s="99"/>
      <c r="UE22" s="99"/>
      <c r="UF22" s="99"/>
      <c r="UG22" s="99"/>
      <c r="UH22" s="99"/>
      <c r="UI22" s="99"/>
      <c r="UJ22" s="99"/>
      <c r="UK22" s="99"/>
      <c r="UL22" s="99"/>
      <c r="UM22" s="99"/>
      <c r="UN22" s="99"/>
      <c r="UO22" s="99"/>
      <c r="UP22" s="99"/>
      <c r="UQ22" s="99"/>
      <c r="UR22" s="99"/>
      <c r="US22" s="99"/>
      <c r="UT22" s="99"/>
      <c r="UU22" s="99"/>
      <c r="UV22" s="99"/>
      <c r="UW22" s="99"/>
      <c r="UX22" s="99"/>
      <c r="UY22" s="99"/>
      <c r="UZ22" s="99"/>
      <c r="VA22" s="99"/>
      <c r="VB22" s="99"/>
      <c r="VC22" s="99"/>
      <c r="VD22" s="99"/>
      <c r="VE22" s="99"/>
      <c r="VF22" s="99"/>
      <c r="VG22" s="99"/>
      <c r="VH22" s="99"/>
      <c r="VI22" s="99"/>
      <c r="VJ22" s="99"/>
      <c r="VK22" s="99"/>
      <c r="VL22" s="99"/>
      <c r="VM22" s="99"/>
      <c r="VN22" s="99"/>
      <c r="VO22" s="99"/>
      <c r="VP22" s="99"/>
      <c r="VQ22" s="99"/>
      <c r="VR22" s="99"/>
      <c r="VS22" s="99"/>
      <c r="VT22" s="99"/>
      <c r="VU22" s="99"/>
      <c r="VV22" s="99"/>
      <c r="VW22" s="99"/>
      <c r="VX22" s="99"/>
      <c r="VY22" s="99"/>
      <c r="VZ22" s="99"/>
      <c r="WA22" s="99"/>
      <c r="WB22" s="99"/>
      <c r="WC22" s="99"/>
      <c r="WD22" s="99"/>
      <c r="WE22" s="99"/>
      <c r="WF22" s="99"/>
      <c r="WG22" s="99"/>
      <c r="WH22" s="99"/>
      <c r="WI22" s="99"/>
      <c r="WJ22" s="99"/>
      <c r="WK22" s="99"/>
      <c r="WL22" s="99"/>
      <c r="WM22" s="99"/>
      <c r="WN22" s="99"/>
      <c r="WO22" s="99"/>
      <c r="WP22" s="99"/>
      <c r="WQ22" s="99"/>
      <c r="WR22" s="99"/>
      <c r="WS22" s="99"/>
      <c r="WT22" s="99"/>
      <c r="WU22" s="99"/>
      <c r="WV22" s="99"/>
      <c r="WW22" s="99"/>
      <c r="WX22" s="99"/>
      <c r="WY22" s="99"/>
      <c r="WZ22" s="99"/>
      <c r="XA22" s="99"/>
      <c r="XB22" s="99"/>
      <c r="XC22" s="99"/>
      <c r="XD22" s="99"/>
      <c r="XE22" s="99"/>
      <c r="XF22" s="99"/>
      <c r="XG22" s="99"/>
      <c r="XH22" s="99"/>
      <c r="XI22" s="99"/>
      <c r="XJ22" s="99"/>
      <c r="XK22" s="99"/>
      <c r="XL22" s="99"/>
      <c r="XM22" s="99"/>
      <c r="XN22" s="99"/>
      <c r="XO22" s="99"/>
      <c r="XP22" s="99"/>
      <c r="XQ22" s="99"/>
      <c r="XR22" s="99"/>
      <c r="XS22" s="99"/>
      <c r="XT22" s="99"/>
      <c r="XU22" s="99"/>
      <c r="XV22" s="99"/>
      <c r="XW22" s="99"/>
      <c r="XX22" s="99"/>
      <c r="XY22" s="99"/>
      <c r="XZ22" s="99"/>
      <c r="YA22" s="99"/>
      <c r="YB22" s="99"/>
      <c r="YC22" s="99"/>
      <c r="YD22" s="99"/>
      <c r="YE22" s="99"/>
      <c r="YF22" s="99"/>
      <c r="YG22" s="99"/>
      <c r="YH22" s="99"/>
      <c r="YI22" s="99"/>
      <c r="YJ22" s="99"/>
      <c r="YK22" s="99"/>
      <c r="YL22" s="99"/>
      <c r="YM22" s="99"/>
      <c r="YN22" s="99"/>
      <c r="YO22" s="99"/>
      <c r="YP22" s="99"/>
      <c r="YQ22" s="99"/>
      <c r="YR22" s="99"/>
      <c r="YS22" s="99"/>
      <c r="YT22" s="99"/>
      <c r="YU22" s="99"/>
      <c r="YV22" s="99"/>
      <c r="YW22" s="99"/>
      <c r="YX22" s="99"/>
      <c r="YY22" s="99"/>
      <c r="YZ22" s="99"/>
      <c r="ZA22" s="99"/>
      <c r="ZB22" s="99"/>
      <c r="ZC22" s="99"/>
      <c r="ZD22" s="99"/>
      <c r="ZE22" s="99"/>
      <c r="ZF22" s="99"/>
      <c r="ZG22" s="99"/>
      <c r="ZH22" s="99"/>
      <c r="ZI22" s="99"/>
      <c r="ZJ22" s="99"/>
      <c r="ZK22" s="99"/>
      <c r="ZL22" s="99"/>
      <c r="ZM22" s="99"/>
      <c r="ZN22" s="99"/>
      <c r="ZO22" s="99"/>
      <c r="ZP22" s="99"/>
      <c r="ZQ22" s="99"/>
      <c r="ZR22" s="99"/>
      <c r="ZS22" s="99"/>
      <c r="ZT22" s="99"/>
      <c r="ZU22" s="99"/>
      <c r="ZV22" s="99"/>
      <c r="ZW22" s="99"/>
      <c r="ZX22" s="99"/>
      <c r="ZY22" s="99"/>
      <c r="ZZ22" s="99"/>
      <c r="AAA22" s="99"/>
      <c r="AAB22" s="99"/>
      <c r="AAC22" s="99"/>
      <c r="AAD22" s="99"/>
      <c r="AAE22" s="99"/>
      <c r="AAF22" s="99"/>
      <c r="AAG22" s="99"/>
      <c r="AAH22" s="99"/>
      <c r="AAI22" s="99"/>
      <c r="AAJ22" s="99"/>
      <c r="AAK22" s="99"/>
      <c r="AAL22" s="99"/>
      <c r="AAM22" s="99"/>
      <c r="AAN22" s="99"/>
      <c r="AAO22" s="99"/>
      <c r="AAP22" s="99"/>
      <c r="AAQ22" s="99"/>
      <c r="AAR22" s="99"/>
      <c r="AAS22" s="99"/>
      <c r="AAT22" s="99"/>
      <c r="AAU22" s="99"/>
      <c r="AAV22" s="99"/>
      <c r="AAW22" s="99"/>
      <c r="AAX22" s="99"/>
      <c r="AAY22" s="99"/>
      <c r="AAZ22" s="99"/>
      <c r="ABA22" s="99"/>
      <c r="ABB22" s="99"/>
      <c r="ABC22" s="99"/>
      <c r="ABD22" s="99"/>
      <c r="ABE22" s="99"/>
      <c r="ABF22" s="99"/>
      <c r="ABG22" s="99"/>
      <c r="ABH22" s="99"/>
      <c r="ABI22" s="99"/>
      <c r="ABJ22" s="99"/>
      <c r="ABK22" s="99"/>
      <c r="ABL22" s="99"/>
      <c r="ABM22" s="99"/>
      <c r="ABN22" s="99"/>
      <c r="ABO22" s="99"/>
      <c r="ABP22" s="99"/>
      <c r="ABQ22" s="99"/>
      <c r="ABR22" s="99"/>
      <c r="ABS22" s="99"/>
      <c r="ABT22" s="99"/>
      <c r="ABU22" s="99"/>
      <c r="ABV22" s="99"/>
      <c r="ABW22" s="99"/>
      <c r="ABX22" s="99"/>
      <c r="ABY22" s="99"/>
      <c r="ABZ22" s="99"/>
      <c r="ACA22" s="99"/>
      <c r="ACB22" s="99"/>
      <c r="ACC22" s="99"/>
      <c r="ACD22" s="99"/>
      <c r="ACE22" s="99"/>
      <c r="ACF22" s="99"/>
      <c r="ACG22" s="99"/>
      <c r="ACH22" s="99"/>
      <c r="ACI22" s="99"/>
      <c r="ACJ22" s="99"/>
      <c r="ACK22" s="99"/>
      <c r="ACL22" s="99"/>
      <c r="ACM22" s="99"/>
      <c r="ACN22" s="99"/>
      <c r="ACO22" s="99"/>
      <c r="ACP22" s="99"/>
      <c r="ACQ22" s="99"/>
      <c r="ACR22" s="99"/>
      <c r="ACS22" s="99"/>
      <c r="ACT22" s="99"/>
      <c r="ACU22" s="99"/>
      <c r="ACV22" s="99"/>
      <c r="ACW22" s="99"/>
      <c r="ACX22" s="99"/>
      <c r="ACY22" s="99"/>
      <c r="ACZ22" s="99"/>
      <c r="ADA22" s="99"/>
      <c r="ADB22" s="99"/>
      <c r="ADC22" s="99"/>
      <c r="ADD22" s="99"/>
      <c r="ADE22" s="99"/>
      <c r="ADF22" s="99"/>
      <c r="ADG22" s="99"/>
      <c r="ADH22" s="99"/>
      <c r="ADI22" s="99"/>
      <c r="ADJ22" s="99"/>
      <c r="ADK22" s="99"/>
      <c r="ADL22" s="99"/>
      <c r="ADM22" s="99"/>
      <c r="ADN22" s="99"/>
      <c r="ADO22" s="99"/>
      <c r="ADP22" s="99"/>
      <c r="ADQ22" s="99"/>
      <c r="ADR22" s="99"/>
      <c r="ADS22" s="99"/>
      <c r="ADT22" s="99"/>
      <c r="ADU22" s="99"/>
      <c r="ADV22" s="99"/>
      <c r="ADW22" s="99"/>
      <c r="ADX22" s="99"/>
      <c r="ADY22" s="99"/>
      <c r="ADZ22" s="99"/>
      <c r="AEA22" s="99"/>
      <c r="AEB22" s="99"/>
      <c r="AEC22" s="99"/>
      <c r="AED22" s="99"/>
      <c r="AEE22" s="99"/>
      <c r="AEF22" s="99"/>
      <c r="AEG22" s="99"/>
      <c r="AEH22" s="99"/>
      <c r="AEI22" s="99"/>
      <c r="AEJ22" s="99"/>
      <c r="AEK22" s="99"/>
      <c r="AEL22" s="99"/>
      <c r="AEM22" s="99"/>
      <c r="AEN22" s="99"/>
      <c r="AEO22" s="99"/>
      <c r="AEP22" s="99"/>
      <c r="AEQ22" s="99"/>
      <c r="AER22" s="99"/>
      <c r="AES22" s="99"/>
      <c r="AET22" s="99"/>
      <c r="AEU22" s="99"/>
      <c r="AEV22" s="99"/>
      <c r="AEW22" s="99"/>
      <c r="AEX22" s="99"/>
      <c r="AEY22" s="99"/>
      <c r="AEZ22" s="99"/>
      <c r="AFA22" s="99"/>
      <c r="AFB22" s="99"/>
      <c r="AFC22" s="99"/>
      <c r="AFD22" s="99"/>
      <c r="AFE22" s="99"/>
      <c r="AFF22" s="99"/>
      <c r="AFG22" s="99"/>
      <c r="AFH22" s="99"/>
      <c r="AFI22" s="99"/>
      <c r="AFJ22" s="99"/>
      <c r="AFK22" s="99"/>
      <c r="AFL22" s="99"/>
      <c r="AFM22" s="99"/>
      <c r="AFN22" s="99"/>
      <c r="AFO22" s="99"/>
      <c r="AFP22" s="99"/>
      <c r="AFQ22" s="99"/>
      <c r="AFR22" s="99"/>
      <c r="AFS22" s="99"/>
      <c r="AFT22" s="99"/>
      <c r="AFU22" s="99"/>
      <c r="AFV22" s="99"/>
      <c r="AFW22" s="99"/>
      <c r="AFX22" s="99"/>
      <c r="AFY22" s="99"/>
      <c r="AFZ22" s="99"/>
      <c r="AGA22" s="99"/>
      <c r="AGB22" s="99"/>
      <c r="AGC22" s="99"/>
      <c r="AGD22" s="99"/>
      <c r="AGE22" s="99"/>
      <c r="AGF22" s="99"/>
      <c r="AGG22" s="99"/>
      <c r="AGH22" s="99"/>
      <c r="AGI22" s="99"/>
      <c r="AGJ22" s="99"/>
      <c r="AGK22" s="99"/>
      <c r="AGL22" s="99"/>
      <c r="AGM22" s="99"/>
      <c r="AGN22" s="99"/>
      <c r="AGO22" s="99"/>
      <c r="AGP22" s="99"/>
      <c r="AGQ22" s="99"/>
      <c r="AGR22" s="99"/>
      <c r="AGS22" s="99"/>
      <c r="AGT22" s="99"/>
      <c r="AGU22" s="99"/>
      <c r="AGV22" s="99"/>
      <c r="AGW22" s="99"/>
      <c r="AGX22" s="99"/>
      <c r="AGY22" s="99"/>
      <c r="AGZ22" s="99"/>
      <c r="AHA22" s="99"/>
      <c r="AHB22" s="99"/>
      <c r="AHC22" s="99"/>
      <c r="AHD22" s="99"/>
      <c r="AHE22" s="99"/>
      <c r="AHF22" s="99"/>
      <c r="AHG22" s="99"/>
      <c r="AHH22" s="99"/>
      <c r="AHI22" s="99"/>
      <c r="AHJ22" s="99"/>
      <c r="AHK22" s="99"/>
      <c r="AHL22" s="99"/>
      <c r="AHM22" s="99"/>
      <c r="AHN22" s="99"/>
      <c r="AHO22" s="99"/>
      <c r="AHP22" s="99"/>
      <c r="AHQ22" s="99"/>
      <c r="AHR22" s="99"/>
      <c r="AHS22" s="99"/>
      <c r="AHT22" s="99"/>
      <c r="AHU22" s="99"/>
      <c r="AHV22" s="99"/>
      <c r="AHW22" s="99"/>
      <c r="AHX22" s="99"/>
      <c r="AHY22" s="99"/>
      <c r="AHZ22" s="99"/>
      <c r="AIA22" s="99"/>
      <c r="AIB22" s="99"/>
      <c r="AIC22" s="99"/>
      <c r="AID22" s="99"/>
      <c r="AIE22" s="99"/>
      <c r="AIF22" s="99"/>
      <c r="AIG22" s="99"/>
      <c r="AIH22" s="99"/>
      <c r="AII22" s="99"/>
      <c r="AIJ22" s="99"/>
      <c r="AIK22" s="99"/>
      <c r="AIL22" s="99"/>
      <c r="AIM22" s="99"/>
      <c r="AIN22" s="99"/>
      <c r="AIO22" s="99"/>
      <c r="AIP22" s="99"/>
      <c r="AIQ22" s="99"/>
      <c r="AIR22" s="99"/>
      <c r="AIS22" s="99"/>
      <c r="AIT22" s="99"/>
      <c r="AIU22" s="99"/>
      <c r="AIV22" s="99"/>
      <c r="AIW22" s="99"/>
      <c r="AIX22" s="99"/>
      <c r="AIY22" s="99"/>
      <c r="AIZ22" s="99"/>
      <c r="AJA22" s="99"/>
      <c r="AJB22" s="99"/>
      <c r="AJC22" s="99"/>
      <c r="AJD22" s="99"/>
      <c r="AJE22" s="99"/>
      <c r="AJF22" s="99"/>
      <c r="AJG22" s="99"/>
      <c r="AJH22" s="99"/>
      <c r="AJI22" s="99"/>
      <c r="AJJ22" s="99"/>
      <c r="AJK22" s="99"/>
      <c r="AJL22" s="99"/>
      <c r="AJM22" s="99"/>
      <c r="AJN22" s="99"/>
      <c r="AJO22" s="99"/>
      <c r="AJP22" s="99"/>
      <c r="AJQ22" s="99"/>
      <c r="AJR22" s="99"/>
      <c r="AJS22" s="99"/>
      <c r="AJT22" s="99"/>
      <c r="AJU22" s="99"/>
      <c r="AJV22" s="99"/>
      <c r="AJW22" s="99"/>
      <c r="AJX22" s="99"/>
      <c r="AJY22" s="99"/>
      <c r="AJZ22" s="99"/>
      <c r="AKA22" s="99"/>
      <c r="AKB22" s="99"/>
      <c r="AKC22" s="99"/>
      <c r="AKD22" s="99"/>
      <c r="AKE22" s="99"/>
      <c r="AKF22" s="99"/>
      <c r="AKG22" s="99"/>
      <c r="AKH22" s="99"/>
      <c r="AKI22" s="99"/>
      <c r="AKJ22" s="99"/>
      <c r="AKK22" s="99"/>
      <c r="AKL22" s="99"/>
      <c r="AKM22" s="99"/>
      <c r="AKN22" s="99"/>
      <c r="AKO22" s="99"/>
      <c r="AKP22" s="99"/>
      <c r="AKQ22" s="99"/>
      <c r="AKR22" s="99"/>
      <c r="AKS22" s="99"/>
      <c r="AKT22" s="99"/>
      <c r="AKU22" s="99"/>
      <c r="AKV22" s="99"/>
      <c r="AKW22" s="99"/>
      <c r="AKX22" s="99"/>
      <c r="AKY22" s="99"/>
      <c r="AKZ22" s="99"/>
      <c r="ALA22" s="99"/>
      <c r="ALB22" s="99"/>
      <c r="ALC22" s="99"/>
      <c r="ALD22" s="99"/>
      <c r="ALE22" s="99"/>
      <c r="ALF22" s="99"/>
      <c r="ALG22" s="99"/>
      <c r="ALH22" s="99"/>
      <c r="ALI22" s="99"/>
      <c r="ALJ22" s="99"/>
      <c r="ALK22" s="99"/>
      <c r="ALL22" s="99"/>
      <c r="ALM22" s="99"/>
      <c r="ALN22" s="99"/>
      <c r="ALO22" s="99"/>
      <c r="ALP22" s="99"/>
      <c r="ALQ22" s="99"/>
      <c r="ALR22" s="99"/>
      <c r="ALS22" s="99"/>
      <c r="ALT22" s="99"/>
      <c r="ALU22" s="99"/>
      <c r="ALV22" s="99"/>
      <c r="ALW22" s="99"/>
      <c r="ALX22" s="99"/>
      <c r="ALY22" s="99"/>
      <c r="ALZ22" s="99"/>
      <c r="AMA22" s="99"/>
      <c r="AMB22" s="99"/>
      <c r="AMC22" s="99"/>
      <c r="AMD22" s="99"/>
      <c r="AME22" s="99"/>
      <c r="AMF22" s="99"/>
      <c r="AMG22" s="99"/>
      <c r="AMH22" s="99"/>
      <c r="AMI22" s="99"/>
      <c r="AMJ22" s="99"/>
      <c r="AMK22" s="99"/>
      <c r="AML22" s="99"/>
      <c r="AMM22" s="99"/>
      <c r="AMN22" s="99"/>
      <c r="AMO22" s="99"/>
      <c r="AMP22" s="99"/>
      <c r="AMQ22" s="99"/>
      <c r="AMR22" s="99"/>
      <c r="AMS22" s="99"/>
      <c r="AMT22" s="99"/>
      <c r="AMU22" s="99"/>
      <c r="AMV22" s="99"/>
      <c r="AMW22" s="99"/>
      <c r="AMX22" s="99"/>
      <c r="AMY22" s="99"/>
      <c r="AMZ22" s="99"/>
      <c r="ANA22" s="99"/>
      <c r="ANB22" s="99"/>
      <c r="ANC22" s="99"/>
      <c r="AND22" s="99"/>
      <c r="ANE22" s="99"/>
      <c r="ANF22" s="99"/>
      <c r="ANG22" s="99"/>
      <c r="ANH22" s="99"/>
      <c r="ANI22" s="99"/>
      <c r="ANJ22" s="99"/>
      <c r="ANK22" s="99"/>
      <c r="ANL22" s="99"/>
      <c r="ANM22" s="99"/>
      <c r="ANN22" s="99"/>
      <c r="ANO22" s="99"/>
      <c r="ANP22" s="99"/>
      <c r="ANQ22" s="99"/>
      <c r="ANR22" s="99"/>
      <c r="ANS22" s="99"/>
      <c r="ANT22" s="99"/>
      <c r="ANU22" s="99"/>
      <c r="ANV22" s="99"/>
      <c r="ANW22" s="99"/>
      <c r="ANX22" s="99"/>
      <c r="ANY22" s="99"/>
      <c r="ANZ22" s="99"/>
      <c r="AOA22" s="99"/>
      <c r="AOB22" s="99"/>
      <c r="AOC22" s="99"/>
      <c r="AOD22" s="99"/>
      <c r="AOE22" s="99"/>
      <c r="AOF22" s="99"/>
      <c r="AOG22" s="99"/>
      <c r="AOH22" s="99"/>
      <c r="AOI22" s="99"/>
      <c r="AOJ22" s="99"/>
      <c r="AOK22" s="99"/>
      <c r="AOL22" s="99"/>
      <c r="AOM22" s="99"/>
      <c r="AON22" s="99"/>
      <c r="AOO22" s="99"/>
      <c r="AOP22" s="99"/>
      <c r="AOQ22" s="99"/>
      <c r="AOR22" s="99"/>
      <c r="AOS22" s="99"/>
      <c r="AOT22" s="99"/>
      <c r="AOU22" s="99"/>
      <c r="AOV22" s="99"/>
      <c r="AOW22" s="99"/>
      <c r="AOX22" s="99"/>
      <c r="AOY22" s="99"/>
      <c r="AOZ22" s="99"/>
      <c r="APA22" s="99"/>
      <c r="APB22" s="99"/>
      <c r="APC22" s="99"/>
      <c r="APD22" s="99"/>
      <c r="APE22" s="99"/>
      <c r="APF22" s="99"/>
      <c r="APG22" s="99"/>
      <c r="APH22" s="99"/>
      <c r="API22" s="99"/>
      <c r="APJ22" s="99"/>
      <c r="APK22" s="99"/>
      <c r="APL22" s="99"/>
      <c r="APM22" s="99"/>
      <c r="APN22" s="99"/>
      <c r="APO22" s="99"/>
      <c r="APP22" s="99"/>
      <c r="APQ22" s="99"/>
      <c r="APR22" s="99"/>
      <c r="APS22" s="99"/>
      <c r="APT22" s="99"/>
      <c r="APU22" s="99"/>
      <c r="APV22" s="99"/>
      <c r="APW22" s="99"/>
      <c r="APX22" s="99"/>
      <c r="APY22" s="99"/>
      <c r="APZ22" s="99"/>
      <c r="AQA22" s="99"/>
      <c r="AQB22" s="99"/>
      <c r="AQC22" s="99"/>
      <c r="AQD22" s="99"/>
      <c r="AQE22" s="99"/>
      <c r="AQF22" s="99"/>
      <c r="AQG22" s="99"/>
      <c r="AQH22" s="99"/>
      <c r="AQI22" s="99"/>
      <c r="AQJ22" s="99"/>
      <c r="AQK22" s="99"/>
      <c r="AQL22" s="99"/>
      <c r="AQM22" s="99"/>
      <c r="AQN22" s="99"/>
      <c r="AQO22" s="99"/>
      <c r="AQP22" s="99"/>
      <c r="AQQ22" s="99"/>
      <c r="AQR22" s="99"/>
      <c r="AQS22" s="99"/>
      <c r="AQT22" s="99"/>
      <c r="AQU22" s="99"/>
      <c r="AQV22" s="99"/>
      <c r="AQW22" s="99"/>
      <c r="AQX22" s="99"/>
      <c r="AQY22" s="99"/>
      <c r="AQZ22" s="99"/>
      <c r="ARA22" s="99"/>
      <c r="ARB22" s="99"/>
      <c r="ARC22" s="99"/>
      <c r="ARD22" s="99"/>
      <c r="ARE22" s="99"/>
      <c r="ARF22" s="99"/>
      <c r="ARG22" s="99"/>
      <c r="ARH22" s="99"/>
      <c r="ARI22" s="99"/>
      <c r="ARJ22" s="99"/>
      <c r="ARK22" s="99"/>
      <c r="ARL22" s="99"/>
      <c r="ARM22" s="99"/>
      <c r="ARN22" s="99"/>
      <c r="ARO22" s="99"/>
      <c r="ARP22" s="99"/>
      <c r="ARQ22" s="99"/>
      <c r="ARR22" s="99"/>
      <c r="ARS22" s="99"/>
      <c r="ART22" s="99"/>
      <c r="ARU22" s="99"/>
      <c r="ARV22" s="99"/>
      <c r="ARW22" s="99"/>
      <c r="ARX22" s="99"/>
      <c r="ARY22" s="99"/>
      <c r="ARZ22" s="99"/>
      <c r="ASA22" s="99"/>
      <c r="ASB22" s="99"/>
      <c r="ASC22" s="99"/>
      <c r="ASD22" s="99"/>
      <c r="ASE22" s="99"/>
      <c r="ASF22" s="99"/>
      <c r="ASG22" s="99"/>
      <c r="ASH22" s="99"/>
      <c r="ASI22" s="99"/>
      <c r="ASJ22" s="99"/>
      <c r="ASK22" s="99"/>
      <c r="ASL22" s="99"/>
      <c r="ASM22" s="99"/>
      <c r="ASN22" s="99"/>
      <c r="ASO22" s="99"/>
      <c r="ASP22" s="99"/>
      <c r="ASQ22" s="99"/>
      <c r="ASR22" s="99"/>
      <c r="ASS22" s="99"/>
      <c r="AST22" s="99"/>
      <c r="ASU22" s="99"/>
      <c r="ASV22" s="99"/>
      <c r="ASW22" s="99"/>
      <c r="ASX22" s="99"/>
      <c r="ASY22" s="99"/>
      <c r="ASZ22" s="99"/>
      <c r="ATA22" s="99"/>
      <c r="ATB22" s="99"/>
      <c r="ATC22" s="99"/>
      <c r="ATD22" s="99"/>
      <c r="ATE22" s="99"/>
      <c r="ATF22" s="99"/>
      <c r="ATG22" s="99"/>
      <c r="ATH22" s="99"/>
      <c r="ATI22" s="99"/>
      <c r="ATJ22" s="99"/>
      <c r="ATK22" s="99"/>
      <c r="ATL22" s="99"/>
      <c r="ATM22" s="99"/>
      <c r="ATN22" s="99"/>
      <c r="ATO22" s="99"/>
      <c r="ATP22" s="99"/>
      <c r="ATQ22" s="99"/>
      <c r="ATR22" s="99"/>
      <c r="ATS22" s="99"/>
      <c r="ATT22" s="99"/>
      <c r="ATU22" s="99"/>
      <c r="ATV22" s="99"/>
      <c r="ATW22" s="99"/>
      <c r="ATX22" s="99"/>
      <c r="ATY22" s="99"/>
      <c r="ATZ22" s="99"/>
      <c r="AUA22" s="99"/>
      <c r="AUB22" s="99"/>
      <c r="AUC22" s="99"/>
      <c r="AUD22" s="99"/>
      <c r="AUE22" s="99"/>
      <c r="AUF22" s="99"/>
      <c r="AUG22" s="99"/>
      <c r="AUH22" s="99"/>
      <c r="AUI22" s="99"/>
      <c r="AUJ22" s="99"/>
      <c r="AUK22" s="99"/>
      <c r="AUL22" s="99"/>
      <c r="AUM22" s="99"/>
      <c r="AUN22" s="99"/>
      <c r="AUO22" s="99"/>
      <c r="AUP22" s="99"/>
      <c r="AUQ22" s="99"/>
      <c r="AUR22" s="99"/>
      <c r="AUS22" s="99"/>
      <c r="AUT22" s="99"/>
      <c r="AUU22" s="99"/>
      <c r="AUV22" s="99"/>
      <c r="AUW22" s="99"/>
      <c r="AUX22" s="99"/>
      <c r="AUY22" s="99"/>
      <c r="AUZ22" s="99"/>
      <c r="AVA22" s="99"/>
      <c r="AVB22" s="99"/>
      <c r="AVC22" s="99"/>
      <c r="AVD22" s="99"/>
      <c r="AVE22" s="99"/>
      <c r="AVF22" s="99"/>
      <c r="AVG22" s="99"/>
      <c r="AVH22" s="99"/>
      <c r="AVI22" s="99"/>
      <c r="AVJ22" s="99"/>
      <c r="AVK22" s="99"/>
      <c r="AVL22" s="99"/>
      <c r="AVM22" s="99"/>
      <c r="AVN22" s="99"/>
      <c r="AVO22" s="99"/>
      <c r="AVP22" s="99"/>
      <c r="AVQ22" s="99"/>
      <c r="AVR22" s="99"/>
      <c r="AVS22" s="99"/>
      <c r="AVT22" s="99"/>
      <c r="AVU22" s="99"/>
      <c r="AVV22" s="99"/>
      <c r="AVW22" s="99"/>
      <c r="AVX22" s="99"/>
      <c r="AVY22" s="99"/>
      <c r="AVZ22" s="99"/>
      <c r="AWA22" s="99"/>
      <c r="AWB22" s="99"/>
      <c r="AWC22" s="99"/>
      <c r="AWD22" s="99"/>
      <c r="AWE22" s="99"/>
      <c r="AWF22" s="99"/>
      <c r="AWG22" s="99"/>
      <c r="AWH22" s="99"/>
      <c r="AWI22" s="99"/>
      <c r="AWJ22" s="99"/>
      <c r="AWK22" s="99"/>
      <c r="AWL22" s="99"/>
      <c r="AWM22" s="99"/>
      <c r="AWN22" s="99"/>
      <c r="AWO22" s="99"/>
      <c r="AWP22" s="99"/>
      <c r="AWQ22" s="99"/>
      <c r="AWR22" s="99"/>
      <c r="AWS22" s="99"/>
      <c r="AWT22" s="99"/>
      <c r="AWU22" s="99"/>
      <c r="AWV22" s="99"/>
      <c r="AWW22" s="99"/>
      <c r="AWX22" s="99"/>
      <c r="AWY22" s="99"/>
      <c r="AWZ22" s="99"/>
      <c r="AXA22" s="99"/>
      <c r="AXB22" s="99"/>
      <c r="AXC22" s="99"/>
      <c r="AXD22" s="99"/>
      <c r="AXE22" s="99"/>
      <c r="AXF22" s="99"/>
      <c r="AXG22" s="99"/>
      <c r="AXH22" s="99"/>
      <c r="AXI22" s="99"/>
      <c r="AXJ22" s="99"/>
      <c r="AXK22" s="99"/>
      <c r="AXL22" s="99"/>
      <c r="AXM22" s="99"/>
      <c r="AXN22" s="99"/>
      <c r="AXO22" s="99"/>
      <c r="AXP22" s="99"/>
      <c r="AXQ22" s="99"/>
      <c r="AXR22" s="99"/>
      <c r="AXS22" s="99"/>
      <c r="AXT22" s="99"/>
      <c r="AXU22" s="99"/>
      <c r="AXV22" s="99"/>
      <c r="AXW22" s="99"/>
      <c r="AXX22" s="99"/>
      <c r="AXY22" s="99"/>
      <c r="AXZ22" s="99"/>
      <c r="AYA22" s="99"/>
      <c r="AYB22" s="99"/>
      <c r="AYC22" s="99"/>
      <c r="AYD22" s="99"/>
      <c r="AYE22" s="99"/>
      <c r="AYF22" s="99"/>
      <c r="AYG22" s="99"/>
      <c r="AYH22" s="99"/>
      <c r="AYI22" s="99"/>
      <c r="AYJ22" s="99"/>
      <c r="AYK22" s="99"/>
      <c r="AYL22" s="99"/>
      <c r="AYM22" s="99"/>
      <c r="AYN22" s="99"/>
      <c r="AYO22" s="99"/>
      <c r="AYP22" s="99"/>
      <c r="AYQ22" s="99"/>
      <c r="AYR22" s="99"/>
      <c r="AYS22" s="99"/>
      <c r="AYT22" s="99"/>
      <c r="AYU22" s="99"/>
      <c r="AYV22" s="99"/>
      <c r="AYW22" s="99"/>
      <c r="AYX22" s="99"/>
      <c r="AYY22" s="99"/>
      <c r="AYZ22" s="99"/>
      <c r="AZA22" s="99"/>
      <c r="AZB22" s="99"/>
      <c r="AZC22" s="99"/>
      <c r="AZD22" s="99"/>
      <c r="AZE22" s="99"/>
      <c r="AZF22" s="99"/>
      <c r="AZG22" s="99"/>
      <c r="AZH22" s="99"/>
      <c r="AZI22" s="99"/>
      <c r="AZJ22" s="99"/>
      <c r="AZK22" s="99"/>
      <c r="AZL22" s="99"/>
      <c r="AZM22" s="99"/>
      <c r="AZN22" s="99"/>
      <c r="AZO22" s="99"/>
      <c r="AZP22" s="99"/>
      <c r="AZQ22" s="99"/>
      <c r="AZR22" s="99"/>
      <c r="AZS22" s="99"/>
      <c r="AZT22" s="99"/>
      <c r="AZU22" s="99"/>
      <c r="AZV22" s="99"/>
      <c r="AZW22" s="99"/>
      <c r="AZX22" s="99"/>
      <c r="AZY22" s="99"/>
      <c r="AZZ22" s="99"/>
      <c r="BAA22" s="99"/>
      <c r="BAB22" s="99"/>
      <c r="BAC22" s="99"/>
      <c r="BAD22" s="99"/>
      <c r="BAE22" s="99"/>
      <c r="BAF22" s="99"/>
      <c r="BAG22" s="99"/>
      <c r="BAH22" s="99"/>
      <c r="BAI22" s="99"/>
      <c r="BAJ22" s="99"/>
      <c r="BAK22" s="99"/>
      <c r="BAL22" s="99"/>
      <c r="BAM22" s="99"/>
      <c r="BAN22" s="99"/>
      <c r="BAO22" s="99"/>
      <c r="BAP22" s="99"/>
      <c r="BAQ22" s="99"/>
      <c r="BAR22" s="99"/>
      <c r="BAS22" s="99"/>
      <c r="BAT22" s="99"/>
      <c r="BAU22" s="99"/>
      <c r="BAV22" s="99"/>
      <c r="BAW22" s="99"/>
      <c r="BAX22" s="99"/>
      <c r="BAY22" s="99"/>
      <c r="BAZ22" s="99"/>
      <c r="BBA22" s="99"/>
      <c r="BBB22" s="99"/>
      <c r="BBC22" s="99"/>
      <c r="BBD22" s="99"/>
      <c r="BBE22" s="99"/>
      <c r="BBF22" s="99"/>
      <c r="BBG22" s="99"/>
      <c r="BBH22" s="99"/>
      <c r="BBI22" s="99"/>
      <c r="BBJ22" s="99"/>
      <c r="BBK22" s="99"/>
      <c r="BBL22" s="99"/>
      <c r="BBM22" s="99"/>
      <c r="BBN22" s="99"/>
      <c r="BBO22" s="99"/>
      <c r="BBP22" s="99"/>
      <c r="BBQ22" s="99"/>
      <c r="BBR22" s="99"/>
      <c r="BBS22" s="99"/>
      <c r="BBT22" s="99"/>
      <c r="BBU22" s="99"/>
      <c r="BBV22" s="99"/>
      <c r="BBW22" s="99"/>
      <c r="BBX22" s="99"/>
      <c r="BBY22" s="99"/>
      <c r="BBZ22" s="99"/>
      <c r="BCA22" s="99"/>
      <c r="BCB22" s="99"/>
      <c r="BCC22" s="99"/>
      <c r="BCD22" s="99"/>
      <c r="BCE22" s="99"/>
      <c r="BCF22" s="99"/>
      <c r="BCG22" s="99"/>
      <c r="BCH22" s="99"/>
      <c r="BCI22" s="99"/>
      <c r="BCJ22" s="99"/>
      <c r="BCK22" s="99"/>
      <c r="BCL22" s="99"/>
      <c r="BCM22" s="99"/>
      <c r="BCN22" s="99"/>
      <c r="BCO22" s="99"/>
      <c r="BCP22" s="99"/>
      <c r="BCQ22" s="99"/>
      <c r="BCR22" s="99"/>
      <c r="BCS22" s="99"/>
      <c r="BCT22" s="99"/>
      <c r="BCU22" s="99"/>
      <c r="BCV22" s="99"/>
      <c r="BCW22" s="99"/>
      <c r="BCX22" s="99"/>
      <c r="BCY22" s="99"/>
      <c r="BCZ22" s="99"/>
      <c r="BDA22" s="99"/>
      <c r="BDB22" s="99"/>
      <c r="BDC22" s="99"/>
      <c r="BDD22" s="99"/>
      <c r="BDE22" s="99"/>
      <c r="BDF22" s="99"/>
      <c r="BDG22" s="99"/>
      <c r="BDH22" s="99"/>
      <c r="BDI22" s="99"/>
      <c r="BDJ22" s="99"/>
      <c r="BDK22" s="99"/>
      <c r="BDL22" s="99"/>
      <c r="BDM22" s="99"/>
      <c r="BDN22" s="99"/>
      <c r="BDO22" s="99"/>
      <c r="BDP22" s="99"/>
      <c r="BDQ22" s="99"/>
      <c r="BDR22" s="99"/>
      <c r="BDS22" s="99"/>
      <c r="BDT22" s="99"/>
      <c r="BDU22" s="99"/>
      <c r="BDV22" s="99"/>
      <c r="BDW22" s="99"/>
      <c r="BDX22" s="99"/>
      <c r="BDY22" s="99"/>
      <c r="BDZ22" s="99"/>
      <c r="BEA22" s="99"/>
      <c r="BEB22" s="99"/>
      <c r="BEC22" s="99"/>
      <c r="BED22" s="99"/>
      <c r="BEE22" s="99"/>
      <c r="BEF22" s="99"/>
      <c r="BEG22" s="99"/>
      <c r="BEH22" s="99"/>
      <c r="BEI22" s="99"/>
      <c r="BEJ22" s="99"/>
      <c r="BEK22" s="99"/>
      <c r="BEL22" s="99"/>
      <c r="BEM22" s="99"/>
      <c r="BEN22" s="99"/>
      <c r="BEO22" s="99"/>
      <c r="BEP22" s="99"/>
      <c r="BEQ22" s="99"/>
      <c r="BER22" s="99"/>
      <c r="BES22" s="99"/>
      <c r="BET22" s="99"/>
      <c r="BEU22" s="99"/>
      <c r="BEV22" s="99"/>
      <c r="BEW22" s="99"/>
      <c r="BEX22" s="99"/>
      <c r="BEY22" s="99"/>
      <c r="BEZ22" s="99"/>
      <c r="BFA22" s="99"/>
      <c r="BFB22" s="99"/>
      <c r="BFC22" s="99"/>
      <c r="BFD22" s="99"/>
      <c r="BFE22" s="99"/>
      <c r="BFF22" s="99"/>
      <c r="BFG22" s="99"/>
      <c r="BFH22" s="99"/>
      <c r="BFI22" s="99"/>
      <c r="BFJ22" s="99"/>
      <c r="BFK22" s="99"/>
      <c r="BFL22" s="99"/>
      <c r="BFM22" s="99"/>
      <c r="BFN22" s="99"/>
      <c r="BFO22" s="99"/>
      <c r="BFP22" s="99"/>
      <c r="BFQ22" s="99"/>
      <c r="BFR22" s="99"/>
      <c r="BFS22" s="99"/>
      <c r="BFT22" s="99"/>
      <c r="BFU22" s="99"/>
      <c r="BFV22" s="99"/>
      <c r="BFW22" s="99"/>
      <c r="BFX22" s="99"/>
      <c r="BFY22" s="99"/>
      <c r="BFZ22" s="99"/>
      <c r="BGA22" s="99"/>
      <c r="BGB22" s="99"/>
      <c r="BGC22" s="99"/>
      <c r="BGD22" s="99"/>
      <c r="BGE22" s="99"/>
      <c r="BGF22" s="99"/>
      <c r="BGG22" s="99"/>
      <c r="BGH22" s="99"/>
      <c r="BGI22" s="99"/>
      <c r="BGJ22" s="99"/>
      <c r="BGK22" s="99"/>
      <c r="BGL22" s="99"/>
      <c r="BGM22" s="99"/>
      <c r="BGN22" s="99"/>
      <c r="BGO22" s="99"/>
      <c r="BGP22" s="99"/>
      <c r="BGQ22" s="99"/>
      <c r="BGR22" s="99"/>
      <c r="BGS22" s="99"/>
      <c r="BGT22" s="99"/>
      <c r="BGU22" s="99"/>
      <c r="BGV22" s="99"/>
      <c r="BGW22" s="99"/>
      <c r="BGX22" s="99"/>
      <c r="BGY22" s="99"/>
      <c r="BGZ22" s="99"/>
      <c r="BHA22" s="99"/>
      <c r="BHB22" s="99"/>
      <c r="BHC22" s="99"/>
      <c r="BHD22" s="99"/>
      <c r="BHE22" s="99"/>
      <c r="BHF22" s="99"/>
      <c r="BHG22" s="99"/>
      <c r="BHH22" s="99"/>
      <c r="BHI22" s="99"/>
      <c r="BHJ22" s="99"/>
      <c r="BHK22" s="99"/>
      <c r="BHL22" s="99"/>
      <c r="BHM22" s="99"/>
      <c r="BHN22" s="99"/>
      <c r="BHO22" s="99"/>
      <c r="BHP22" s="99"/>
      <c r="BHQ22" s="99"/>
      <c r="BHR22" s="99"/>
      <c r="BHS22" s="99"/>
      <c r="BHT22" s="99"/>
      <c r="BHU22" s="99"/>
      <c r="BHV22" s="99"/>
      <c r="BHW22" s="99"/>
      <c r="BHX22" s="99"/>
      <c r="BHY22" s="99"/>
      <c r="BHZ22" s="99"/>
      <c r="BIA22" s="99"/>
      <c r="BIB22" s="99"/>
      <c r="BIC22" s="99"/>
      <c r="BID22" s="99"/>
      <c r="BIE22" s="99"/>
      <c r="BIF22" s="99"/>
      <c r="BIG22" s="99"/>
      <c r="BIH22" s="99"/>
      <c r="BII22" s="99"/>
      <c r="BIJ22" s="99"/>
      <c r="BIK22" s="99"/>
      <c r="BIL22" s="99"/>
      <c r="BIM22" s="99"/>
      <c r="BIN22" s="99"/>
      <c r="BIO22" s="99"/>
      <c r="BIP22" s="99"/>
      <c r="BIQ22" s="99"/>
      <c r="BIR22" s="99"/>
      <c r="BIS22" s="99"/>
      <c r="BIT22" s="99"/>
      <c r="BIU22" s="99"/>
      <c r="BIV22" s="99"/>
      <c r="BIW22" s="99"/>
      <c r="BIX22" s="99"/>
      <c r="BIY22" s="99"/>
      <c r="BIZ22" s="99"/>
      <c r="BJA22" s="99"/>
      <c r="BJB22" s="99"/>
      <c r="BJC22" s="99"/>
      <c r="BJD22" s="99"/>
      <c r="BJE22" s="99"/>
      <c r="BJF22" s="99"/>
      <c r="BJG22" s="99"/>
      <c r="BJH22" s="99"/>
      <c r="BJI22" s="99"/>
      <c r="BJJ22" s="99"/>
      <c r="BJK22" s="99"/>
      <c r="BJL22" s="99"/>
      <c r="BJM22" s="99"/>
      <c r="BJN22" s="99"/>
      <c r="BJO22" s="99"/>
      <c r="BJP22" s="99"/>
      <c r="BJQ22" s="99"/>
      <c r="BJR22" s="99"/>
      <c r="BJS22" s="99"/>
      <c r="BJT22" s="99"/>
      <c r="BJU22" s="99"/>
      <c r="BJV22" s="99"/>
      <c r="BJW22" s="99"/>
      <c r="BJX22" s="99"/>
      <c r="BJY22" s="99"/>
      <c r="BJZ22" s="99"/>
      <c r="BKA22" s="99"/>
      <c r="BKB22" s="99"/>
      <c r="BKC22" s="99"/>
      <c r="BKD22" s="99"/>
      <c r="BKE22" s="99"/>
      <c r="BKF22" s="99"/>
      <c r="BKG22" s="99"/>
      <c r="BKH22" s="99"/>
      <c r="BKI22" s="99"/>
      <c r="BKJ22" s="99"/>
      <c r="BKK22" s="99"/>
      <c r="BKL22" s="99"/>
      <c r="BKM22" s="99"/>
      <c r="BKN22" s="99"/>
      <c r="BKO22" s="99"/>
      <c r="BKP22" s="99"/>
      <c r="BKQ22" s="99"/>
      <c r="BKR22" s="99"/>
      <c r="BKS22" s="99"/>
      <c r="BKT22" s="99"/>
      <c r="BKU22" s="99"/>
      <c r="BKV22" s="99"/>
      <c r="BKW22" s="99"/>
      <c r="BKX22" s="99"/>
      <c r="BKY22" s="99"/>
      <c r="BKZ22" s="99"/>
      <c r="BLA22" s="99"/>
      <c r="BLB22" s="99"/>
      <c r="BLC22" s="99"/>
      <c r="BLD22" s="99"/>
      <c r="BLE22" s="99"/>
      <c r="BLF22" s="99"/>
      <c r="BLG22" s="99"/>
      <c r="BLH22" s="99"/>
      <c r="BLI22" s="99"/>
      <c r="BLJ22" s="99"/>
      <c r="BLK22" s="99"/>
      <c r="BLL22" s="99"/>
      <c r="BLM22" s="99"/>
      <c r="BLN22" s="99"/>
      <c r="BLO22" s="99"/>
      <c r="BLP22" s="99"/>
      <c r="BLQ22" s="99"/>
      <c r="BLR22" s="99"/>
      <c r="BLS22" s="99"/>
      <c r="BLT22" s="99"/>
      <c r="BLU22" s="99"/>
      <c r="BLV22" s="99"/>
      <c r="BLW22" s="99"/>
      <c r="BLX22" s="99"/>
      <c r="BLY22" s="99"/>
      <c r="BLZ22" s="99"/>
      <c r="BMA22" s="99"/>
      <c r="BMB22" s="99"/>
      <c r="BMC22" s="99"/>
      <c r="BMD22" s="99"/>
      <c r="BME22" s="99"/>
      <c r="BMF22" s="99"/>
      <c r="BMG22" s="99"/>
      <c r="BMH22" s="99"/>
      <c r="BMI22" s="99"/>
      <c r="BMJ22" s="99"/>
      <c r="BMK22" s="99"/>
      <c r="BML22" s="99"/>
      <c r="BMM22" s="99"/>
      <c r="BMN22" s="99"/>
      <c r="BMO22" s="99"/>
      <c r="BMP22" s="99"/>
      <c r="BMQ22" s="99"/>
      <c r="BMR22" s="99"/>
      <c r="BMS22" s="99"/>
      <c r="BMT22" s="99"/>
      <c r="BMU22" s="99"/>
      <c r="BMV22" s="99"/>
      <c r="BMW22" s="99"/>
      <c r="BMX22" s="99"/>
      <c r="BMY22" s="99"/>
      <c r="BMZ22" s="99"/>
      <c r="BNA22" s="99"/>
      <c r="BNB22" s="99"/>
      <c r="BNC22" s="99"/>
      <c r="BND22" s="99"/>
      <c r="BNE22" s="99"/>
      <c r="BNF22" s="99"/>
      <c r="BNG22" s="99"/>
      <c r="BNH22" s="99"/>
      <c r="BNI22" s="99"/>
      <c r="BNJ22" s="99"/>
      <c r="BNK22" s="99"/>
      <c r="BNL22" s="99"/>
      <c r="BNM22" s="99"/>
      <c r="BNN22" s="99"/>
      <c r="BNO22" s="99"/>
      <c r="BNP22" s="99"/>
      <c r="BNQ22" s="99"/>
      <c r="BNR22" s="99"/>
      <c r="BNS22" s="99"/>
      <c r="BNT22" s="99"/>
      <c r="BNU22" s="99"/>
      <c r="BNV22" s="99"/>
      <c r="BNW22" s="99"/>
      <c r="BNX22" s="99"/>
      <c r="BNY22" s="99"/>
      <c r="BNZ22" s="99"/>
      <c r="BOA22" s="99"/>
      <c r="BOB22" s="99"/>
      <c r="BOC22" s="99"/>
      <c r="BOD22" s="99"/>
      <c r="BOE22" s="99"/>
      <c r="BOF22" s="99"/>
      <c r="BOG22" s="99"/>
      <c r="BOH22" s="99"/>
      <c r="BOI22" s="99"/>
      <c r="BOJ22" s="99"/>
      <c r="BOK22" s="99"/>
      <c r="BOL22" s="99"/>
      <c r="BOM22" s="99"/>
      <c r="BON22" s="99"/>
      <c r="BOO22" s="99"/>
      <c r="BOP22" s="99"/>
      <c r="BOQ22" s="99"/>
      <c r="BOR22" s="99"/>
      <c r="BOS22" s="99"/>
      <c r="BOT22" s="99"/>
      <c r="BOU22" s="99"/>
      <c r="BOV22" s="99"/>
      <c r="BOW22" s="99"/>
      <c r="BOX22" s="99"/>
      <c r="BOY22" s="99"/>
      <c r="BOZ22" s="99"/>
      <c r="BPA22" s="99"/>
      <c r="BPB22" s="99"/>
      <c r="BPC22" s="99"/>
      <c r="BPD22" s="99"/>
      <c r="BPE22" s="99"/>
      <c r="BPF22" s="99"/>
      <c r="BPG22" s="99"/>
      <c r="BPH22" s="99"/>
      <c r="BPI22" s="99"/>
      <c r="BPJ22" s="99"/>
      <c r="BPK22" s="99"/>
      <c r="BPL22" s="99"/>
      <c r="BPM22" s="99"/>
      <c r="BPN22" s="99"/>
      <c r="BPO22" s="99"/>
      <c r="BPP22" s="99"/>
      <c r="BPQ22" s="99"/>
      <c r="BPR22" s="99"/>
      <c r="BPS22" s="99"/>
      <c r="BPT22" s="99"/>
      <c r="BPU22" s="99"/>
      <c r="BPV22" s="99"/>
      <c r="BPW22" s="99"/>
      <c r="BPX22" s="99"/>
      <c r="BPY22" s="99"/>
      <c r="BPZ22" s="99"/>
      <c r="BQA22" s="99"/>
      <c r="BQB22" s="99"/>
      <c r="BQC22" s="99"/>
      <c r="BQD22" s="99"/>
      <c r="BQE22" s="99"/>
      <c r="BQF22" s="99"/>
      <c r="BQG22" s="99"/>
      <c r="BQH22" s="99"/>
      <c r="BQI22" s="99"/>
      <c r="BQJ22" s="99"/>
      <c r="BQK22" s="99"/>
      <c r="BQL22" s="99"/>
      <c r="BQM22" s="99"/>
      <c r="BQN22" s="99"/>
      <c r="BQO22" s="99"/>
      <c r="BQP22" s="99"/>
      <c r="BQQ22" s="99"/>
      <c r="BQR22" s="99"/>
      <c r="BQS22" s="99"/>
      <c r="BQT22" s="99"/>
      <c r="BQU22" s="99"/>
      <c r="BQV22" s="99"/>
      <c r="BQW22" s="99"/>
      <c r="BQX22" s="99"/>
      <c r="BQY22" s="99"/>
      <c r="BQZ22" s="99"/>
      <c r="BRA22" s="99"/>
      <c r="BRB22" s="99"/>
      <c r="BRC22" s="99"/>
      <c r="BRD22" s="99"/>
      <c r="BRE22" s="99"/>
      <c r="BRF22" s="99"/>
      <c r="BRG22" s="99"/>
      <c r="BRH22" s="99"/>
      <c r="BRI22" s="99"/>
      <c r="BRJ22" s="99"/>
      <c r="BRK22" s="99"/>
      <c r="BRL22" s="99"/>
      <c r="BRM22" s="99"/>
      <c r="BRN22" s="99"/>
      <c r="BRO22" s="99"/>
      <c r="BRP22" s="99"/>
      <c r="BRQ22" s="99"/>
      <c r="BRR22" s="99"/>
      <c r="BRS22" s="99"/>
      <c r="BRT22" s="99"/>
      <c r="BRU22" s="99"/>
      <c r="BRV22" s="99"/>
      <c r="BRW22" s="99"/>
      <c r="BRX22" s="99"/>
      <c r="BRY22" s="99"/>
      <c r="BRZ22" s="99"/>
      <c r="BSA22" s="99"/>
      <c r="BSB22" s="99"/>
      <c r="BSC22" s="99"/>
      <c r="BSD22" s="99"/>
      <c r="BSE22" s="99"/>
      <c r="BSF22" s="99"/>
      <c r="BSG22" s="99"/>
      <c r="BSH22" s="99"/>
      <c r="BSI22" s="99"/>
      <c r="BSJ22" s="99"/>
      <c r="BSK22" s="99"/>
      <c r="BSL22" s="99"/>
      <c r="BSM22" s="99"/>
      <c r="BSN22" s="99"/>
      <c r="BSO22" s="99"/>
      <c r="BSP22" s="99"/>
      <c r="BSQ22" s="99"/>
      <c r="BSR22" s="99"/>
      <c r="BSS22" s="99"/>
      <c r="BST22" s="99"/>
      <c r="BSU22" s="99"/>
      <c r="BSV22" s="99"/>
      <c r="BSW22" s="99"/>
      <c r="BSX22" s="99"/>
      <c r="BSY22" s="99"/>
      <c r="BSZ22" s="99"/>
      <c r="BTA22" s="99"/>
      <c r="BTB22" s="99"/>
      <c r="BTC22" s="99"/>
      <c r="BTD22" s="99"/>
      <c r="BTE22" s="99"/>
      <c r="BTF22" s="99"/>
      <c r="BTG22" s="99"/>
      <c r="BTH22" s="99"/>
      <c r="BTI22" s="99"/>
      <c r="BTJ22" s="99"/>
      <c r="BTK22" s="99"/>
      <c r="BTL22" s="99"/>
      <c r="BTM22" s="99"/>
      <c r="BTN22" s="99"/>
      <c r="BTO22" s="99"/>
      <c r="BTP22" s="99"/>
      <c r="BTQ22" s="99"/>
      <c r="BTR22" s="99"/>
      <c r="BTS22" s="99"/>
      <c r="BTT22" s="99"/>
      <c r="BTU22" s="99"/>
      <c r="BTV22" s="99"/>
      <c r="BTW22" s="99"/>
      <c r="BTX22" s="99"/>
      <c r="BTY22" s="99"/>
      <c r="BTZ22" s="99"/>
      <c r="BUA22" s="99"/>
      <c r="BUB22" s="99"/>
      <c r="BUC22" s="99"/>
      <c r="BUD22" s="99"/>
      <c r="BUE22" s="99"/>
      <c r="BUF22" s="99"/>
      <c r="BUG22" s="99"/>
      <c r="BUH22" s="99"/>
      <c r="BUI22" s="99"/>
      <c r="BUJ22" s="99"/>
      <c r="BUK22" s="99"/>
      <c r="BUL22" s="99"/>
      <c r="BUM22" s="99"/>
      <c r="BUN22" s="99"/>
      <c r="BUO22" s="99"/>
      <c r="BUP22" s="99"/>
      <c r="BUQ22" s="99"/>
      <c r="BUR22" s="99"/>
      <c r="BUS22" s="99"/>
      <c r="BUT22" s="99"/>
      <c r="BUU22" s="99"/>
      <c r="BUV22" s="99"/>
      <c r="BUW22" s="99"/>
      <c r="BUX22" s="99"/>
      <c r="BUY22" s="99"/>
      <c r="BUZ22" s="99"/>
      <c r="BVA22" s="99"/>
      <c r="BVB22" s="99"/>
      <c r="BVC22" s="99"/>
      <c r="BVD22" s="99"/>
      <c r="BVE22" s="99"/>
      <c r="BVF22" s="99"/>
      <c r="BVG22" s="99"/>
      <c r="BVH22" s="99"/>
      <c r="BVI22" s="99"/>
      <c r="BVJ22" s="99"/>
      <c r="BVK22" s="99"/>
      <c r="BVL22" s="99"/>
      <c r="BVM22" s="99"/>
      <c r="BVN22" s="99"/>
      <c r="BVO22" s="99"/>
      <c r="BVP22" s="99"/>
      <c r="BVQ22" s="99"/>
      <c r="BVR22" s="99"/>
      <c r="BVS22" s="99"/>
      <c r="BVT22" s="99"/>
      <c r="BVU22" s="99"/>
      <c r="BVV22" s="99"/>
      <c r="BVW22" s="99"/>
      <c r="BVX22" s="99"/>
      <c r="BVY22" s="99"/>
      <c r="BVZ22" s="99"/>
      <c r="BWA22" s="99"/>
      <c r="BWB22" s="99"/>
      <c r="BWC22" s="99"/>
      <c r="BWD22" s="99"/>
      <c r="BWE22" s="99"/>
      <c r="BWF22" s="99"/>
      <c r="BWG22" s="99"/>
      <c r="BWH22" s="99"/>
      <c r="BWI22" s="99"/>
      <c r="BWJ22" s="99"/>
      <c r="BWK22" s="99"/>
      <c r="BWL22" s="99"/>
      <c r="BWM22" s="99"/>
      <c r="BWN22" s="99"/>
      <c r="BWO22" s="99"/>
      <c r="BWP22" s="99"/>
      <c r="BWQ22" s="99"/>
      <c r="BWR22" s="99"/>
      <c r="BWS22" s="99"/>
      <c r="BWT22" s="99"/>
      <c r="BWU22" s="99"/>
      <c r="BWV22" s="99"/>
      <c r="BWW22" s="99"/>
      <c r="BWX22" s="99"/>
      <c r="BWY22" s="99"/>
      <c r="BWZ22" s="99"/>
      <c r="BXA22" s="99"/>
      <c r="BXB22" s="99"/>
      <c r="BXC22" s="99"/>
      <c r="BXD22" s="99"/>
      <c r="BXE22" s="99"/>
      <c r="BXF22" s="99"/>
      <c r="BXG22" s="99"/>
      <c r="BXH22" s="99"/>
      <c r="BXI22" s="99"/>
      <c r="BXJ22" s="99"/>
      <c r="BXK22" s="99"/>
      <c r="BXL22" s="99"/>
      <c r="BXM22" s="99"/>
      <c r="BXN22" s="99"/>
      <c r="BXO22" s="99"/>
      <c r="BXP22" s="99"/>
      <c r="BXQ22" s="99"/>
      <c r="BXR22" s="99"/>
      <c r="BXS22" s="99"/>
      <c r="BXT22" s="99"/>
      <c r="BXU22" s="99"/>
      <c r="BXV22" s="99"/>
      <c r="BXW22" s="99"/>
      <c r="BXX22" s="99"/>
      <c r="BXY22" s="99"/>
      <c r="BXZ22" s="99"/>
      <c r="BYA22" s="99"/>
      <c r="BYB22" s="99"/>
      <c r="BYC22" s="99"/>
      <c r="BYD22" s="99"/>
      <c r="BYE22" s="99"/>
      <c r="BYF22" s="99"/>
      <c r="BYG22" s="99"/>
      <c r="BYH22" s="99"/>
      <c r="BYI22" s="99"/>
      <c r="BYJ22" s="99"/>
      <c r="BYK22" s="99"/>
      <c r="BYL22" s="99"/>
      <c r="BYM22" s="99"/>
      <c r="BYN22" s="99"/>
      <c r="BYO22" s="99"/>
      <c r="BYP22" s="99"/>
      <c r="BYQ22" s="99"/>
      <c r="BYR22" s="99"/>
      <c r="BYS22" s="99"/>
      <c r="BYT22" s="99"/>
      <c r="BYU22" s="99"/>
      <c r="BYV22" s="99"/>
      <c r="BYW22" s="99"/>
      <c r="BYX22" s="99"/>
      <c r="BYY22" s="99"/>
      <c r="BYZ22" s="99"/>
      <c r="BZA22" s="99"/>
      <c r="BZB22" s="99"/>
      <c r="BZC22" s="99"/>
      <c r="BZD22" s="99"/>
      <c r="BZE22" s="99"/>
      <c r="BZF22" s="99"/>
      <c r="BZG22" s="99"/>
      <c r="BZH22" s="99"/>
      <c r="BZI22" s="99"/>
      <c r="BZJ22" s="99"/>
      <c r="BZK22" s="99"/>
      <c r="BZL22" s="99"/>
      <c r="BZM22" s="99"/>
      <c r="BZN22" s="99"/>
      <c r="BZO22" s="99"/>
      <c r="BZP22" s="99"/>
      <c r="BZQ22" s="99"/>
      <c r="BZR22" s="99"/>
      <c r="BZS22" s="99"/>
      <c r="BZT22" s="99"/>
      <c r="BZU22" s="99"/>
      <c r="BZV22" s="99"/>
      <c r="BZW22" s="99"/>
      <c r="BZX22" s="99"/>
      <c r="BZY22" s="99"/>
      <c r="BZZ22" s="99"/>
      <c r="CAA22" s="99"/>
      <c r="CAB22" s="99"/>
      <c r="CAC22" s="99"/>
      <c r="CAD22" s="99"/>
      <c r="CAE22" s="99"/>
      <c r="CAF22" s="99"/>
      <c r="CAG22" s="99"/>
      <c r="CAH22" s="99"/>
      <c r="CAI22" s="99"/>
      <c r="CAJ22" s="99"/>
      <c r="CAK22" s="99"/>
      <c r="CAL22" s="99"/>
      <c r="CAM22" s="99"/>
      <c r="CAN22" s="99"/>
      <c r="CAO22" s="99"/>
      <c r="CAP22" s="99"/>
      <c r="CAQ22" s="99"/>
      <c r="CAR22" s="99"/>
      <c r="CAS22" s="99"/>
      <c r="CAT22" s="99"/>
      <c r="CAU22" s="99"/>
      <c r="CAV22" s="99"/>
      <c r="CAW22" s="99"/>
      <c r="CAX22" s="99"/>
      <c r="CAY22" s="99"/>
      <c r="CAZ22" s="99"/>
      <c r="CBA22" s="99"/>
      <c r="CBB22" s="99"/>
      <c r="CBC22" s="99"/>
      <c r="CBD22" s="99"/>
      <c r="CBE22" s="99"/>
      <c r="CBF22" s="99"/>
      <c r="CBG22" s="99"/>
      <c r="CBH22" s="99"/>
      <c r="CBI22" s="99"/>
      <c r="CBJ22" s="99"/>
      <c r="CBK22" s="99"/>
      <c r="CBL22" s="99"/>
      <c r="CBM22" s="99"/>
      <c r="CBN22" s="99"/>
      <c r="CBO22" s="99"/>
      <c r="CBP22" s="99"/>
      <c r="CBQ22" s="99"/>
      <c r="CBR22" s="99"/>
      <c r="CBS22" s="99"/>
      <c r="CBT22" s="99"/>
      <c r="CBU22" s="99"/>
      <c r="CBV22" s="99"/>
      <c r="CBW22" s="99"/>
      <c r="CBX22" s="99"/>
      <c r="CBY22" s="99"/>
      <c r="CBZ22" s="99"/>
      <c r="CCA22" s="99"/>
      <c r="CCB22" s="99"/>
      <c r="CCC22" s="99"/>
      <c r="CCD22" s="99"/>
      <c r="CCE22" s="99"/>
      <c r="CCF22" s="99"/>
      <c r="CCG22" s="99"/>
      <c r="CCH22" s="99"/>
      <c r="CCI22" s="99"/>
      <c r="CCJ22" s="99"/>
      <c r="CCK22" s="99"/>
      <c r="CCL22" s="99"/>
      <c r="CCM22" s="99"/>
      <c r="CCN22" s="99"/>
      <c r="CCO22" s="99"/>
      <c r="CCP22" s="99"/>
      <c r="CCQ22" s="99"/>
      <c r="CCR22" s="99"/>
      <c r="CCS22" s="99"/>
      <c r="CCT22" s="99"/>
      <c r="CCU22" s="99"/>
      <c r="CCV22" s="99"/>
      <c r="CCW22" s="99"/>
      <c r="CCX22" s="99"/>
      <c r="CCY22" s="99"/>
      <c r="CCZ22" s="99"/>
      <c r="CDA22" s="99"/>
      <c r="CDB22" s="99"/>
      <c r="CDC22" s="99"/>
      <c r="CDD22" s="99"/>
      <c r="CDE22" s="99"/>
      <c r="CDF22" s="99"/>
      <c r="CDG22" s="99"/>
      <c r="CDH22" s="99"/>
      <c r="CDI22" s="99"/>
      <c r="CDJ22" s="99"/>
      <c r="CDK22" s="99"/>
      <c r="CDL22" s="99"/>
      <c r="CDM22" s="99"/>
      <c r="CDN22" s="99"/>
      <c r="CDO22" s="99"/>
      <c r="CDP22" s="99"/>
      <c r="CDQ22" s="99"/>
      <c r="CDR22" s="99"/>
      <c r="CDS22" s="99"/>
      <c r="CDT22" s="99"/>
      <c r="CDU22" s="99"/>
      <c r="CDV22" s="99"/>
      <c r="CDW22" s="99"/>
      <c r="CDX22" s="99"/>
      <c r="CDY22" s="99"/>
      <c r="CDZ22" s="99"/>
      <c r="CEA22" s="99"/>
      <c r="CEB22" s="99"/>
      <c r="CEC22" s="99"/>
      <c r="CED22" s="99"/>
      <c r="CEE22" s="99"/>
      <c r="CEF22" s="99"/>
      <c r="CEG22" s="99"/>
      <c r="CEH22" s="99"/>
      <c r="CEI22" s="99"/>
      <c r="CEJ22" s="99"/>
      <c r="CEK22" s="99"/>
      <c r="CEL22" s="99"/>
      <c r="CEM22" s="99"/>
      <c r="CEN22" s="99"/>
      <c r="CEO22" s="99"/>
      <c r="CEP22" s="99"/>
      <c r="CEQ22" s="99"/>
      <c r="CER22" s="99"/>
      <c r="CES22" s="99"/>
      <c r="CET22" s="99"/>
      <c r="CEU22" s="99"/>
      <c r="CEV22" s="99"/>
      <c r="CEW22" s="99"/>
      <c r="CEX22" s="99"/>
      <c r="CEY22" s="99"/>
      <c r="CEZ22" s="99"/>
      <c r="CFA22" s="99"/>
      <c r="CFB22" s="99"/>
      <c r="CFC22" s="99"/>
      <c r="CFD22" s="99"/>
      <c r="CFE22" s="99"/>
      <c r="CFF22" s="99"/>
      <c r="CFG22" s="99"/>
      <c r="CFH22" s="99"/>
      <c r="CFI22" s="99"/>
      <c r="CFJ22" s="99"/>
      <c r="CFK22" s="99"/>
      <c r="CFL22" s="99"/>
      <c r="CFM22" s="99"/>
      <c r="CFN22" s="99"/>
      <c r="CFO22" s="99"/>
      <c r="CFP22" s="99"/>
      <c r="CFQ22" s="99"/>
      <c r="CFR22" s="99"/>
      <c r="CFS22" s="99"/>
      <c r="CFT22" s="99"/>
      <c r="CFU22" s="99"/>
      <c r="CFV22" s="99"/>
      <c r="CFW22" s="99"/>
      <c r="CFX22" s="99"/>
      <c r="CFY22" s="99"/>
      <c r="CFZ22" s="99"/>
      <c r="CGA22" s="99"/>
      <c r="CGB22" s="99"/>
      <c r="CGC22" s="99"/>
      <c r="CGD22" s="99"/>
      <c r="CGE22" s="99"/>
      <c r="CGF22" s="99"/>
      <c r="CGG22" s="99"/>
      <c r="CGH22" s="99"/>
      <c r="CGI22" s="99"/>
      <c r="CGJ22" s="99"/>
      <c r="CGK22" s="99"/>
      <c r="CGL22" s="99"/>
      <c r="CGM22" s="99"/>
      <c r="CGN22" s="99"/>
      <c r="CGO22" s="99"/>
      <c r="CGP22" s="99"/>
      <c r="CGQ22" s="99"/>
      <c r="CGR22" s="99"/>
      <c r="CGS22" s="99"/>
      <c r="CGT22" s="99"/>
      <c r="CGU22" s="99"/>
      <c r="CGV22" s="99"/>
      <c r="CGW22" s="99"/>
      <c r="CGX22" s="99"/>
      <c r="CGY22" s="99"/>
      <c r="CGZ22" s="99"/>
      <c r="CHA22" s="99"/>
      <c r="CHB22" s="99"/>
      <c r="CHC22" s="99"/>
      <c r="CHD22" s="99"/>
      <c r="CHE22" s="99"/>
      <c r="CHF22" s="99"/>
      <c r="CHG22" s="99"/>
      <c r="CHH22" s="99"/>
      <c r="CHI22" s="99"/>
      <c r="CHJ22" s="99"/>
      <c r="CHK22" s="99"/>
      <c r="CHL22" s="99"/>
      <c r="CHM22" s="99"/>
      <c r="CHN22" s="99"/>
      <c r="CHO22" s="99"/>
      <c r="CHP22" s="99"/>
      <c r="CHQ22" s="99"/>
      <c r="CHR22" s="99"/>
      <c r="CHS22" s="99"/>
      <c r="CHT22" s="99"/>
      <c r="CHU22" s="99"/>
      <c r="CHV22" s="99"/>
      <c r="CHW22" s="99"/>
      <c r="CHX22" s="99"/>
      <c r="CHY22" s="99"/>
      <c r="CHZ22" s="99"/>
      <c r="CIA22" s="99"/>
      <c r="CIB22" s="99"/>
      <c r="CIC22" s="99"/>
      <c r="CID22" s="99"/>
      <c r="CIE22" s="99"/>
      <c r="CIF22" s="99"/>
      <c r="CIG22" s="99"/>
      <c r="CIH22" s="99"/>
      <c r="CII22" s="99"/>
      <c r="CIJ22" s="99"/>
      <c r="CIK22" s="99"/>
      <c r="CIL22" s="99"/>
      <c r="CIM22" s="99"/>
      <c r="CIN22" s="99"/>
      <c r="CIO22" s="99"/>
      <c r="CIP22" s="99"/>
      <c r="CIQ22" s="99"/>
      <c r="CIR22" s="99"/>
      <c r="CIS22" s="99"/>
      <c r="CIT22" s="99"/>
      <c r="CIU22" s="99"/>
      <c r="CIV22" s="99"/>
      <c r="CIW22" s="99"/>
      <c r="CIX22" s="99"/>
      <c r="CIY22" s="99"/>
      <c r="CIZ22" s="99"/>
      <c r="CJA22" s="99"/>
      <c r="CJB22" s="99"/>
      <c r="CJC22" s="99"/>
      <c r="CJD22" s="99"/>
      <c r="CJE22" s="99"/>
      <c r="CJF22" s="99"/>
      <c r="CJG22" s="99"/>
      <c r="CJH22" s="99"/>
      <c r="CJI22" s="99"/>
      <c r="CJJ22" s="99"/>
      <c r="CJK22" s="99"/>
      <c r="CJL22" s="99"/>
      <c r="CJM22" s="99"/>
      <c r="CJN22" s="99"/>
      <c r="CJO22" s="99"/>
      <c r="CJP22" s="99"/>
      <c r="CJQ22" s="99"/>
      <c r="CJR22" s="99"/>
      <c r="CJS22" s="99"/>
      <c r="CJT22" s="99"/>
      <c r="CJU22" s="99"/>
      <c r="CJV22" s="99"/>
      <c r="CJW22" s="99"/>
      <c r="CJX22" s="99"/>
      <c r="CJY22" s="99"/>
      <c r="CJZ22" s="99"/>
      <c r="CKA22" s="99"/>
      <c r="CKB22" s="99"/>
      <c r="CKC22" s="99"/>
      <c r="CKD22" s="99"/>
      <c r="CKE22" s="99"/>
      <c r="CKF22" s="99"/>
      <c r="CKG22" s="99"/>
      <c r="CKH22" s="99"/>
      <c r="CKI22" s="99"/>
      <c r="CKJ22" s="99"/>
      <c r="CKK22" s="99"/>
      <c r="CKL22" s="99"/>
      <c r="CKM22" s="99"/>
      <c r="CKN22" s="99"/>
      <c r="CKO22" s="99"/>
      <c r="CKP22" s="99"/>
      <c r="CKQ22" s="99"/>
      <c r="CKR22" s="99"/>
      <c r="CKS22" s="99"/>
      <c r="CKT22" s="99"/>
      <c r="CKU22" s="99"/>
      <c r="CKV22" s="99"/>
      <c r="CKW22" s="99"/>
      <c r="CKX22" s="99"/>
      <c r="CKY22" s="99"/>
      <c r="CKZ22" s="99"/>
      <c r="CLA22" s="99"/>
      <c r="CLB22" s="99"/>
      <c r="CLC22" s="99"/>
      <c r="CLD22" s="99"/>
      <c r="CLE22" s="99"/>
      <c r="CLF22" s="99"/>
      <c r="CLG22" s="99"/>
      <c r="CLH22" s="99"/>
      <c r="CLI22" s="99"/>
      <c r="CLJ22" s="99"/>
      <c r="CLK22" s="99"/>
      <c r="CLL22" s="99"/>
      <c r="CLM22" s="99"/>
      <c r="CLN22" s="99"/>
      <c r="CLO22" s="99"/>
      <c r="CLP22" s="99"/>
      <c r="CLQ22" s="99"/>
      <c r="CLR22" s="99"/>
      <c r="CLS22" s="99"/>
      <c r="CLT22" s="99"/>
      <c r="CLU22" s="99"/>
      <c r="CLV22" s="99"/>
      <c r="CLW22" s="99"/>
      <c r="CLX22" s="99"/>
      <c r="CLY22" s="99"/>
      <c r="CLZ22" s="99"/>
      <c r="CMA22" s="99"/>
      <c r="CMB22" s="99"/>
      <c r="CMC22" s="99"/>
      <c r="CMD22" s="99"/>
      <c r="CME22" s="99"/>
      <c r="CMF22" s="99"/>
      <c r="CMG22" s="99"/>
      <c r="CMH22" s="99"/>
      <c r="CMI22" s="99"/>
      <c r="CMJ22" s="99"/>
      <c r="CMK22" s="99"/>
      <c r="CML22" s="99"/>
      <c r="CMM22" s="99"/>
      <c r="CMN22" s="99"/>
      <c r="CMO22" s="99"/>
      <c r="CMP22" s="99"/>
      <c r="CMQ22" s="99"/>
      <c r="CMR22" s="99"/>
      <c r="CMS22" s="99"/>
      <c r="CMT22" s="99"/>
      <c r="CMU22" s="99"/>
      <c r="CMV22" s="99"/>
      <c r="CMW22" s="99"/>
      <c r="CMX22" s="99"/>
      <c r="CMY22" s="99"/>
      <c r="CMZ22" s="99"/>
      <c r="CNA22" s="99"/>
      <c r="CNB22" s="99"/>
      <c r="CNC22" s="99"/>
      <c r="CND22" s="99"/>
      <c r="CNE22" s="99"/>
      <c r="CNF22" s="99"/>
      <c r="CNG22" s="99"/>
      <c r="CNH22" s="99"/>
      <c r="CNI22" s="99"/>
      <c r="CNJ22" s="99"/>
      <c r="CNK22" s="99"/>
      <c r="CNL22" s="99"/>
      <c r="CNM22" s="99"/>
      <c r="CNN22" s="99"/>
      <c r="CNO22" s="99"/>
      <c r="CNP22" s="99"/>
      <c r="CNQ22" s="99"/>
      <c r="CNR22" s="99"/>
      <c r="CNS22" s="99"/>
      <c r="CNT22" s="99"/>
      <c r="CNU22" s="99"/>
      <c r="CNV22" s="99"/>
      <c r="CNW22" s="99"/>
      <c r="CNX22" s="99"/>
      <c r="CNY22" s="99"/>
      <c r="CNZ22" s="99"/>
      <c r="COA22" s="99"/>
      <c r="COB22" s="99"/>
      <c r="COC22" s="99"/>
      <c r="COD22" s="99"/>
      <c r="COE22" s="99"/>
      <c r="COF22" s="99"/>
      <c r="COG22" s="99"/>
      <c r="COH22" s="99"/>
      <c r="COI22" s="99"/>
      <c r="COJ22" s="99"/>
      <c r="COK22" s="99"/>
      <c r="COL22" s="99"/>
      <c r="COM22" s="99"/>
      <c r="CON22" s="99"/>
      <c r="COO22" s="99"/>
      <c r="COP22" s="99"/>
      <c r="COQ22" s="99"/>
      <c r="COR22" s="99"/>
      <c r="COS22" s="99"/>
      <c r="COT22" s="99"/>
      <c r="COU22" s="99"/>
      <c r="COV22" s="99"/>
      <c r="COW22" s="99"/>
      <c r="COX22" s="99"/>
      <c r="COY22" s="99"/>
      <c r="COZ22" s="99"/>
      <c r="CPA22" s="99"/>
      <c r="CPB22" s="99"/>
      <c r="CPC22" s="99"/>
      <c r="CPD22" s="99"/>
      <c r="CPE22" s="99"/>
      <c r="CPF22" s="99"/>
      <c r="CPG22" s="99"/>
      <c r="CPH22" s="99"/>
      <c r="CPI22" s="99"/>
      <c r="CPJ22" s="99"/>
      <c r="CPK22" s="99"/>
      <c r="CPL22" s="99"/>
      <c r="CPM22" s="99"/>
      <c r="CPN22" s="99"/>
      <c r="CPO22" s="99"/>
      <c r="CPP22" s="99"/>
      <c r="CPQ22" s="99"/>
      <c r="CPR22" s="99"/>
      <c r="CPS22" s="99"/>
      <c r="CPT22" s="99"/>
      <c r="CPU22" s="99"/>
      <c r="CPV22" s="99"/>
      <c r="CPW22" s="99"/>
      <c r="CPX22" s="99"/>
      <c r="CPY22" s="99"/>
      <c r="CPZ22" s="99"/>
      <c r="CQA22" s="99"/>
      <c r="CQB22" s="99"/>
      <c r="CQC22" s="99"/>
      <c r="CQD22" s="99"/>
      <c r="CQE22" s="99"/>
      <c r="CQF22" s="99"/>
      <c r="CQG22" s="99"/>
      <c r="CQH22" s="99"/>
      <c r="CQI22" s="99"/>
      <c r="CQJ22" s="99"/>
      <c r="CQK22" s="99"/>
      <c r="CQL22" s="99"/>
      <c r="CQM22" s="99"/>
      <c r="CQN22" s="99"/>
      <c r="CQO22" s="99"/>
      <c r="CQP22" s="99"/>
      <c r="CQQ22" s="99"/>
      <c r="CQR22" s="99"/>
      <c r="CQS22" s="99"/>
      <c r="CQT22" s="99"/>
      <c r="CQU22" s="99"/>
      <c r="CQV22" s="99"/>
      <c r="CQW22" s="99"/>
      <c r="CQX22" s="99"/>
      <c r="CQY22" s="99"/>
      <c r="CQZ22" s="99"/>
      <c r="CRA22" s="99"/>
      <c r="CRB22" s="99"/>
      <c r="CRC22" s="99"/>
      <c r="CRD22" s="99"/>
      <c r="CRE22" s="99"/>
      <c r="CRF22" s="99"/>
      <c r="CRG22" s="99"/>
      <c r="CRH22" s="99"/>
      <c r="CRI22" s="99"/>
      <c r="CRJ22" s="99"/>
      <c r="CRK22" s="99"/>
      <c r="CRL22" s="99"/>
      <c r="CRM22" s="99"/>
      <c r="CRN22" s="99"/>
      <c r="CRO22" s="99"/>
      <c r="CRP22" s="99"/>
      <c r="CRQ22" s="99"/>
      <c r="CRR22" s="99"/>
      <c r="CRS22" s="99"/>
      <c r="CRT22" s="99"/>
      <c r="CRU22" s="99"/>
      <c r="CRV22" s="99"/>
      <c r="CRW22" s="99"/>
      <c r="CRX22" s="99"/>
      <c r="CRY22" s="99"/>
      <c r="CRZ22" s="99"/>
      <c r="CSA22" s="99"/>
      <c r="CSB22" s="99"/>
      <c r="CSC22" s="99"/>
      <c r="CSD22" s="99"/>
      <c r="CSE22" s="99"/>
      <c r="CSF22" s="99"/>
      <c r="CSG22" s="99"/>
      <c r="CSH22" s="99"/>
      <c r="CSI22" s="99"/>
      <c r="CSJ22" s="99"/>
      <c r="CSK22" s="99"/>
      <c r="CSL22" s="99"/>
      <c r="CSM22" s="99"/>
      <c r="CSN22" s="99"/>
      <c r="CSO22" s="99"/>
      <c r="CSP22" s="99"/>
      <c r="CSQ22" s="99"/>
      <c r="CSR22" s="99"/>
      <c r="CSS22" s="99"/>
      <c r="CST22" s="99"/>
      <c r="CSU22" s="99"/>
      <c r="CSV22" s="99"/>
      <c r="CSW22" s="99"/>
      <c r="CSX22" s="99"/>
      <c r="CSY22" s="99"/>
      <c r="CSZ22" s="99"/>
      <c r="CTA22" s="99"/>
      <c r="CTB22" s="99"/>
      <c r="CTC22" s="99"/>
      <c r="CTD22" s="99"/>
      <c r="CTE22" s="99"/>
      <c r="CTF22" s="99"/>
      <c r="CTG22" s="99"/>
      <c r="CTH22" s="99"/>
      <c r="CTI22" s="99"/>
      <c r="CTJ22" s="99"/>
      <c r="CTK22" s="99"/>
      <c r="CTL22" s="99"/>
      <c r="CTM22" s="99"/>
      <c r="CTN22" s="99"/>
      <c r="CTO22" s="99"/>
      <c r="CTP22" s="99"/>
      <c r="CTQ22" s="99"/>
      <c r="CTR22" s="99"/>
      <c r="CTS22" s="99"/>
      <c r="CTT22" s="99"/>
      <c r="CTU22" s="99"/>
      <c r="CTV22" s="99"/>
      <c r="CTW22" s="99"/>
      <c r="CTX22" s="99"/>
      <c r="CTY22" s="99"/>
      <c r="CTZ22" s="99"/>
      <c r="CUA22" s="99"/>
      <c r="CUB22" s="99"/>
      <c r="CUC22" s="99"/>
      <c r="CUD22" s="99"/>
      <c r="CUE22" s="99"/>
      <c r="CUF22" s="99"/>
      <c r="CUG22" s="99"/>
      <c r="CUH22" s="99"/>
      <c r="CUI22" s="99"/>
      <c r="CUJ22" s="99"/>
      <c r="CUK22" s="99"/>
      <c r="CUL22" s="99"/>
      <c r="CUM22" s="99"/>
      <c r="CUN22" s="99"/>
      <c r="CUO22" s="99"/>
      <c r="CUP22" s="99"/>
      <c r="CUQ22" s="99"/>
      <c r="CUR22" s="99"/>
      <c r="CUS22" s="99"/>
      <c r="CUT22" s="99"/>
      <c r="CUU22" s="99"/>
      <c r="CUV22" s="99"/>
      <c r="CUW22" s="99"/>
      <c r="CUX22" s="99"/>
      <c r="CUY22" s="99"/>
      <c r="CUZ22" s="99"/>
      <c r="CVA22" s="99"/>
      <c r="CVB22" s="99"/>
      <c r="CVC22" s="99"/>
      <c r="CVD22" s="99"/>
      <c r="CVE22" s="99"/>
      <c r="CVF22" s="99"/>
      <c r="CVG22" s="99"/>
      <c r="CVH22" s="99"/>
      <c r="CVI22" s="99"/>
      <c r="CVJ22" s="99"/>
      <c r="CVK22" s="99"/>
      <c r="CVL22" s="99"/>
      <c r="CVM22" s="99"/>
      <c r="CVN22" s="99"/>
      <c r="CVO22" s="99"/>
      <c r="CVP22" s="99"/>
      <c r="CVQ22" s="99"/>
      <c r="CVR22" s="99"/>
      <c r="CVS22" s="99"/>
      <c r="CVT22" s="99"/>
      <c r="CVU22" s="99"/>
      <c r="CVV22" s="99"/>
      <c r="CVW22" s="99"/>
      <c r="CVX22" s="99"/>
      <c r="CVY22" s="99"/>
      <c r="CVZ22" s="99"/>
      <c r="CWA22" s="99"/>
      <c r="CWB22" s="99"/>
      <c r="CWC22" s="99"/>
      <c r="CWD22" s="99"/>
      <c r="CWE22" s="99"/>
      <c r="CWF22" s="99"/>
      <c r="CWG22" s="99"/>
      <c r="CWH22" s="99"/>
      <c r="CWI22" s="99"/>
      <c r="CWJ22" s="99"/>
      <c r="CWK22" s="99"/>
      <c r="CWL22" s="99"/>
      <c r="CWM22" s="99"/>
      <c r="CWN22" s="99"/>
      <c r="CWO22" s="99"/>
      <c r="CWP22" s="99"/>
      <c r="CWQ22" s="99"/>
      <c r="CWR22" s="99"/>
      <c r="CWS22" s="99"/>
      <c r="CWT22" s="99"/>
      <c r="CWU22" s="99"/>
      <c r="CWV22" s="99"/>
      <c r="CWW22" s="99"/>
      <c r="CWX22" s="99"/>
      <c r="CWY22" s="99"/>
      <c r="CWZ22" s="99"/>
      <c r="CXA22" s="99"/>
      <c r="CXB22" s="99"/>
      <c r="CXC22" s="99"/>
      <c r="CXD22" s="99"/>
      <c r="CXE22" s="99"/>
      <c r="CXF22" s="99"/>
      <c r="CXG22" s="99"/>
      <c r="CXH22" s="99"/>
      <c r="CXI22" s="99"/>
      <c r="CXJ22" s="99"/>
      <c r="CXK22" s="99"/>
      <c r="CXL22" s="99"/>
      <c r="CXM22" s="99"/>
      <c r="CXN22" s="99"/>
      <c r="CXO22" s="99"/>
      <c r="CXP22" s="99"/>
      <c r="CXQ22" s="99"/>
      <c r="CXR22" s="99"/>
      <c r="CXS22" s="99"/>
      <c r="CXT22" s="99"/>
      <c r="CXU22" s="99"/>
      <c r="CXV22" s="99"/>
      <c r="CXW22" s="99"/>
      <c r="CXX22" s="99"/>
      <c r="CXY22" s="99"/>
      <c r="CXZ22" s="99"/>
      <c r="CYA22" s="99"/>
      <c r="CYB22" s="99"/>
      <c r="CYC22" s="99"/>
      <c r="CYD22" s="99"/>
      <c r="CYE22" s="99"/>
      <c r="CYF22" s="99"/>
      <c r="CYG22" s="99"/>
      <c r="CYH22" s="99"/>
      <c r="CYI22" s="99"/>
      <c r="CYJ22" s="99"/>
      <c r="CYK22" s="99"/>
      <c r="CYL22" s="99"/>
      <c r="CYM22" s="99"/>
      <c r="CYN22" s="99"/>
      <c r="CYO22" s="99"/>
      <c r="CYP22" s="99"/>
      <c r="CYQ22" s="99"/>
      <c r="CYR22" s="99"/>
      <c r="CYS22" s="99"/>
      <c r="CYT22" s="99"/>
      <c r="CYU22" s="99"/>
      <c r="CYV22" s="99"/>
      <c r="CYW22" s="99"/>
      <c r="CYX22" s="99"/>
      <c r="CYY22" s="99"/>
      <c r="CYZ22" s="99"/>
      <c r="CZA22" s="99"/>
      <c r="CZB22" s="99"/>
      <c r="CZC22" s="99"/>
      <c r="CZD22" s="99"/>
      <c r="CZE22" s="99"/>
      <c r="CZF22" s="99"/>
      <c r="CZG22" s="99"/>
      <c r="CZH22" s="99"/>
      <c r="CZI22" s="99"/>
      <c r="CZJ22" s="99"/>
      <c r="CZK22" s="99"/>
      <c r="CZL22" s="99"/>
      <c r="CZM22" s="99"/>
      <c r="CZN22" s="99"/>
      <c r="CZO22" s="99"/>
      <c r="CZP22" s="99"/>
      <c r="CZQ22" s="99"/>
      <c r="CZR22" s="99"/>
      <c r="CZS22" s="99"/>
      <c r="CZT22" s="99"/>
      <c r="CZU22" s="99"/>
      <c r="CZV22" s="99"/>
      <c r="CZW22" s="99"/>
      <c r="CZX22" s="99"/>
      <c r="CZY22" s="99"/>
      <c r="CZZ22" s="99"/>
      <c r="DAA22" s="99"/>
      <c r="DAB22" s="99"/>
      <c r="DAC22" s="99"/>
      <c r="DAD22" s="99"/>
      <c r="DAE22" s="99"/>
      <c r="DAF22" s="99"/>
      <c r="DAG22" s="99"/>
      <c r="DAH22" s="99"/>
      <c r="DAI22" s="99"/>
      <c r="DAJ22" s="99"/>
      <c r="DAK22" s="99"/>
      <c r="DAL22" s="99"/>
      <c r="DAM22" s="99"/>
      <c r="DAN22" s="99"/>
      <c r="DAO22" s="99"/>
      <c r="DAP22" s="99"/>
      <c r="DAQ22" s="99"/>
      <c r="DAR22" s="99"/>
      <c r="DAS22" s="99"/>
      <c r="DAT22" s="99"/>
      <c r="DAU22" s="99"/>
      <c r="DAV22" s="99"/>
      <c r="DAW22" s="99"/>
      <c r="DAX22" s="99"/>
      <c r="DAY22" s="99"/>
      <c r="DAZ22" s="99"/>
      <c r="DBA22" s="99"/>
      <c r="DBB22" s="99"/>
      <c r="DBC22" s="99"/>
      <c r="DBD22" s="99"/>
      <c r="DBE22" s="99"/>
      <c r="DBF22" s="99"/>
      <c r="DBG22" s="99"/>
      <c r="DBH22" s="99"/>
      <c r="DBI22" s="99"/>
      <c r="DBJ22" s="99"/>
      <c r="DBK22" s="99"/>
      <c r="DBL22" s="99"/>
      <c r="DBM22" s="99"/>
      <c r="DBN22" s="99"/>
      <c r="DBO22" s="99"/>
      <c r="DBP22" s="99"/>
      <c r="DBQ22" s="99"/>
      <c r="DBR22" s="99"/>
      <c r="DBS22" s="99"/>
      <c r="DBT22" s="99"/>
      <c r="DBU22" s="99"/>
      <c r="DBV22" s="99"/>
      <c r="DBW22" s="99"/>
      <c r="DBX22" s="99"/>
      <c r="DBY22" s="99"/>
      <c r="DBZ22" s="99"/>
      <c r="DCA22" s="99"/>
      <c r="DCB22" s="99"/>
      <c r="DCC22" s="99"/>
      <c r="DCD22" s="99"/>
      <c r="DCE22" s="99"/>
      <c r="DCF22" s="99"/>
      <c r="DCG22" s="99"/>
      <c r="DCH22" s="99"/>
      <c r="DCI22" s="99"/>
      <c r="DCJ22" s="99"/>
      <c r="DCK22" s="99"/>
      <c r="DCL22" s="99"/>
      <c r="DCM22" s="99"/>
      <c r="DCN22" s="99"/>
      <c r="DCO22" s="99"/>
      <c r="DCP22" s="99"/>
      <c r="DCQ22" s="99"/>
      <c r="DCR22" s="99"/>
      <c r="DCS22" s="99"/>
      <c r="DCT22" s="99"/>
      <c r="DCU22" s="99"/>
      <c r="DCV22" s="99"/>
      <c r="DCW22" s="99"/>
      <c r="DCX22" s="99"/>
      <c r="DCY22" s="99"/>
      <c r="DCZ22" s="99"/>
      <c r="DDA22" s="99"/>
      <c r="DDB22" s="99"/>
      <c r="DDC22" s="99"/>
      <c r="DDD22" s="99"/>
      <c r="DDE22" s="99"/>
      <c r="DDF22" s="99"/>
      <c r="DDG22" s="99"/>
      <c r="DDH22" s="99"/>
      <c r="DDI22" s="99"/>
      <c r="DDJ22" s="99"/>
      <c r="DDK22" s="99"/>
      <c r="DDL22" s="99"/>
      <c r="DDM22" s="99"/>
      <c r="DDN22" s="99"/>
      <c r="DDO22" s="99"/>
      <c r="DDP22" s="99"/>
      <c r="DDQ22" s="99"/>
      <c r="DDR22" s="99"/>
      <c r="DDS22" s="99"/>
      <c r="DDT22" s="99"/>
      <c r="DDU22" s="99"/>
      <c r="DDV22" s="99"/>
      <c r="DDW22" s="99"/>
      <c r="DDX22" s="99"/>
      <c r="DDY22" s="99"/>
      <c r="DDZ22" s="99"/>
      <c r="DEA22" s="99"/>
      <c r="DEB22" s="99"/>
      <c r="DEC22" s="99"/>
      <c r="DED22" s="99"/>
      <c r="DEE22" s="99"/>
      <c r="DEF22" s="99"/>
      <c r="DEG22" s="99"/>
      <c r="DEH22" s="99"/>
      <c r="DEI22" s="99"/>
      <c r="DEJ22" s="99"/>
      <c r="DEK22" s="99"/>
      <c r="DEL22" s="99"/>
      <c r="DEM22" s="99"/>
      <c r="DEN22" s="99"/>
      <c r="DEO22" s="99"/>
      <c r="DEP22" s="99"/>
      <c r="DEQ22" s="99"/>
      <c r="DER22" s="99"/>
      <c r="DES22" s="99"/>
      <c r="DET22" s="99"/>
      <c r="DEU22" s="99"/>
      <c r="DEV22" s="99"/>
      <c r="DEW22" s="99"/>
      <c r="DEX22" s="99"/>
      <c r="DEY22" s="99"/>
      <c r="DEZ22" s="99"/>
      <c r="DFA22" s="99"/>
      <c r="DFB22" s="99"/>
      <c r="DFC22" s="99"/>
      <c r="DFD22" s="99"/>
      <c r="DFE22" s="99"/>
      <c r="DFF22" s="99"/>
      <c r="DFG22" s="99"/>
      <c r="DFH22" s="99"/>
      <c r="DFI22" s="99"/>
      <c r="DFJ22" s="99"/>
      <c r="DFK22" s="99"/>
      <c r="DFL22" s="99"/>
      <c r="DFM22" s="99"/>
      <c r="DFN22" s="99"/>
      <c r="DFO22" s="99"/>
      <c r="DFP22" s="99"/>
      <c r="DFQ22" s="99"/>
      <c r="DFR22" s="99"/>
      <c r="DFS22" s="99"/>
      <c r="DFT22" s="99"/>
      <c r="DFU22" s="99"/>
      <c r="DFV22" s="99"/>
      <c r="DFW22" s="99"/>
      <c r="DFX22" s="99"/>
      <c r="DFY22" s="99"/>
      <c r="DFZ22" s="99"/>
      <c r="DGA22" s="99"/>
      <c r="DGB22" s="99"/>
      <c r="DGC22" s="99"/>
      <c r="DGD22" s="99"/>
      <c r="DGE22" s="99"/>
      <c r="DGF22" s="99"/>
      <c r="DGG22" s="99"/>
      <c r="DGH22" s="99"/>
      <c r="DGI22" s="99"/>
      <c r="DGJ22" s="99"/>
      <c r="DGK22" s="99"/>
      <c r="DGL22" s="99"/>
      <c r="DGM22" s="99"/>
      <c r="DGN22" s="99"/>
      <c r="DGO22" s="99"/>
      <c r="DGP22" s="99"/>
      <c r="DGQ22" s="99"/>
      <c r="DGR22" s="99"/>
      <c r="DGS22" s="99"/>
      <c r="DGT22" s="99"/>
      <c r="DGU22" s="99"/>
      <c r="DGV22" s="99"/>
      <c r="DGW22" s="99"/>
      <c r="DGX22" s="99"/>
      <c r="DGY22" s="99"/>
      <c r="DGZ22" s="99"/>
      <c r="DHA22" s="99"/>
      <c r="DHB22" s="99"/>
      <c r="DHC22" s="99"/>
      <c r="DHD22" s="99"/>
      <c r="DHE22" s="99"/>
      <c r="DHF22" s="99"/>
      <c r="DHG22" s="99"/>
      <c r="DHH22" s="99"/>
      <c r="DHI22" s="99"/>
      <c r="DHJ22" s="99"/>
      <c r="DHK22" s="99"/>
      <c r="DHL22" s="99"/>
      <c r="DHM22" s="99"/>
      <c r="DHN22" s="99"/>
      <c r="DHO22" s="99"/>
      <c r="DHP22" s="99"/>
      <c r="DHQ22" s="99"/>
      <c r="DHR22" s="99"/>
      <c r="DHS22" s="99"/>
      <c r="DHT22" s="99"/>
      <c r="DHU22" s="99"/>
      <c r="DHV22" s="99"/>
      <c r="DHW22" s="99"/>
      <c r="DHX22" s="99"/>
      <c r="DHY22" s="99"/>
      <c r="DHZ22" s="99"/>
      <c r="DIA22" s="99"/>
      <c r="DIB22" s="99"/>
      <c r="DIC22" s="99"/>
      <c r="DID22" s="99"/>
      <c r="DIE22" s="99"/>
      <c r="DIF22" s="99"/>
      <c r="DIG22" s="99"/>
      <c r="DIH22" s="99"/>
      <c r="DII22" s="99"/>
      <c r="DIJ22" s="99"/>
      <c r="DIK22" s="99"/>
      <c r="DIL22" s="99"/>
      <c r="DIM22" s="99"/>
      <c r="DIN22" s="99"/>
      <c r="DIO22" s="99"/>
      <c r="DIP22" s="99"/>
      <c r="DIQ22" s="99"/>
      <c r="DIR22" s="99"/>
      <c r="DIS22" s="99"/>
      <c r="DIT22" s="99"/>
      <c r="DIU22" s="99"/>
      <c r="DIV22" s="99"/>
      <c r="DIW22" s="99"/>
      <c r="DIX22" s="99"/>
      <c r="DIY22" s="99"/>
      <c r="DIZ22" s="99"/>
      <c r="DJA22" s="99"/>
      <c r="DJB22" s="99"/>
      <c r="DJC22" s="99"/>
      <c r="DJD22" s="99"/>
      <c r="DJE22" s="99"/>
      <c r="DJF22" s="99"/>
      <c r="DJG22" s="99"/>
      <c r="DJH22" s="99"/>
      <c r="DJI22" s="99"/>
      <c r="DJJ22" s="99"/>
      <c r="DJK22" s="99"/>
      <c r="DJL22" s="99"/>
      <c r="DJM22" s="99"/>
      <c r="DJN22" s="99"/>
      <c r="DJO22" s="99"/>
      <c r="DJP22" s="99"/>
      <c r="DJQ22" s="99"/>
      <c r="DJR22" s="99"/>
      <c r="DJS22" s="99"/>
      <c r="DJT22" s="99"/>
      <c r="DJU22" s="99"/>
      <c r="DJV22" s="99"/>
      <c r="DJW22" s="99"/>
      <c r="DJX22" s="99"/>
      <c r="DJY22" s="99"/>
      <c r="DJZ22" s="99"/>
      <c r="DKA22" s="99"/>
      <c r="DKB22" s="99"/>
      <c r="DKC22" s="99"/>
      <c r="DKD22" s="99"/>
      <c r="DKE22" s="99"/>
      <c r="DKF22" s="99"/>
      <c r="DKG22" s="99"/>
      <c r="DKH22" s="99"/>
      <c r="DKI22" s="99"/>
      <c r="DKJ22" s="99"/>
      <c r="DKK22" s="99"/>
      <c r="DKL22" s="99"/>
      <c r="DKM22" s="99"/>
      <c r="DKN22" s="99"/>
      <c r="DKO22" s="99"/>
      <c r="DKP22" s="99"/>
      <c r="DKQ22" s="99"/>
      <c r="DKR22" s="99"/>
      <c r="DKS22" s="99"/>
      <c r="DKT22" s="99"/>
      <c r="DKU22" s="99"/>
      <c r="DKV22" s="99"/>
      <c r="DKW22" s="99"/>
      <c r="DKX22" s="99"/>
      <c r="DKY22" s="99"/>
      <c r="DKZ22" s="99"/>
      <c r="DLA22" s="99"/>
      <c r="DLB22" s="99"/>
      <c r="DLC22" s="99"/>
      <c r="DLD22" s="99"/>
      <c r="DLE22" s="99"/>
      <c r="DLF22" s="99"/>
      <c r="DLG22" s="99"/>
      <c r="DLH22" s="99"/>
      <c r="DLI22" s="99"/>
      <c r="DLJ22" s="99"/>
      <c r="DLK22" s="99"/>
      <c r="DLL22" s="99"/>
      <c r="DLM22" s="99"/>
      <c r="DLN22" s="99"/>
      <c r="DLO22" s="99"/>
      <c r="DLP22" s="99"/>
      <c r="DLQ22" s="99"/>
      <c r="DLR22" s="99"/>
      <c r="DLS22" s="99"/>
      <c r="DLT22" s="99"/>
      <c r="DLU22" s="99"/>
      <c r="DLV22" s="99"/>
      <c r="DLW22" s="99"/>
      <c r="DLX22" s="99"/>
      <c r="DLY22" s="99"/>
      <c r="DLZ22" s="99"/>
      <c r="DMA22" s="99"/>
      <c r="DMB22" s="99"/>
      <c r="DMC22" s="99"/>
      <c r="DMD22" s="99"/>
      <c r="DME22" s="99"/>
      <c r="DMF22" s="99"/>
      <c r="DMG22" s="99"/>
      <c r="DMH22" s="99"/>
      <c r="DMI22" s="99"/>
      <c r="DMJ22" s="99"/>
      <c r="DMK22" s="99"/>
      <c r="DML22" s="99"/>
      <c r="DMM22" s="99"/>
      <c r="DMN22" s="99"/>
      <c r="DMO22" s="99"/>
      <c r="DMP22" s="99"/>
      <c r="DMQ22" s="99"/>
      <c r="DMR22" s="99"/>
      <c r="DMS22" s="99"/>
      <c r="DMT22" s="99"/>
      <c r="DMU22" s="99"/>
      <c r="DMV22" s="99"/>
      <c r="DMW22" s="99"/>
      <c r="DMX22" s="99"/>
      <c r="DMY22" s="99"/>
      <c r="DMZ22" s="99"/>
      <c r="DNA22" s="99"/>
      <c r="DNB22" s="99"/>
      <c r="DNC22" s="99"/>
      <c r="DND22" s="99"/>
      <c r="DNE22" s="99"/>
      <c r="DNF22" s="99"/>
      <c r="DNG22" s="99"/>
      <c r="DNH22" s="99"/>
      <c r="DNI22" s="99"/>
      <c r="DNJ22" s="99"/>
      <c r="DNK22" s="99"/>
      <c r="DNL22" s="99"/>
      <c r="DNM22" s="99"/>
      <c r="DNN22" s="99"/>
      <c r="DNO22" s="99"/>
      <c r="DNP22" s="99"/>
      <c r="DNQ22" s="99"/>
      <c r="DNR22" s="99"/>
      <c r="DNS22" s="99"/>
      <c r="DNT22" s="99"/>
      <c r="DNU22" s="99"/>
      <c r="DNV22" s="99"/>
      <c r="DNW22" s="99"/>
      <c r="DNX22" s="99"/>
      <c r="DNY22" s="99"/>
      <c r="DNZ22" s="99"/>
      <c r="DOA22" s="99"/>
      <c r="DOB22" s="99"/>
      <c r="DOC22" s="99"/>
      <c r="DOD22" s="99"/>
      <c r="DOE22" s="99"/>
      <c r="DOF22" s="99"/>
      <c r="DOG22" s="99"/>
      <c r="DOH22" s="99"/>
      <c r="DOI22" s="99"/>
      <c r="DOJ22" s="99"/>
      <c r="DOK22" s="99"/>
      <c r="DOL22" s="99"/>
      <c r="DOM22" s="99"/>
      <c r="DON22" s="99"/>
      <c r="DOO22" s="99"/>
      <c r="DOP22" s="99"/>
      <c r="DOQ22" s="99"/>
      <c r="DOR22" s="99"/>
      <c r="DOS22" s="99"/>
      <c r="DOT22" s="99"/>
      <c r="DOU22" s="99"/>
      <c r="DOV22" s="99"/>
      <c r="DOW22" s="99"/>
      <c r="DOX22" s="99"/>
      <c r="DOY22" s="99"/>
      <c r="DOZ22" s="99"/>
      <c r="DPA22" s="99"/>
      <c r="DPB22" s="99"/>
      <c r="DPC22" s="99"/>
      <c r="DPD22" s="99"/>
      <c r="DPE22" s="99"/>
      <c r="DPF22" s="99"/>
      <c r="DPG22" s="99"/>
      <c r="DPH22" s="99"/>
      <c r="DPI22" s="99"/>
      <c r="DPJ22" s="99"/>
      <c r="DPK22" s="99"/>
      <c r="DPL22" s="99"/>
      <c r="DPM22" s="99"/>
      <c r="DPN22" s="99"/>
      <c r="DPO22" s="99"/>
      <c r="DPP22" s="99"/>
      <c r="DPQ22" s="99"/>
      <c r="DPR22" s="99"/>
      <c r="DPS22" s="99"/>
      <c r="DPT22" s="99"/>
      <c r="DPU22" s="99"/>
      <c r="DPV22" s="99"/>
      <c r="DPW22" s="99"/>
      <c r="DPX22" s="99"/>
      <c r="DPY22" s="99"/>
      <c r="DPZ22" s="99"/>
      <c r="DQA22" s="99"/>
      <c r="DQB22" s="99"/>
      <c r="DQC22" s="99"/>
      <c r="DQD22" s="99"/>
      <c r="DQE22" s="99"/>
      <c r="DQF22" s="99"/>
      <c r="DQG22" s="99"/>
      <c r="DQH22" s="99"/>
      <c r="DQI22" s="99"/>
      <c r="DQJ22" s="99"/>
      <c r="DQK22" s="99"/>
      <c r="DQL22" s="99"/>
      <c r="DQM22" s="99"/>
      <c r="DQN22" s="99"/>
      <c r="DQO22" s="99"/>
      <c r="DQP22" s="99"/>
      <c r="DQQ22" s="99"/>
      <c r="DQR22" s="99"/>
      <c r="DQS22" s="99"/>
      <c r="DQT22" s="99"/>
      <c r="DQU22" s="99"/>
      <c r="DQV22" s="99"/>
      <c r="DQW22" s="99"/>
      <c r="DQX22" s="99"/>
      <c r="DQY22" s="99"/>
      <c r="DQZ22" s="99"/>
      <c r="DRA22" s="99"/>
      <c r="DRB22" s="99"/>
      <c r="DRC22" s="99"/>
      <c r="DRD22" s="99"/>
      <c r="DRE22" s="99"/>
      <c r="DRF22" s="99"/>
      <c r="DRG22" s="99"/>
      <c r="DRH22" s="99"/>
      <c r="DRI22" s="99"/>
      <c r="DRJ22" s="99"/>
      <c r="DRK22" s="99"/>
      <c r="DRL22" s="99"/>
      <c r="DRM22" s="99"/>
      <c r="DRN22" s="99"/>
      <c r="DRO22" s="99"/>
      <c r="DRP22" s="99"/>
      <c r="DRQ22" s="99"/>
      <c r="DRR22" s="99"/>
      <c r="DRS22" s="99"/>
      <c r="DRT22" s="99"/>
      <c r="DRU22" s="99"/>
      <c r="DRV22" s="99"/>
      <c r="DRW22" s="99"/>
      <c r="DRX22" s="99"/>
      <c r="DRY22" s="99"/>
      <c r="DRZ22" s="99"/>
      <c r="DSA22" s="99"/>
      <c r="DSB22" s="99"/>
      <c r="DSC22" s="99"/>
      <c r="DSD22" s="99"/>
      <c r="DSE22" s="99"/>
      <c r="DSF22" s="99"/>
      <c r="DSG22" s="99"/>
      <c r="DSH22" s="99"/>
      <c r="DSI22" s="99"/>
      <c r="DSJ22" s="99"/>
      <c r="DSK22" s="99"/>
      <c r="DSL22" s="99"/>
      <c r="DSM22" s="99"/>
      <c r="DSN22" s="99"/>
      <c r="DSO22" s="99"/>
      <c r="DSP22" s="99"/>
      <c r="DSQ22" s="99"/>
      <c r="DSR22" s="99"/>
      <c r="DSS22" s="99"/>
      <c r="DST22" s="99"/>
      <c r="DSU22" s="99"/>
      <c r="DSV22" s="99"/>
      <c r="DSW22" s="99"/>
      <c r="DSX22" s="99"/>
      <c r="DSY22" s="99"/>
      <c r="DSZ22" s="99"/>
      <c r="DTA22" s="99"/>
      <c r="DTB22" s="99"/>
      <c r="DTC22" s="99"/>
      <c r="DTD22" s="99"/>
      <c r="DTE22" s="99"/>
      <c r="DTF22" s="99"/>
      <c r="DTG22" s="99"/>
      <c r="DTH22" s="99"/>
      <c r="DTI22" s="99"/>
      <c r="DTJ22" s="99"/>
      <c r="DTK22" s="99"/>
      <c r="DTL22" s="99"/>
      <c r="DTM22" s="99"/>
      <c r="DTN22" s="99"/>
      <c r="DTO22" s="99"/>
      <c r="DTP22" s="99"/>
      <c r="DTQ22" s="99"/>
      <c r="DTR22" s="99"/>
      <c r="DTS22" s="99"/>
      <c r="DTT22" s="99"/>
      <c r="DTU22" s="99"/>
      <c r="DTV22" s="99"/>
      <c r="DTW22" s="99"/>
      <c r="DTX22" s="99"/>
      <c r="DTY22" s="99"/>
      <c r="DTZ22" s="99"/>
      <c r="DUA22" s="99"/>
      <c r="DUB22" s="99"/>
      <c r="DUC22" s="99"/>
      <c r="DUD22" s="99"/>
      <c r="DUE22" s="99"/>
      <c r="DUF22" s="99"/>
      <c r="DUG22" s="99"/>
      <c r="DUH22" s="99"/>
      <c r="DUI22" s="99"/>
      <c r="DUJ22" s="99"/>
      <c r="DUK22" s="99"/>
      <c r="DUL22" s="99"/>
      <c r="DUM22" s="99"/>
      <c r="DUN22" s="99"/>
      <c r="DUO22" s="99"/>
      <c r="DUP22" s="99"/>
      <c r="DUQ22" s="99"/>
      <c r="DUR22" s="99"/>
      <c r="DUS22" s="99"/>
      <c r="DUT22" s="99"/>
      <c r="DUU22" s="99"/>
      <c r="DUV22" s="99"/>
      <c r="DUW22" s="99"/>
      <c r="DUX22" s="99"/>
      <c r="DUY22" s="99"/>
      <c r="DUZ22" s="99"/>
      <c r="DVA22" s="99"/>
      <c r="DVB22" s="99"/>
      <c r="DVC22" s="99"/>
      <c r="DVD22" s="99"/>
      <c r="DVE22" s="99"/>
      <c r="DVF22" s="99"/>
      <c r="DVG22" s="99"/>
      <c r="DVH22" s="99"/>
      <c r="DVI22" s="99"/>
      <c r="DVJ22" s="99"/>
      <c r="DVK22" s="99"/>
      <c r="DVL22" s="99"/>
      <c r="DVM22" s="99"/>
      <c r="DVN22" s="99"/>
      <c r="DVO22" s="99"/>
      <c r="DVP22" s="99"/>
      <c r="DVQ22" s="99"/>
      <c r="DVR22" s="99"/>
      <c r="DVS22" s="99"/>
      <c r="DVT22" s="99"/>
      <c r="DVU22" s="99"/>
      <c r="DVV22" s="99"/>
      <c r="DVW22" s="99"/>
      <c r="DVX22" s="99"/>
      <c r="DVY22" s="99"/>
      <c r="DVZ22" s="99"/>
      <c r="DWA22" s="99"/>
      <c r="DWB22" s="99"/>
      <c r="DWC22" s="99"/>
      <c r="DWD22" s="99"/>
      <c r="DWE22" s="99"/>
      <c r="DWF22" s="99"/>
      <c r="DWG22" s="99"/>
      <c r="DWH22" s="99"/>
      <c r="DWI22" s="99"/>
      <c r="DWJ22" s="99"/>
      <c r="DWK22" s="99"/>
      <c r="DWL22" s="99"/>
      <c r="DWM22" s="99"/>
      <c r="DWN22" s="99"/>
      <c r="DWO22" s="99"/>
      <c r="DWP22" s="99"/>
      <c r="DWQ22" s="99"/>
      <c r="DWR22" s="99"/>
      <c r="DWS22" s="99"/>
      <c r="DWT22" s="99"/>
      <c r="DWU22" s="99"/>
      <c r="DWV22" s="99"/>
      <c r="DWW22" s="99"/>
      <c r="DWX22" s="99"/>
      <c r="DWY22" s="99"/>
      <c r="DWZ22" s="99"/>
      <c r="DXA22" s="99"/>
      <c r="DXB22" s="99"/>
      <c r="DXC22" s="99"/>
      <c r="DXD22" s="99"/>
      <c r="DXE22" s="99"/>
      <c r="DXF22" s="99"/>
      <c r="DXG22" s="99"/>
      <c r="DXH22" s="99"/>
      <c r="DXI22" s="99"/>
      <c r="DXJ22" s="99"/>
      <c r="DXK22" s="99"/>
      <c r="DXL22" s="99"/>
      <c r="DXM22" s="99"/>
      <c r="DXN22" s="99"/>
      <c r="DXO22" s="99"/>
      <c r="DXP22" s="99"/>
      <c r="DXQ22" s="99"/>
      <c r="DXR22" s="99"/>
      <c r="DXS22" s="99"/>
      <c r="DXT22" s="99"/>
      <c r="DXU22" s="99"/>
      <c r="DXV22" s="99"/>
      <c r="DXW22" s="99"/>
      <c r="DXX22" s="99"/>
      <c r="DXY22" s="99"/>
      <c r="DXZ22" s="99"/>
      <c r="DYA22" s="99"/>
      <c r="DYB22" s="99"/>
      <c r="DYC22" s="99"/>
      <c r="DYD22" s="99"/>
      <c r="DYE22" s="99"/>
      <c r="DYF22" s="99"/>
      <c r="DYG22" s="99"/>
      <c r="DYH22" s="99"/>
      <c r="DYI22" s="99"/>
      <c r="DYJ22" s="99"/>
      <c r="DYK22" s="99"/>
      <c r="DYL22" s="99"/>
      <c r="DYM22" s="99"/>
      <c r="DYN22" s="99"/>
      <c r="DYO22" s="99"/>
      <c r="DYP22" s="99"/>
      <c r="DYQ22" s="99"/>
      <c r="DYR22" s="99"/>
      <c r="DYS22" s="99"/>
      <c r="DYT22" s="99"/>
      <c r="DYU22" s="99"/>
      <c r="DYV22" s="99"/>
      <c r="DYW22" s="99"/>
      <c r="DYX22" s="99"/>
      <c r="DYY22" s="99"/>
      <c r="DYZ22" s="99"/>
      <c r="DZA22" s="99"/>
      <c r="DZB22" s="99"/>
      <c r="DZC22" s="99"/>
      <c r="DZD22" s="99"/>
      <c r="DZE22" s="99"/>
      <c r="DZF22" s="99"/>
      <c r="DZG22" s="99"/>
      <c r="DZH22" s="99"/>
      <c r="DZI22" s="99"/>
      <c r="DZJ22" s="99"/>
      <c r="DZK22" s="99"/>
      <c r="DZL22" s="99"/>
      <c r="DZM22" s="99"/>
      <c r="DZN22" s="99"/>
      <c r="DZO22" s="99"/>
      <c r="DZP22" s="99"/>
      <c r="DZQ22" s="99"/>
      <c r="DZR22" s="99"/>
      <c r="DZS22" s="99"/>
      <c r="DZT22" s="99"/>
      <c r="DZU22" s="99"/>
      <c r="DZV22" s="99"/>
      <c r="DZW22" s="99"/>
      <c r="DZX22" s="99"/>
      <c r="DZY22" s="99"/>
      <c r="DZZ22" s="99"/>
      <c r="EAA22" s="99"/>
      <c r="EAB22" s="99"/>
      <c r="EAC22" s="99"/>
      <c r="EAD22" s="99"/>
      <c r="EAE22" s="99"/>
      <c r="EAF22" s="99"/>
      <c r="EAG22" s="99"/>
      <c r="EAH22" s="99"/>
      <c r="EAI22" s="99"/>
      <c r="EAJ22" s="99"/>
      <c r="EAK22" s="99"/>
      <c r="EAL22" s="99"/>
      <c r="EAM22" s="99"/>
      <c r="EAN22" s="99"/>
      <c r="EAO22" s="99"/>
      <c r="EAP22" s="99"/>
      <c r="EAQ22" s="99"/>
      <c r="EAR22" s="99"/>
      <c r="EAS22" s="99"/>
      <c r="EAT22" s="99"/>
      <c r="EAU22" s="99"/>
      <c r="EAV22" s="99"/>
      <c r="EAW22" s="99"/>
      <c r="EAX22" s="99"/>
      <c r="EAY22" s="99"/>
      <c r="EAZ22" s="99"/>
      <c r="EBA22" s="99"/>
      <c r="EBB22" s="99"/>
      <c r="EBC22" s="99"/>
      <c r="EBD22" s="99"/>
      <c r="EBE22" s="99"/>
      <c r="EBF22" s="99"/>
      <c r="EBG22" s="99"/>
      <c r="EBH22" s="99"/>
      <c r="EBI22" s="99"/>
      <c r="EBJ22" s="99"/>
      <c r="EBK22" s="99"/>
      <c r="EBL22" s="99"/>
      <c r="EBM22" s="99"/>
      <c r="EBN22" s="99"/>
      <c r="EBO22" s="99"/>
      <c r="EBP22" s="99"/>
      <c r="EBQ22" s="99"/>
      <c r="EBR22" s="99"/>
      <c r="EBS22" s="99"/>
      <c r="EBT22" s="99"/>
      <c r="EBU22" s="99"/>
      <c r="EBV22" s="99"/>
      <c r="EBW22" s="99"/>
      <c r="EBX22" s="99"/>
      <c r="EBY22" s="99"/>
      <c r="EBZ22" s="99"/>
      <c r="ECA22" s="99"/>
      <c r="ECB22" s="99"/>
      <c r="ECC22" s="99"/>
      <c r="ECD22" s="99"/>
      <c r="ECE22" s="99"/>
      <c r="ECF22" s="99"/>
      <c r="ECG22" s="99"/>
      <c r="ECH22" s="99"/>
      <c r="ECI22" s="99"/>
      <c r="ECJ22" s="99"/>
      <c r="ECK22" s="99"/>
      <c r="ECL22" s="99"/>
      <c r="ECM22" s="99"/>
      <c r="ECN22" s="99"/>
      <c r="ECO22" s="99"/>
      <c r="ECP22" s="99"/>
      <c r="ECQ22" s="99"/>
      <c r="ECR22" s="99"/>
      <c r="ECS22" s="99"/>
      <c r="ECT22" s="99"/>
      <c r="ECU22" s="99"/>
      <c r="ECV22" s="99"/>
      <c r="ECW22" s="99"/>
      <c r="ECX22" s="99"/>
      <c r="ECY22" s="99"/>
      <c r="ECZ22" s="99"/>
      <c r="EDA22" s="99"/>
      <c r="EDB22" s="99"/>
      <c r="EDC22" s="99"/>
      <c r="EDD22" s="99"/>
      <c r="EDE22" s="99"/>
      <c r="EDF22" s="99"/>
      <c r="EDG22" s="99"/>
      <c r="EDH22" s="99"/>
      <c r="EDI22" s="99"/>
      <c r="EDJ22" s="99"/>
      <c r="EDK22" s="99"/>
      <c r="EDL22" s="99"/>
      <c r="EDM22" s="99"/>
      <c r="EDN22" s="99"/>
      <c r="EDO22" s="99"/>
      <c r="EDP22" s="99"/>
      <c r="EDQ22" s="99"/>
      <c r="EDR22" s="99"/>
      <c r="EDS22" s="99"/>
      <c r="EDT22" s="99"/>
      <c r="EDU22" s="99"/>
      <c r="EDV22" s="99"/>
      <c r="EDW22" s="99"/>
      <c r="EDX22" s="99"/>
      <c r="EDY22" s="99"/>
      <c r="EDZ22" s="99"/>
      <c r="EEA22" s="99"/>
      <c r="EEB22" s="99"/>
      <c r="EEC22" s="99"/>
      <c r="EED22" s="99"/>
      <c r="EEE22" s="99"/>
      <c r="EEF22" s="99"/>
      <c r="EEG22" s="99"/>
      <c r="EEH22" s="99"/>
      <c r="EEI22" s="99"/>
      <c r="EEJ22" s="99"/>
      <c r="EEK22" s="99"/>
      <c r="EEL22" s="99"/>
      <c r="EEM22" s="99"/>
      <c r="EEN22" s="99"/>
      <c r="EEO22" s="99"/>
      <c r="EEP22" s="99"/>
      <c r="EEQ22" s="99"/>
      <c r="EER22" s="99"/>
      <c r="EES22" s="99"/>
      <c r="EET22" s="99"/>
      <c r="EEU22" s="99"/>
      <c r="EEV22" s="99"/>
      <c r="EEW22" s="99"/>
      <c r="EEX22" s="99"/>
      <c r="EEY22" s="99"/>
      <c r="EEZ22" s="99"/>
      <c r="EFA22" s="99"/>
      <c r="EFB22" s="99"/>
      <c r="EFC22" s="99"/>
      <c r="EFD22" s="99"/>
      <c r="EFE22" s="99"/>
      <c r="EFF22" s="99"/>
      <c r="EFG22" s="99"/>
      <c r="EFH22" s="99"/>
      <c r="EFI22" s="99"/>
      <c r="EFJ22" s="99"/>
      <c r="EFK22" s="99"/>
      <c r="EFL22" s="99"/>
      <c r="EFM22" s="99"/>
      <c r="EFN22" s="99"/>
      <c r="EFO22" s="99"/>
      <c r="EFP22" s="99"/>
      <c r="EFQ22" s="99"/>
      <c r="EFR22" s="99"/>
      <c r="EFS22" s="99"/>
      <c r="EFT22" s="99"/>
      <c r="EFU22" s="99"/>
      <c r="EFV22" s="99"/>
      <c r="EFW22" s="99"/>
      <c r="EFX22" s="99"/>
      <c r="EFY22" s="99"/>
      <c r="EFZ22" s="99"/>
      <c r="EGA22" s="99"/>
      <c r="EGB22" s="99"/>
      <c r="EGC22" s="99"/>
      <c r="EGD22" s="99"/>
      <c r="EGE22" s="99"/>
      <c r="EGF22" s="99"/>
      <c r="EGG22" s="99"/>
      <c r="EGH22" s="99"/>
      <c r="EGI22" s="99"/>
      <c r="EGJ22" s="99"/>
      <c r="EGK22" s="99"/>
      <c r="EGL22" s="99"/>
      <c r="EGM22" s="99"/>
      <c r="EGN22" s="99"/>
      <c r="EGO22" s="99"/>
      <c r="EGP22" s="99"/>
      <c r="EGQ22" s="99"/>
      <c r="EGR22" s="99"/>
      <c r="EGS22" s="99"/>
      <c r="EGT22" s="99"/>
      <c r="EGU22" s="99"/>
      <c r="EGV22" s="99"/>
      <c r="EGW22" s="99"/>
      <c r="EGX22" s="99"/>
      <c r="EGY22" s="99"/>
      <c r="EGZ22" s="99"/>
      <c r="EHA22" s="99"/>
      <c r="EHB22" s="99"/>
      <c r="EHC22" s="99"/>
      <c r="EHD22" s="99"/>
      <c r="EHE22" s="99"/>
      <c r="EHF22" s="99"/>
      <c r="EHG22" s="99"/>
      <c r="EHH22" s="99"/>
      <c r="EHI22" s="99"/>
      <c r="EHJ22" s="99"/>
      <c r="EHK22" s="99"/>
      <c r="EHL22" s="99"/>
      <c r="EHM22" s="99"/>
      <c r="EHN22" s="99"/>
      <c r="EHO22" s="99"/>
      <c r="EHP22" s="99"/>
      <c r="EHQ22" s="99"/>
      <c r="EHR22" s="99"/>
      <c r="EHS22" s="99"/>
      <c r="EHT22" s="99"/>
      <c r="EHU22" s="99"/>
      <c r="EHV22" s="99"/>
      <c r="EHW22" s="99"/>
      <c r="EHX22" s="99"/>
      <c r="EHY22" s="99"/>
      <c r="EHZ22" s="99"/>
      <c r="EIA22" s="99"/>
      <c r="EIB22" s="99"/>
      <c r="EIC22" s="99"/>
      <c r="EID22" s="99"/>
      <c r="EIE22" s="99"/>
      <c r="EIF22" s="99"/>
      <c r="EIG22" s="99"/>
      <c r="EIH22" s="99"/>
      <c r="EII22" s="99"/>
      <c r="EIJ22" s="99"/>
      <c r="EIK22" s="99"/>
      <c r="EIL22" s="99"/>
      <c r="EIM22" s="99"/>
      <c r="EIN22" s="99"/>
      <c r="EIO22" s="99"/>
      <c r="EIP22" s="99"/>
      <c r="EIQ22" s="99"/>
      <c r="EIR22" s="99"/>
      <c r="EIS22" s="99"/>
      <c r="EIT22" s="99"/>
      <c r="EIU22" s="99"/>
      <c r="EIV22" s="99"/>
      <c r="EIW22" s="99"/>
      <c r="EIX22" s="99"/>
      <c r="EIY22" s="99"/>
      <c r="EIZ22" s="99"/>
      <c r="EJA22" s="99"/>
      <c r="EJB22" s="99"/>
      <c r="EJC22" s="99"/>
      <c r="EJD22" s="99"/>
      <c r="EJE22" s="99"/>
      <c r="EJF22" s="99"/>
      <c r="EJG22" s="99"/>
      <c r="EJH22" s="99"/>
      <c r="EJI22" s="99"/>
      <c r="EJJ22" s="99"/>
      <c r="EJK22" s="99"/>
      <c r="EJL22" s="99"/>
      <c r="EJM22" s="99"/>
      <c r="EJN22" s="99"/>
      <c r="EJO22" s="99"/>
      <c r="EJP22" s="99"/>
      <c r="EJQ22" s="99"/>
      <c r="EJR22" s="99"/>
      <c r="EJS22" s="99"/>
      <c r="EJT22" s="99"/>
      <c r="EJU22" s="99"/>
      <c r="EJV22" s="99"/>
      <c r="EJW22" s="99"/>
      <c r="EJX22" s="99"/>
      <c r="EJY22" s="99"/>
      <c r="EJZ22" s="99"/>
      <c r="EKA22" s="99"/>
      <c r="EKB22" s="99"/>
      <c r="EKC22" s="99"/>
      <c r="EKD22" s="99"/>
      <c r="EKE22" s="99"/>
      <c r="EKF22" s="99"/>
      <c r="EKG22" s="99"/>
      <c r="EKH22" s="99"/>
      <c r="EKI22" s="99"/>
      <c r="EKJ22" s="99"/>
      <c r="EKK22" s="99"/>
      <c r="EKL22" s="99"/>
      <c r="EKM22" s="99"/>
      <c r="EKN22" s="99"/>
      <c r="EKO22" s="99"/>
      <c r="EKP22" s="99"/>
      <c r="EKQ22" s="99"/>
      <c r="EKR22" s="99"/>
      <c r="EKS22" s="99"/>
      <c r="EKT22" s="99"/>
      <c r="EKU22" s="99"/>
      <c r="EKV22" s="99"/>
      <c r="EKW22" s="99"/>
      <c r="EKX22" s="99"/>
      <c r="EKY22" s="99"/>
      <c r="EKZ22" s="99"/>
      <c r="ELA22" s="99"/>
      <c r="ELB22" s="99"/>
      <c r="ELC22" s="99"/>
      <c r="ELD22" s="99"/>
      <c r="ELE22" s="99"/>
      <c r="ELF22" s="99"/>
      <c r="ELG22" s="99"/>
      <c r="ELH22" s="99"/>
      <c r="ELI22" s="99"/>
      <c r="ELJ22" s="99"/>
      <c r="ELK22" s="99"/>
      <c r="ELL22" s="99"/>
      <c r="ELM22" s="99"/>
      <c r="ELN22" s="99"/>
      <c r="ELO22" s="99"/>
      <c r="ELP22" s="99"/>
      <c r="ELQ22" s="99"/>
      <c r="ELR22" s="99"/>
      <c r="ELS22" s="99"/>
      <c r="ELT22" s="99"/>
      <c r="ELU22" s="99"/>
      <c r="ELV22" s="99"/>
      <c r="ELW22" s="99"/>
      <c r="ELX22" s="99"/>
      <c r="ELY22" s="99"/>
      <c r="ELZ22" s="99"/>
      <c r="EMA22" s="99"/>
      <c r="EMB22" s="99"/>
      <c r="EMC22" s="99"/>
      <c r="EMD22" s="99"/>
      <c r="EME22" s="99"/>
      <c r="EMF22" s="99"/>
      <c r="EMG22" s="99"/>
      <c r="EMH22" s="99"/>
      <c r="EMI22" s="99"/>
      <c r="EMJ22" s="99"/>
      <c r="EMK22" s="99"/>
      <c r="EML22" s="99"/>
      <c r="EMM22" s="99"/>
      <c r="EMN22" s="99"/>
      <c r="EMO22" s="99"/>
      <c r="EMP22" s="99"/>
      <c r="EMQ22" s="99"/>
      <c r="EMR22" s="99"/>
      <c r="EMS22" s="99"/>
      <c r="EMT22" s="99"/>
      <c r="EMU22" s="99"/>
      <c r="EMV22" s="99"/>
      <c r="EMW22" s="99"/>
      <c r="EMX22" s="99"/>
      <c r="EMY22" s="99"/>
      <c r="EMZ22" s="99"/>
      <c r="ENA22" s="99"/>
      <c r="ENB22" s="99"/>
      <c r="ENC22" s="99"/>
      <c r="END22" s="99"/>
      <c r="ENE22" s="99"/>
      <c r="ENF22" s="99"/>
      <c r="ENG22" s="99"/>
      <c r="ENH22" s="99"/>
      <c r="ENI22" s="99"/>
      <c r="ENJ22" s="99"/>
      <c r="ENK22" s="99"/>
      <c r="ENL22" s="99"/>
      <c r="ENM22" s="99"/>
      <c r="ENN22" s="99"/>
      <c r="ENO22" s="99"/>
      <c r="ENP22" s="99"/>
      <c r="ENQ22" s="99"/>
      <c r="ENR22" s="99"/>
      <c r="ENS22" s="99"/>
      <c r="ENT22" s="99"/>
      <c r="ENU22" s="99"/>
      <c r="ENV22" s="99"/>
      <c r="ENW22" s="99"/>
      <c r="ENX22" s="99"/>
      <c r="ENY22" s="99"/>
      <c r="ENZ22" s="99"/>
      <c r="EOA22" s="99"/>
      <c r="EOB22" s="99"/>
      <c r="EOC22" s="99"/>
      <c r="EOD22" s="99"/>
      <c r="EOE22" s="99"/>
      <c r="EOF22" s="99"/>
      <c r="EOG22" s="99"/>
      <c r="EOH22" s="99"/>
      <c r="EOI22" s="99"/>
      <c r="EOJ22" s="99"/>
      <c r="EOK22" s="99"/>
      <c r="EOL22" s="99"/>
      <c r="EOM22" s="99"/>
      <c r="EON22" s="99"/>
      <c r="EOO22" s="99"/>
      <c r="EOP22" s="99"/>
      <c r="EOQ22" s="99"/>
      <c r="EOR22" s="99"/>
      <c r="EOS22" s="99"/>
      <c r="EOT22" s="99"/>
      <c r="EOU22" s="99"/>
      <c r="EOV22" s="99"/>
      <c r="EOW22" s="99"/>
      <c r="EOX22" s="99"/>
      <c r="EOY22" s="99"/>
      <c r="EOZ22" s="99"/>
      <c r="EPA22" s="99"/>
      <c r="EPB22" s="99"/>
      <c r="EPC22" s="99"/>
      <c r="EPD22" s="99"/>
      <c r="EPE22" s="99"/>
      <c r="EPF22" s="99"/>
      <c r="EPG22" s="99"/>
      <c r="EPH22" s="99"/>
      <c r="EPI22" s="99"/>
      <c r="EPJ22" s="99"/>
      <c r="EPK22" s="99"/>
      <c r="EPL22" s="99"/>
      <c r="EPM22" s="99"/>
      <c r="EPN22" s="99"/>
      <c r="EPO22" s="99"/>
      <c r="EPP22" s="99"/>
      <c r="EPQ22" s="99"/>
      <c r="EPR22" s="99"/>
      <c r="EPS22" s="99"/>
      <c r="EPT22" s="99"/>
      <c r="EPU22" s="99"/>
      <c r="EPV22" s="99"/>
      <c r="EPW22" s="99"/>
      <c r="EPX22" s="99"/>
      <c r="EPY22" s="99"/>
      <c r="EPZ22" s="99"/>
      <c r="EQA22" s="99"/>
      <c r="EQB22" s="99"/>
      <c r="EQC22" s="99"/>
      <c r="EQD22" s="99"/>
      <c r="EQE22" s="99"/>
      <c r="EQF22" s="99"/>
      <c r="EQG22" s="99"/>
      <c r="EQH22" s="99"/>
      <c r="EQI22" s="99"/>
      <c r="EQJ22" s="99"/>
      <c r="EQK22" s="99"/>
      <c r="EQL22" s="99"/>
      <c r="EQM22" s="99"/>
      <c r="EQN22" s="99"/>
      <c r="EQO22" s="99"/>
      <c r="EQP22" s="99"/>
      <c r="EQQ22" s="99"/>
      <c r="EQR22" s="99"/>
      <c r="EQS22" s="99"/>
      <c r="EQT22" s="99"/>
      <c r="EQU22" s="99"/>
      <c r="EQV22" s="99"/>
      <c r="EQW22" s="99"/>
      <c r="EQX22" s="99"/>
      <c r="EQY22" s="99"/>
      <c r="EQZ22" s="99"/>
      <c r="ERA22" s="99"/>
      <c r="ERB22" s="99"/>
      <c r="ERC22" s="99"/>
      <c r="ERD22" s="99"/>
      <c r="ERE22" s="99"/>
      <c r="ERF22" s="99"/>
      <c r="ERG22" s="99"/>
      <c r="ERH22" s="99"/>
      <c r="ERI22" s="99"/>
      <c r="ERJ22" s="99"/>
      <c r="ERK22" s="99"/>
      <c r="ERL22" s="99"/>
      <c r="ERM22" s="99"/>
      <c r="ERN22" s="99"/>
      <c r="ERO22" s="99"/>
      <c r="ERP22" s="99"/>
      <c r="ERQ22" s="99"/>
      <c r="ERR22" s="99"/>
      <c r="ERS22" s="99"/>
      <c r="ERT22" s="99"/>
      <c r="ERU22" s="99"/>
      <c r="ERV22" s="99"/>
      <c r="ERW22" s="99"/>
      <c r="ERX22" s="99"/>
      <c r="ERY22" s="99"/>
      <c r="ERZ22" s="99"/>
      <c r="ESA22" s="99"/>
      <c r="ESB22" s="99"/>
      <c r="ESC22" s="99"/>
      <c r="ESD22" s="99"/>
      <c r="ESE22" s="99"/>
      <c r="ESF22" s="99"/>
      <c r="ESG22" s="99"/>
      <c r="ESH22" s="99"/>
      <c r="ESI22" s="99"/>
      <c r="ESJ22" s="99"/>
      <c r="ESK22" s="99"/>
      <c r="ESL22" s="99"/>
      <c r="ESM22" s="99"/>
      <c r="ESN22" s="99"/>
      <c r="ESO22" s="99"/>
      <c r="ESP22" s="99"/>
      <c r="ESQ22" s="99"/>
      <c r="ESR22" s="99"/>
      <c r="ESS22" s="99"/>
      <c r="EST22" s="99"/>
      <c r="ESU22" s="99"/>
      <c r="ESV22" s="99"/>
      <c r="ESW22" s="99"/>
      <c r="ESX22" s="99"/>
      <c r="ESY22" s="99"/>
      <c r="ESZ22" s="99"/>
      <c r="ETA22" s="99"/>
      <c r="ETB22" s="99"/>
      <c r="ETC22" s="99"/>
      <c r="ETD22" s="99"/>
      <c r="ETE22" s="99"/>
      <c r="ETF22" s="99"/>
      <c r="ETG22" s="99"/>
      <c r="ETH22" s="99"/>
      <c r="ETI22" s="99"/>
      <c r="ETJ22" s="99"/>
      <c r="ETK22" s="99"/>
      <c r="ETL22" s="99"/>
      <c r="ETM22" s="99"/>
      <c r="ETN22" s="99"/>
      <c r="ETO22" s="99"/>
      <c r="ETP22" s="99"/>
      <c r="ETQ22" s="99"/>
      <c r="ETR22" s="99"/>
      <c r="ETS22" s="99"/>
      <c r="ETT22" s="99"/>
      <c r="ETU22" s="99"/>
      <c r="ETV22" s="99"/>
      <c r="ETW22" s="99"/>
      <c r="ETX22" s="99"/>
      <c r="ETY22" s="99"/>
      <c r="ETZ22" s="99"/>
      <c r="EUA22" s="99"/>
      <c r="EUB22" s="99"/>
      <c r="EUC22" s="99"/>
      <c r="EUD22" s="99"/>
      <c r="EUE22" s="99"/>
      <c r="EUF22" s="99"/>
      <c r="EUG22" s="99"/>
      <c r="EUH22" s="99"/>
      <c r="EUI22" s="99"/>
      <c r="EUJ22" s="99"/>
      <c r="EUK22" s="99"/>
      <c r="EUL22" s="99"/>
      <c r="EUM22" s="99"/>
      <c r="EUN22" s="99"/>
      <c r="EUO22" s="99"/>
      <c r="EUP22" s="99"/>
      <c r="EUQ22" s="99"/>
      <c r="EUR22" s="99"/>
      <c r="EUS22" s="99"/>
      <c r="EUT22" s="99"/>
      <c r="EUU22" s="99"/>
      <c r="EUV22" s="99"/>
      <c r="EUW22" s="99"/>
      <c r="EUX22" s="99"/>
      <c r="EUY22" s="99"/>
      <c r="EUZ22" s="99"/>
      <c r="EVA22" s="99"/>
      <c r="EVB22" s="99"/>
      <c r="EVC22" s="99"/>
      <c r="EVD22" s="99"/>
      <c r="EVE22" s="99"/>
      <c r="EVF22" s="99"/>
      <c r="EVG22" s="99"/>
      <c r="EVH22" s="99"/>
      <c r="EVI22" s="99"/>
      <c r="EVJ22" s="99"/>
      <c r="EVK22" s="99"/>
      <c r="EVL22" s="99"/>
      <c r="EVM22" s="99"/>
      <c r="EVN22" s="99"/>
      <c r="EVO22" s="99"/>
      <c r="EVP22" s="99"/>
      <c r="EVQ22" s="99"/>
      <c r="EVR22" s="99"/>
      <c r="EVS22" s="99"/>
      <c r="EVT22" s="99"/>
      <c r="EVU22" s="99"/>
      <c r="EVV22" s="99"/>
      <c r="EVW22" s="99"/>
      <c r="EVX22" s="99"/>
      <c r="EVY22" s="99"/>
      <c r="EVZ22" s="99"/>
      <c r="EWA22" s="99"/>
      <c r="EWB22" s="99"/>
      <c r="EWC22" s="99"/>
      <c r="EWD22" s="99"/>
      <c r="EWE22" s="99"/>
      <c r="EWF22" s="99"/>
      <c r="EWG22" s="99"/>
      <c r="EWH22" s="99"/>
      <c r="EWI22" s="99"/>
      <c r="EWJ22" s="99"/>
      <c r="EWK22" s="99"/>
      <c r="EWL22" s="99"/>
      <c r="EWM22" s="99"/>
      <c r="EWN22" s="99"/>
      <c r="EWO22" s="99"/>
      <c r="EWP22" s="99"/>
      <c r="EWQ22" s="99"/>
      <c r="EWR22" s="99"/>
      <c r="EWS22" s="99"/>
      <c r="EWT22" s="99"/>
      <c r="EWU22" s="99"/>
      <c r="EWV22" s="99"/>
      <c r="EWW22" s="99"/>
      <c r="EWX22" s="99"/>
      <c r="EWY22" s="99"/>
      <c r="EWZ22" s="99"/>
      <c r="EXA22" s="99"/>
      <c r="EXB22" s="99"/>
      <c r="EXC22" s="99"/>
      <c r="EXD22" s="99"/>
      <c r="EXE22" s="99"/>
      <c r="EXF22" s="99"/>
      <c r="EXG22" s="99"/>
      <c r="EXH22" s="99"/>
      <c r="EXI22" s="99"/>
      <c r="EXJ22" s="99"/>
      <c r="EXK22" s="99"/>
      <c r="EXL22" s="99"/>
      <c r="EXM22" s="99"/>
      <c r="EXN22" s="99"/>
      <c r="EXO22" s="99"/>
      <c r="EXP22" s="99"/>
      <c r="EXQ22" s="99"/>
      <c r="EXR22" s="99"/>
      <c r="EXS22" s="99"/>
      <c r="EXT22" s="99"/>
      <c r="EXU22" s="99"/>
      <c r="EXV22" s="99"/>
      <c r="EXW22" s="99"/>
      <c r="EXX22" s="99"/>
      <c r="EXY22" s="99"/>
      <c r="EXZ22" s="99"/>
      <c r="EYA22" s="99"/>
      <c r="EYB22" s="99"/>
      <c r="EYC22" s="99"/>
      <c r="EYD22" s="99"/>
      <c r="EYE22" s="99"/>
      <c r="EYF22" s="99"/>
      <c r="EYG22" s="99"/>
      <c r="EYH22" s="99"/>
      <c r="EYI22" s="99"/>
      <c r="EYJ22" s="99"/>
      <c r="EYK22" s="99"/>
      <c r="EYL22" s="99"/>
      <c r="EYM22" s="99"/>
      <c r="EYN22" s="99"/>
      <c r="EYO22" s="99"/>
      <c r="EYP22" s="99"/>
      <c r="EYQ22" s="99"/>
      <c r="EYR22" s="99"/>
      <c r="EYS22" s="99"/>
      <c r="EYT22" s="99"/>
      <c r="EYU22" s="99"/>
      <c r="EYV22" s="99"/>
      <c r="EYW22" s="99"/>
      <c r="EYX22" s="99"/>
      <c r="EYY22" s="99"/>
      <c r="EYZ22" s="99"/>
      <c r="EZA22" s="99"/>
      <c r="EZB22" s="99"/>
      <c r="EZC22" s="99"/>
      <c r="EZD22" s="99"/>
      <c r="EZE22" s="99"/>
      <c r="EZF22" s="99"/>
      <c r="EZG22" s="99"/>
      <c r="EZH22" s="99"/>
      <c r="EZI22" s="99"/>
      <c r="EZJ22" s="99"/>
      <c r="EZK22" s="99"/>
      <c r="EZL22" s="99"/>
      <c r="EZM22" s="99"/>
      <c r="EZN22" s="99"/>
      <c r="EZO22" s="99"/>
      <c r="EZP22" s="99"/>
      <c r="EZQ22" s="99"/>
      <c r="EZR22" s="99"/>
      <c r="EZS22" s="99"/>
      <c r="EZT22" s="99"/>
      <c r="EZU22" s="99"/>
      <c r="EZV22" s="99"/>
      <c r="EZW22" s="99"/>
      <c r="EZX22" s="99"/>
      <c r="EZY22" s="99"/>
      <c r="EZZ22" s="99"/>
      <c r="FAA22" s="99"/>
      <c r="FAB22" s="99"/>
      <c r="FAC22" s="99"/>
      <c r="FAD22" s="99"/>
      <c r="FAE22" s="99"/>
      <c r="FAF22" s="99"/>
      <c r="FAG22" s="99"/>
      <c r="FAH22" s="99"/>
      <c r="FAI22" s="99"/>
      <c r="FAJ22" s="99"/>
      <c r="FAK22" s="99"/>
      <c r="FAL22" s="99"/>
      <c r="FAM22" s="99"/>
      <c r="FAN22" s="99"/>
      <c r="FAO22" s="99"/>
      <c r="FAP22" s="99"/>
      <c r="FAQ22" s="99"/>
      <c r="FAR22" s="99"/>
      <c r="FAS22" s="99"/>
      <c r="FAT22" s="99"/>
      <c r="FAU22" s="99"/>
      <c r="FAV22" s="99"/>
      <c r="FAW22" s="99"/>
      <c r="FAX22" s="99"/>
      <c r="FAY22" s="99"/>
      <c r="FAZ22" s="99"/>
      <c r="FBA22" s="99"/>
      <c r="FBB22" s="99"/>
      <c r="FBC22" s="99"/>
      <c r="FBD22" s="99"/>
      <c r="FBE22" s="99"/>
      <c r="FBF22" s="99"/>
      <c r="FBG22" s="99"/>
      <c r="FBH22" s="99"/>
      <c r="FBI22" s="99"/>
      <c r="FBJ22" s="99"/>
      <c r="FBK22" s="99"/>
      <c r="FBL22" s="99"/>
      <c r="FBM22" s="99"/>
      <c r="FBN22" s="99"/>
      <c r="FBO22" s="99"/>
      <c r="FBP22" s="99"/>
      <c r="FBQ22" s="99"/>
      <c r="FBR22" s="99"/>
      <c r="FBS22" s="99"/>
      <c r="FBT22" s="99"/>
      <c r="FBU22" s="99"/>
      <c r="FBV22" s="99"/>
      <c r="FBW22" s="99"/>
      <c r="FBX22" s="99"/>
      <c r="FBY22" s="99"/>
      <c r="FBZ22" s="99"/>
      <c r="FCA22" s="99"/>
      <c r="FCB22" s="99"/>
      <c r="FCC22" s="99"/>
      <c r="FCD22" s="99"/>
      <c r="FCE22" s="99"/>
      <c r="FCF22" s="99"/>
      <c r="FCG22" s="99"/>
      <c r="FCH22" s="99"/>
      <c r="FCI22" s="99"/>
      <c r="FCJ22" s="99"/>
      <c r="FCK22" s="99"/>
      <c r="FCL22" s="99"/>
      <c r="FCM22" s="99"/>
      <c r="FCN22" s="99"/>
      <c r="FCO22" s="99"/>
      <c r="FCP22" s="99"/>
      <c r="FCQ22" s="99"/>
      <c r="FCR22" s="99"/>
      <c r="FCS22" s="99"/>
      <c r="FCT22" s="99"/>
      <c r="FCU22" s="99"/>
      <c r="FCV22" s="99"/>
      <c r="FCW22" s="99"/>
      <c r="FCX22" s="99"/>
      <c r="FCY22" s="99"/>
      <c r="FCZ22" s="99"/>
      <c r="FDA22" s="99"/>
      <c r="FDB22" s="99"/>
      <c r="FDC22" s="99"/>
      <c r="FDD22" s="99"/>
      <c r="FDE22" s="99"/>
      <c r="FDF22" s="99"/>
      <c r="FDG22" s="99"/>
      <c r="FDH22" s="99"/>
      <c r="FDI22" s="99"/>
      <c r="FDJ22" s="99"/>
      <c r="FDK22" s="99"/>
      <c r="FDL22" s="99"/>
      <c r="FDM22" s="99"/>
      <c r="FDN22" s="99"/>
      <c r="FDO22" s="99"/>
      <c r="FDP22" s="99"/>
      <c r="FDQ22" s="99"/>
      <c r="FDR22" s="99"/>
      <c r="FDS22" s="99"/>
      <c r="FDT22" s="99"/>
      <c r="FDU22" s="99"/>
      <c r="FDV22" s="99"/>
      <c r="FDW22" s="99"/>
      <c r="FDX22" s="99"/>
      <c r="FDY22" s="99"/>
      <c r="FDZ22" s="99"/>
      <c r="FEA22" s="99"/>
      <c r="FEB22" s="99"/>
      <c r="FEC22" s="99"/>
      <c r="FED22" s="99"/>
      <c r="FEE22" s="99"/>
      <c r="FEF22" s="99"/>
      <c r="FEG22" s="99"/>
      <c r="FEH22" s="99"/>
      <c r="FEI22" s="99"/>
      <c r="FEJ22" s="99"/>
      <c r="FEK22" s="99"/>
      <c r="FEL22" s="99"/>
      <c r="FEM22" s="99"/>
      <c r="FEN22" s="99"/>
      <c r="FEO22" s="99"/>
      <c r="FEP22" s="99"/>
      <c r="FEQ22" s="99"/>
      <c r="FER22" s="99"/>
      <c r="FES22" s="99"/>
      <c r="FET22" s="99"/>
      <c r="FEU22" s="99"/>
      <c r="FEV22" s="99"/>
      <c r="FEW22" s="99"/>
      <c r="FEX22" s="99"/>
      <c r="FEY22" s="99"/>
      <c r="FEZ22" s="99"/>
      <c r="FFA22" s="99"/>
      <c r="FFB22" s="99"/>
      <c r="FFC22" s="99"/>
      <c r="FFD22" s="99"/>
      <c r="FFE22" s="99"/>
      <c r="FFF22" s="99"/>
      <c r="FFG22" s="99"/>
      <c r="FFH22" s="99"/>
      <c r="FFI22" s="99"/>
      <c r="FFJ22" s="99"/>
      <c r="FFK22" s="99"/>
      <c r="FFL22" s="99"/>
      <c r="FFM22" s="99"/>
      <c r="FFN22" s="99"/>
      <c r="FFO22" s="99"/>
      <c r="FFP22" s="99"/>
      <c r="FFQ22" s="99"/>
      <c r="FFR22" s="99"/>
      <c r="FFS22" s="99"/>
      <c r="FFT22" s="99"/>
      <c r="FFU22" s="99"/>
      <c r="FFV22" s="99"/>
      <c r="FFW22" s="99"/>
      <c r="FFX22" s="99"/>
      <c r="FFY22" s="99"/>
      <c r="FFZ22" s="99"/>
      <c r="FGA22" s="99"/>
      <c r="FGB22" s="99"/>
      <c r="FGC22" s="99"/>
      <c r="FGD22" s="99"/>
      <c r="FGE22" s="99"/>
      <c r="FGF22" s="99"/>
      <c r="FGG22" s="99"/>
      <c r="FGH22" s="99"/>
      <c r="FGI22" s="99"/>
      <c r="FGJ22" s="99"/>
      <c r="FGK22" s="99"/>
      <c r="FGL22" s="99"/>
      <c r="FGM22" s="99"/>
      <c r="FGN22" s="99"/>
      <c r="FGO22" s="99"/>
      <c r="FGP22" s="99"/>
      <c r="FGQ22" s="99"/>
      <c r="FGR22" s="99"/>
      <c r="FGS22" s="99"/>
      <c r="FGT22" s="99"/>
      <c r="FGU22" s="99"/>
      <c r="FGV22" s="99"/>
      <c r="FGW22" s="99"/>
      <c r="FGX22" s="99"/>
      <c r="FGY22" s="99"/>
      <c r="FGZ22" s="99"/>
      <c r="FHA22" s="99"/>
      <c r="FHB22" s="99"/>
      <c r="FHC22" s="99"/>
      <c r="FHD22" s="99"/>
      <c r="FHE22" s="99"/>
      <c r="FHF22" s="99"/>
      <c r="FHG22" s="99"/>
      <c r="FHH22" s="99"/>
      <c r="FHI22" s="99"/>
      <c r="FHJ22" s="99"/>
      <c r="FHK22" s="99"/>
      <c r="FHL22" s="99"/>
      <c r="FHM22" s="99"/>
      <c r="FHN22" s="99"/>
      <c r="FHO22" s="99"/>
      <c r="FHP22" s="99"/>
      <c r="FHQ22" s="99"/>
      <c r="FHR22" s="99"/>
      <c r="FHS22" s="99"/>
      <c r="FHT22" s="99"/>
      <c r="FHU22" s="99"/>
      <c r="FHV22" s="99"/>
      <c r="FHW22" s="99"/>
      <c r="FHX22" s="99"/>
      <c r="FHY22" s="99"/>
      <c r="FHZ22" s="99"/>
      <c r="FIA22" s="99"/>
      <c r="FIB22" s="99"/>
      <c r="FIC22" s="99"/>
      <c r="FID22" s="99"/>
      <c r="FIE22" s="99"/>
      <c r="FIF22" s="99"/>
      <c r="FIG22" s="99"/>
      <c r="FIH22" s="99"/>
      <c r="FII22" s="99"/>
      <c r="FIJ22" s="99"/>
      <c r="FIK22" s="99"/>
      <c r="FIL22" s="99"/>
      <c r="FIM22" s="99"/>
      <c r="FIN22" s="99"/>
      <c r="FIO22" s="99"/>
      <c r="FIP22" s="99"/>
      <c r="FIQ22" s="99"/>
      <c r="FIR22" s="99"/>
      <c r="FIS22" s="99"/>
      <c r="FIT22" s="99"/>
      <c r="FIU22" s="99"/>
      <c r="FIV22" s="99"/>
      <c r="FIW22" s="99"/>
      <c r="FIX22" s="99"/>
      <c r="FIY22" s="99"/>
      <c r="FIZ22" s="99"/>
      <c r="FJA22" s="99"/>
      <c r="FJB22" s="99"/>
      <c r="FJC22" s="99"/>
      <c r="FJD22" s="99"/>
      <c r="FJE22" s="99"/>
      <c r="FJF22" s="99"/>
      <c r="FJG22" s="99"/>
      <c r="FJH22" s="99"/>
      <c r="FJI22" s="99"/>
      <c r="FJJ22" s="99"/>
      <c r="FJK22" s="99"/>
      <c r="FJL22" s="99"/>
      <c r="FJM22" s="99"/>
      <c r="FJN22" s="99"/>
      <c r="FJO22" s="99"/>
      <c r="FJP22" s="99"/>
      <c r="FJQ22" s="99"/>
      <c r="FJR22" s="99"/>
      <c r="FJS22" s="99"/>
      <c r="FJT22" s="99"/>
      <c r="FJU22" s="99"/>
      <c r="FJV22" s="99"/>
      <c r="FJW22" s="99"/>
      <c r="FJX22" s="99"/>
      <c r="FJY22" s="99"/>
      <c r="FJZ22" s="99"/>
      <c r="FKA22" s="99"/>
      <c r="FKB22" s="99"/>
      <c r="FKC22" s="99"/>
      <c r="FKD22" s="99"/>
      <c r="FKE22" s="99"/>
      <c r="FKF22" s="99"/>
      <c r="FKG22" s="99"/>
      <c r="FKH22" s="99"/>
      <c r="FKI22" s="99"/>
      <c r="FKJ22" s="99"/>
      <c r="FKK22" s="99"/>
      <c r="FKL22" s="99"/>
      <c r="FKM22" s="99"/>
      <c r="FKN22" s="99"/>
      <c r="FKO22" s="99"/>
      <c r="FKP22" s="99"/>
      <c r="FKQ22" s="99"/>
      <c r="FKR22" s="99"/>
      <c r="FKS22" s="99"/>
      <c r="FKT22" s="99"/>
      <c r="FKU22" s="99"/>
      <c r="FKV22" s="99"/>
      <c r="FKW22" s="99"/>
      <c r="FKX22" s="99"/>
      <c r="FKY22" s="99"/>
      <c r="FKZ22" s="99"/>
      <c r="FLA22" s="99"/>
      <c r="FLB22" s="99"/>
      <c r="FLC22" s="99"/>
      <c r="FLD22" s="99"/>
      <c r="FLE22" s="99"/>
      <c r="FLF22" s="99"/>
      <c r="FLG22" s="99"/>
      <c r="FLH22" s="99"/>
      <c r="FLI22" s="99"/>
      <c r="FLJ22" s="99"/>
      <c r="FLK22" s="99"/>
      <c r="FLL22" s="99"/>
      <c r="FLM22" s="99"/>
      <c r="FLN22" s="99"/>
      <c r="FLO22" s="99"/>
      <c r="FLP22" s="99"/>
      <c r="FLQ22" s="99"/>
      <c r="FLR22" s="99"/>
      <c r="FLS22" s="99"/>
      <c r="FLT22" s="99"/>
      <c r="FLU22" s="99"/>
      <c r="FLV22" s="99"/>
      <c r="FLW22" s="99"/>
      <c r="FLX22" s="99"/>
      <c r="FLY22" s="99"/>
      <c r="FLZ22" s="99"/>
      <c r="FMA22" s="99"/>
      <c r="FMB22" s="99"/>
      <c r="FMC22" s="99"/>
      <c r="FMD22" s="99"/>
      <c r="FME22" s="99"/>
      <c r="FMF22" s="99"/>
      <c r="FMG22" s="99"/>
      <c r="FMH22" s="99"/>
      <c r="FMI22" s="99"/>
      <c r="FMJ22" s="99"/>
      <c r="FMK22" s="99"/>
      <c r="FML22" s="99"/>
      <c r="FMM22" s="99"/>
      <c r="FMN22" s="99"/>
      <c r="FMO22" s="99"/>
      <c r="FMP22" s="99"/>
      <c r="FMQ22" s="99"/>
      <c r="FMR22" s="99"/>
      <c r="FMS22" s="99"/>
      <c r="FMT22" s="99"/>
      <c r="FMU22" s="99"/>
      <c r="FMV22" s="99"/>
      <c r="FMW22" s="99"/>
      <c r="FMX22" s="99"/>
      <c r="FMY22" s="99"/>
      <c r="FMZ22" s="99"/>
      <c r="FNA22" s="99"/>
      <c r="FNB22" s="99"/>
      <c r="FNC22" s="99"/>
      <c r="FND22" s="99"/>
      <c r="FNE22" s="99"/>
      <c r="FNF22" s="99"/>
      <c r="FNG22" s="99"/>
      <c r="FNH22" s="99"/>
      <c r="FNI22" s="99"/>
      <c r="FNJ22" s="99"/>
      <c r="FNK22" s="99"/>
      <c r="FNL22" s="99"/>
      <c r="FNM22" s="99"/>
      <c r="FNN22" s="99"/>
      <c r="FNO22" s="99"/>
      <c r="FNP22" s="99"/>
      <c r="FNQ22" s="99"/>
      <c r="FNR22" s="99"/>
      <c r="FNS22" s="99"/>
      <c r="FNT22" s="99"/>
      <c r="FNU22" s="99"/>
      <c r="FNV22" s="99"/>
      <c r="FNW22" s="99"/>
      <c r="FNX22" s="99"/>
      <c r="FNY22" s="99"/>
      <c r="FNZ22" s="99"/>
      <c r="FOA22" s="99"/>
      <c r="FOB22" s="99"/>
      <c r="FOC22" s="99"/>
      <c r="FOD22" s="99"/>
      <c r="FOE22" s="99"/>
      <c r="FOF22" s="99"/>
      <c r="FOG22" s="99"/>
      <c r="FOH22" s="99"/>
      <c r="FOI22" s="99"/>
      <c r="FOJ22" s="99"/>
      <c r="FOK22" s="99"/>
      <c r="FOL22" s="99"/>
      <c r="FOM22" s="99"/>
      <c r="FON22" s="99"/>
      <c r="FOO22" s="99"/>
      <c r="FOP22" s="99"/>
      <c r="FOQ22" s="99"/>
      <c r="FOR22" s="99"/>
      <c r="FOS22" s="99"/>
      <c r="FOT22" s="99"/>
      <c r="FOU22" s="99"/>
      <c r="FOV22" s="99"/>
      <c r="FOW22" s="99"/>
      <c r="FOX22" s="99"/>
      <c r="FOY22" s="99"/>
      <c r="FOZ22" s="99"/>
      <c r="FPA22" s="99"/>
      <c r="FPB22" s="99"/>
      <c r="FPC22" s="99"/>
      <c r="FPD22" s="99"/>
      <c r="FPE22" s="99"/>
      <c r="FPF22" s="99"/>
      <c r="FPG22" s="99"/>
      <c r="FPH22" s="99"/>
      <c r="FPI22" s="99"/>
      <c r="FPJ22" s="99"/>
      <c r="FPK22" s="99"/>
      <c r="FPL22" s="99"/>
      <c r="FPM22" s="99"/>
      <c r="FPN22" s="99"/>
      <c r="FPO22" s="99"/>
      <c r="FPP22" s="99"/>
      <c r="FPQ22" s="99"/>
      <c r="FPR22" s="99"/>
      <c r="FPS22" s="99"/>
      <c r="FPT22" s="99"/>
      <c r="FPU22" s="99"/>
      <c r="FPV22" s="99"/>
      <c r="FPW22" s="99"/>
      <c r="FPX22" s="99"/>
      <c r="FPY22" s="99"/>
      <c r="FPZ22" s="99"/>
      <c r="FQA22" s="99"/>
      <c r="FQB22" s="99"/>
      <c r="FQC22" s="99"/>
      <c r="FQD22" s="99"/>
      <c r="FQE22" s="99"/>
      <c r="FQF22" s="99"/>
      <c r="FQG22" s="99"/>
      <c r="FQH22" s="99"/>
      <c r="FQI22" s="99"/>
      <c r="FQJ22" s="99"/>
      <c r="FQK22" s="99"/>
      <c r="FQL22" s="99"/>
      <c r="FQM22" s="99"/>
      <c r="FQN22" s="99"/>
      <c r="FQO22" s="99"/>
      <c r="FQP22" s="99"/>
      <c r="FQQ22" s="99"/>
      <c r="FQR22" s="99"/>
      <c r="FQS22" s="99"/>
      <c r="FQT22" s="99"/>
      <c r="FQU22" s="99"/>
      <c r="FQV22" s="99"/>
      <c r="FQW22" s="99"/>
      <c r="FQX22" s="99"/>
      <c r="FQY22" s="99"/>
      <c r="FQZ22" s="99"/>
      <c r="FRA22" s="99"/>
      <c r="FRB22" s="99"/>
      <c r="FRC22" s="99"/>
      <c r="FRD22" s="99"/>
      <c r="FRE22" s="99"/>
      <c r="FRF22" s="99"/>
      <c r="FRG22" s="99"/>
      <c r="FRH22" s="99"/>
      <c r="FRI22" s="99"/>
      <c r="FRJ22" s="99"/>
      <c r="FRK22" s="99"/>
      <c r="FRL22" s="99"/>
      <c r="FRM22" s="99"/>
      <c r="FRN22" s="99"/>
      <c r="FRO22" s="99"/>
      <c r="FRP22" s="99"/>
      <c r="FRQ22" s="99"/>
      <c r="FRR22" s="99"/>
      <c r="FRS22" s="99"/>
      <c r="FRT22" s="99"/>
      <c r="FRU22" s="99"/>
      <c r="FRV22" s="99"/>
      <c r="FRW22" s="99"/>
      <c r="FRX22" s="99"/>
      <c r="FRY22" s="99"/>
      <c r="FRZ22" s="99"/>
      <c r="FSA22" s="99"/>
      <c r="FSB22" s="99"/>
      <c r="FSC22" s="99"/>
      <c r="FSD22" s="99"/>
      <c r="FSE22" s="99"/>
      <c r="FSF22" s="99"/>
      <c r="FSG22" s="99"/>
      <c r="FSH22" s="99"/>
      <c r="FSI22" s="99"/>
      <c r="FSJ22" s="99"/>
      <c r="FSK22" s="99"/>
      <c r="FSL22" s="99"/>
      <c r="FSM22" s="99"/>
      <c r="FSN22" s="99"/>
      <c r="FSO22" s="99"/>
      <c r="FSP22" s="99"/>
      <c r="FSQ22" s="99"/>
      <c r="FSR22" s="99"/>
      <c r="FSS22" s="99"/>
      <c r="FST22" s="99"/>
      <c r="FSU22" s="99"/>
      <c r="FSV22" s="99"/>
      <c r="FSW22" s="99"/>
      <c r="FSX22" s="99"/>
      <c r="FSY22" s="99"/>
      <c r="FSZ22" s="99"/>
      <c r="FTA22" s="99"/>
      <c r="FTB22" s="99"/>
      <c r="FTC22" s="99"/>
      <c r="FTD22" s="99"/>
      <c r="FTE22" s="99"/>
      <c r="FTF22" s="99"/>
      <c r="FTG22" s="99"/>
      <c r="FTH22" s="99"/>
      <c r="FTI22" s="99"/>
      <c r="FTJ22" s="99"/>
      <c r="FTK22" s="99"/>
      <c r="FTL22" s="99"/>
      <c r="FTM22" s="99"/>
      <c r="FTN22" s="99"/>
      <c r="FTO22" s="99"/>
      <c r="FTP22" s="99"/>
      <c r="FTQ22" s="99"/>
      <c r="FTR22" s="99"/>
      <c r="FTS22" s="99"/>
      <c r="FTT22" s="99"/>
      <c r="FTU22" s="99"/>
      <c r="FTV22" s="99"/>
      <c r="FTW22" s="99"/>
      <c r="FTX22" s="99"/>
      <c r="FTY22" s="99"/>
      <c r="FTZ22" s="99"/>
      <c r="FUA22" s="99"/>
      <c r="FUB22" s="99"/>
      <c r="FUC22" s="99"/>
      <c r="FUD22" s="99"/>
      <c r="FUE22" s="99"/>
      <c r="FUF22" s="99"/>
      <c r="FUG22" s="99"/>
      <c r="FUH22" s="99"/>
      <c r="FUI22" s="99"/>
      <c r="FUJ22" s="99"/>
      <c r="FUK22" s="99"/>
      <c r="FUL22" s="99"/>
      <c r="FUM22" s="99"/>
      <c r="FUN22" s="99"/>
      <c r="FUO22" s="99"/>
      <c r="FUP22" s="99"/>
      <c r="FUQ22" s="99"/>
      <c r="FUR22" s="99"/>
      <c r="FUS22" s="99"/>
      <c r="FUT22" s="99"/>
      <c r="FUU22" s="99"/>
      <c r="FUV22" s="99"/>
      <c r="FUW22" s="99"/>
      <c r="FUX22" s="99"/>
      <c r="FUY22" s="99"/>
      <c r="FUZ22" s="99"/>
      <c r="FVA22" s="99"/>
      <c r="FVB22" s="99"/>
      <c r="FVC22" s="99"/>
      <c r="FVD22" s="99"/>
      <c r="FVE22" s="99"/>
      <c r="FVF22" s="99"/>
      <c r="FVG22" s="99"/>
      <c r="FVH22" s="99"/>
      <c r="FVI22" s="99"/>
      <c r="FVJ22" s="99"/>
      <c r="FVK22" s="99"/>
      <c r="FVL22" s="99"/>
      <c r="FVM22" s="99"/>
      <c r="FVN22" s="99"/>
      <c r="FVO22" s="99"/>
      <c r="FVP22" s="99"/>
      <c r="FVQ22" s="99"/>
      <c r="FVR22" s="99"/>
      <c r="FVS22" s="99"/>
      <c r="FVT22" s="99"/>
      <c r="FVU22" s="99"/>
      <c r="FVV22" s="99"/>
      <c r="FVW22" s="99"/>
      <c r="FVX22" s="99"/>
      <c r="FVY22" s="99"/>
      <c r="FVZ22" s="99"/>
      <c r="FWA22" s="99"/>
      <c r="FWB22" s="99"/>
      <c r="FWC22" s="99"/>
      <c r="FWD22" s="99"/>
      <c r="FWE22" s="99"/>
      <c r="FWF22" s="99"/>
      <c r="FWG22" s="99"/>
      <c r="FWH22" s="99"/>
      <c r="FWI22" s="99"/>
      <c r="FWJ22" s="99"/>
      <c r="FWK22" s="99"/>
      <c r="FWL22" s="99"/>
      <c r="FWM22" s="99"/>
      <c r="FWN22" s="99"/>
      <c r="FWO22" s="99"/>
      <c r="FWP22" s="99"/>
      <c r="FWQ22" s="99"/>
      <c r="FWR22" s="99"/>
      <c r="FWS22" s="99"/>
      <c r="FWT22" s="99"/>
      <c r="FWU22" s="99"/>
      <c r="FWV22" s="99"/>
      <c r="FWW22" s="99"/>
      <c r="FWX22" s="99"/>
      <c r="FWY22" s="99"/>
      <c r="FWZ22" s="99"/>
      <c r="FXA22" s="99"/>
      <c r="FXB22" s="99"/>
      <c r="FXC22" s="99"/>
      <c r="FXD22" s="99"/>
      <c r="FXE22" s="99"/>
      <c r="FXF22" s="99"/>
      <c r="FXG22" s="99"/>
      <c r="FXH22" s="99"/>
      <c r="FXI22" s="99"/>
      <c r="FXJ22" s="99"/>
      <c r="FXK22" s="99"/>
      <c r="FXL22" s="99"/>
      <c r="FXM22" s="99"/>
      <c r="FXN22" s="99"/>
      <c r="FXO22" s="99"/>
      <c r="FXP22" s="99"/>
      <c r="FXQ22" s="99"/>
      <c r="FXR22" s="99"/>
      <c r="FXS22" s="99"/>
      <c r="FXT22" s="99"/>
      <c r="FXU22" s="99"/>
      <c r="FXV22" s="99"/>
      <c r="FXW22" s="99"/>
      <c r="FXX22" s="99"/>
      <c r="FXY22" s="99"/>
      <c r="FXZ22" s="99"/>
      <c r="FYA22" s="99"/>
      <c r="FYB22" s="99"/>
      <c r="FYC22" s="99"/>
      <c r="FYD22" s="99"/>
      <c r="FYE22" s="99"/>
      <c r="FYF22" s="99"/>
      <c r="FYG22" s="99"/>
      <c r="FYH22" s="99"/>
      <c r="FYI22" s="99"/>
      <c r="FYJ22" s="99"/>
      <c r="FYK22" s="99"/>
      <c r="FYL22" s="99"/>
      <c r="FYM22" s="99"/>
      <c r="FYN22" s="99"/>
      <c r="FYO22" s="99"/>
      <c r="FYP22" s="99"/>
      <c r="FYQ22" s="99"/>
      <c r="FYR22" s="99"/>
      <c r="FYS22" s="99"/>
      <c r="FYT22" s="99"/>
      <c r="FYU22" s="99"/>
      <c r="FYV22" s="99"/>
      <c r="FYW22" s="99"/>
      <c r="FYX22" s="99"/>
      <c r="FYY22" s="99"/>
      <c r="FYZ22" s="99"/>
      <c r="FZA22" s="99"/>
      <c r="FZB22" s="99"/>
      <c r="FZC22" s="99"/>
      <c r="FZD22" s="99"/>
      <c r="FZE22" s="99"/>
      <c r="FZF22" s="99"/>
      <c r="FZG22" s="99"/>
      <c r="FZH22" s="99"/>
      <c r="FZI22" s="99"/>
      <c r="FZJ22" s="99"/>
      <c r="FZK22" s="99"/>
      <c r="FZL22" s="99"/>
      <c r="FZM22" s="99"/>
      <c r="FZN22" s="99"/>
      <c r="FZO22" s="99"/>
      <c r="FZP22" s="99"/>
      <c r="FZQ22" s="99"/>
      <c r="FZR22" s="99"/>
      <c r="FZS22" s="99"/>
      <c r="FZT22" s="99"/>
      <c r="FZU22" s="99"/>
      <c r="FZV22" s="99"/>
      <c r="FZW22" s="99"/>
      <c r="FZX22" s="99"/>
      <c r="FZY22" s="99"/>
      <c r="FZZ22" s="99"/>
      <c r="GAA22" s="99"/>
      <c r="GAB22" s="99"/>
      <c r="GAC22" s="99"/>
      <c r="GAD22" s="99"/>
      <c r="GAE22" s="99"/>
      <c r="GAF22" s="99"/>
      <c r="GAG22" s="99"/>
      <c r="GAH22" s="99"/>
      <c r="GAI22" s="99"/>
      <c r="GAJ22" s="99"/>
      <c r="GAK22" s="99"/>
      <c r="GAL22" s="99"/>
      <c r="GAM22" s="99"/>
      <c r="GAN22" s="99"/>
      <c r="GAO22" s="99"/>
      <c r="GAP22" s="99"/>
      <c r="GAQ22" s="99"/>
      <c r="GAR22" s="99"/>
      <c r="GAS22" s="99"/>
      <c r="GAT22" s="99"/>
      <c r="GAU22" s="99"/>
      <c r="GAV22" s="99"/>
      <c r="GAW22" s="99"/>
      <c r="GAX22" s="99"/>
      <c r="GAY22" s="99"/>
      <c r="GAZ22" s="99"/>
      <c r="GBA22" s="99"/>
      <c r="GBB22" s="99"/>
      <c r="GBC22" s="99"/>
      <c r="GBD22" s="99"/>
      <c r="GBE22" s="99"/>
      <c r="GBF22" s="99"/>
      <c r="GBG22" s="99"/>
      <c r="GBH22" s="99"/>
      <c r="GBI22" s="99"/>
      <c r="GBJ22" s="99"/>
      <c r="GBK22" s="99"/>
      <c r="GBL22" s="99"/>
      <c r="GBM22" s="99"/>
      <c r="GBN22" s="99"/>
      <c r="GBO22" s="99"/>
      <c r="GBP22" s="99"/>
      <c r="GBQ22" s="99"/>
      <c r="GBR22" s="99"/>
      <c r="GBS22" s="99"/>
      <c r="GBT22" s="99"/>
      <c r="GBU22" s="99"/>
      <c r="GBV22" s="99"/>
      <c r="GBW22" s="99"/>
      <c r="GBX22" s="99"/>
      <c r="GBY22" s="99"/>
      <c r="GBZ22" s="99"/>
      <c r="GCA22" s="99"/>
      <c r="GCB22" s="99"/>
      <c r="GCC22" s="99"/>
      <c r="GCD22" s="99"/>
      <c r="GCE22" s="99"/>
      <c r="GCF22" s="99"/>
      <c r="GCG22" s="99"/>
      <c r="GCH22" s="99"/>
      <c r="GCI22" s="99"/>
      <c r="GCJ22" s="99"/>
      <c r="GCK22" s="99"/>
      <c r="GCL22" s="99"/>
      <c r="GCM22" s="99"/>
      <c r="GCN22" s="99"/>
      <c r="GCO22" s="99"/>
      <c r="GCP22" s="99"/>
      <c r="GCQ22" s="99"/>
      <c r="GCR22" s="99"/>
      <c r="GCS22" s="99"/>
      <c r="GCT22" s="99"/>
      <c r="GCU22" s="99"/>
      <c r="GCV22" s="99"/>
      <c r="GCW22" s="99"/>
      <c r="GCX22" s="99"/>
      <c r="GCY22" s="99"/>
      <c r="GCZ22" s="99"/>
      <c r="GDA22" s="99"/>
      <c r="GDB22" s="99"/>
      <c r="GDC22" s="99"/>
      <c r="GDD22" s="99"/>
      <c r="GDE22" s="99"/>
      <c r="GDF22" s="99"/>
      <c r="GDG22" s="99"/>
      <c r="GDH22" s="99"/>
      <c r="GDI22" s="99"/>
      <c r="GDJ22" s="99"/>
      <c r="GDK22" s="99"/>
      <c r="GDL22" s="99"/>
      <c r="GDM22" s="99"/>
      <c r="GDN22" s="99"/>
      <c r="GDO22" s="99"/>
      <c r="GDP22" s="99"/>
      <c r="GDQ22" s="99"/>
      <c r="GDR22" s="99"/>
      <c r="GDS22" s="99"/>
      <c r="GDT22" s="99"/>
      <c r="GDU22" s="99"/>
      <c r="GDV22" s="99"/>
      <c r="GDW22" s="99"/>
      <c r="GDX22" s="99"/>
      <c r="GDY22" s="99"/>
      <c r="GDZ22" s="99"/>
      <c r="GEA22" s="99"/>
      <c r="GEB22" s="99"/>
      <c r="GEC22" s="99"/>
      <c r="GED22" s="99"/>
      <c r="GEE22" s="99"/>
      <c r="GEF22" s="99"/>
      <c r="GEG22" s="99"/>
      <c r="GEH22" s="99"/>
      <c r="GEI22" s="99"/>
      <c r="GEJ22" s="99"/>
      <c r="GEK22" s="99"/>
      <c r="GEL22" s="99"/>
      <c r="GEM22" s="99"/>
      <c r="GEN22" s="99"/>
      <c r="GEO22" s="99"/>
      <c r="GEP22" s="99"/>
      <c r="GEQ22" s="99"/>
      <c r="GER22" s="99"/>
      <c r="GES22" s="99"/>
      <c r="GET22" s="99"/>
      <c r="GEU22" s="99"/>
      <c r="GEV22" s="99"/>
      <c r="GEW22" s="99"/>
      <c r="GEX22" s="99"/>
      <c r="GEY22" s="99"/>
      <c r="GEZ22" s="99"/>
      <c r="GFA22" s="99"/>
      <c r="GFB22" s="99"/>
      <c r="GFC22" s="99"/>
      <c r="GFD22" s="99"/>
      <c r="GFE22" s="99"/>
      <c r="GFF22" s="99"/>
      <c r="GFG22" s="99"/>
      <c r="GFH22" s="99"/>
      <c r="GFI22" s="99"/>
      <c r="GFJ22" s="99"/>
      <c r="GFK22" s="99"/>
      <c r="GFL22" s="99"/>
      <c r="GFM22" s="99"/>
      <c r="GFN22" s="99"/>
      <c r="GFO22" s="99"/>
      <c r="GFP22" s="99"/>
      <c r="GFQ22" s="99"/>
      <c r="GFR22" s="99"/>
      <c r="GFS22" s="99"/>
      <c r="GFT22" s="99"/>
      <c r="GFU22" s="99"/>
      <c r="GFV22" s="99"/>
      <c r="GFW22" s="99"/>
      <c r="GFX22" s="99"/>
      <c r="GFY22" s="99"/>
      <c r="GFZ22" s="99"/>
      <c r="GGA22" s="99"/>
      <c r="GGB22" s="99"/>
      <c r="GGC22" s="99"/>
      <c r="GGD22" s="99"/>
      <c r="GGE22" s="99"/>
      <c r="GGF22" s="99"/>
      <c r="GGG22" s="99"/>
      <c r="GGH22" s="99"/>
      <c r="GGI22" s="99"/>
      <c r="GGJ22" s="99"/>
      <c r="GGK22" s="99"/>
      <c r="GGL22" s="99"/>
      <c r="GGM22" s="99"/>
      <c r="GGN22" s="99"/>
      <c r="GGO22" s="99"/>
      <c r="GGP22" s="99"/>
      <c r="GGQ22" s="99"/>
      <c r="GGR22" s="99"/>
      <c r="GGS22" s="99"/>
      <c r="GGT22" s="99"/>
      <c r="GGU22" s="99"/>
      <c r="GGV22" s="99"/>
      <c r="GGW22" s="99"/>
      <c r="GGX22" s="99"/>
      <c r="GGY22" s="99"/>
      <c r="GGZ22" s="99"/>
      <c r="GHA22" s="99"/>
      <c r="GHB22" s="99"/>
      <c r="GHC22" s="99"/>
      <c r="GHD22" s="99"/>
      <c r="GHE22" s="99"/>
      <c r="GHF22" s="99"/>
      <c r="GHG22" s="99"/>
      <c r="GHH22" s="99"/>
      <c r="GHI22" s="99"/>
      <c r="GHJ22" s="99"/>
      <c r="GHK22" s="99"/>
      <c r="GHL22" s="99"/>
      <c r="GHM22" s="99"/>
      <c r="GHN22" s="99"/>
      <c r="GHO22" s="99"/>
      <c r="GHP22" s="99"/>
      <c r="GHQ22" s="99"/>
      <c r="GHR22" s="99"/>
      <c r="GHS22" s="99"/>
      <c r="GHT22" s="99"/>
      <c r="GHU22" s="99"/>
      <c r="GHV22" s="99"/>
      <c r="GHW22" s="99"/>
      <c r="GHX22" s="99"/>
      <c r="GHY22" s="99"/>
      <c r="GHZ22" s="99"/>
      <c r="GIA22" s="99"/>
      <c r="GIB22" s="99"/>
      <c r="GIC22" s="99"/>
      <c r="GID22" s="99"/>
      <c r="GIE22" s="99"/>
      <c r="GIF22" s="99"/>
      <c r="GIG22" s="99"/>
      <c r="GIH22" s="99"/>
      <c r="GII22" s="99"/>
      <c r="GIJ22" s="99"/>
      <c r="GIK22" s="99"/>
      <c r="GIL22" s="99"/>
      <c r="GIM22" s="99"/>
      <c r="GIN22" s="99"/>
      <c r="GIO22" s="99"/>
      <c r="GIP22" s="99"/>
      <c r="GIQ22" s="99"/>
      <c r="GIR22" s="99"/>
      <c r="GIS22" s="99"/>
      <c r="GIT22" s="99"/>
      <c r="GIU22" s="99"/>
      <c r="GIV22" s="99"/>
      <c r="GIW22" s="99"/>
      <c r="GIX22" s="99"/>
      <c r="GIY22" s="99"/>
      <c r="GIZ22" s="99"/>
      <c r="GJA22" s="99"/>
      <c r="GJB22" s="99"/>
      <c r="GJC22" s="99"/>
      <c r="GJD22" s="99"/>
      <c r="GJE22" s="99"/>
      <c r="GJF22" s="99"/>
      <c r="GJG22" s="99"/>
      <c r="GJH22" s="99"/>
      <c r="GJI22" s="99"/>
      <c r="GJJ22" s="99"/>
      <c r="GJK22" s="99"/>
      <c r="GJL22" s="99"/>
      <c r="GJM22" s="99"/>
      <c r="GJN22" s="99"/>
      <c r="GJO22" s="99"/>
      <c r="GJP22" s="99"/>
      <c r="GJQ22" s="99"/>
      <c r="GJR22" s="99"/>
      <c r="GJS22" s="99"/>
      <c r="GJT22" s="99"/>
      <c r="GJU22" s="99"/>
      <c r="GJV22" s="99"/>
      <c r="GJW22" s="99"/>
      <c r="GJX22" s="99"/>
      <c r="GJY22" s="99"/>
      <c r="GJZ22" s="99"/>
      <c r="GKA22" s="99"/>
      <c r="GKB22" s="99"/>
      <c r="GKC22" s="99"/>
      <c r="GKD22" s="99"/>
      <c r="GKE22" s="99"/>
      <c r="GKF22" s="99"/>
      <c r="GKG22" s="99"/>
      <c r="GKH22" s="99"/>
      <c r="GKI22" s="99"/>
      <c r="GKJ22" s="99"/>
      <c r="GKK22" s="99"/>
      <c r="GKL22" s="99"/>
      <c r="GKM22" s="99"/>
      <c r="GKN22" s="99"/>
      <c r="GKO22" s="99"/>
      <c r="GKP22" s="99"/>
      <c r="GKQ22" s="99"/>
      <c r="GKR22" s="99"/>
      <c r="GKS22" s="99"/>
      <c r="GKT22" s="99"/>
      <c r="GKU22" s="99"/>
      <c r="GKV22" s="99"/>
      <c r="GKW22" s="99"/>
      <c r="GKX22" s="99"/>
      <c r="GKY22" s="99"/>
      <c r="GKZ22" s="99"/>
      <c r="GLA22" s="99"/>
      <c r="GLB22" s="99"/>
      <c r="GLC22" s="99"/>
      <c r="GLD22" s="99"/>
      <c r="GLE22" s="99"/>
      <c r="GLF22" s="99"/>
      <c r="GLG22" s="99"/>
      <c r="GLH22" s="99"/>
      <c r="GLI22" s="99"/>
      <c r="GLJ22" s="99"/>
      <c r="GLK22" s="99"/>
      <c r="GLL22" s="99"/>
      <c r="GLM22" s="99"/>
      <c r="GLN22" s="99"/>
      <c r="GLO22" s="99"/>
      <c r="GLP22" s="99"/>
      <c r="GLQ22" s="99"/>
      <c r="GLR22" s="99"/>
      <c r="GLS22" s="99"/>
      <c r="GLT22" s="99"/>
      <c r="GLU22" s="99"/>
      <c r="GLV22" s="99"/>
      <c r="GLW22" s="99"/>
      <c r="GLX22" s="99"/>
      <c r="GLY22" s="99"/>
      <c r="GLZ22" s="99"/>
      <c r="GMA22" s="99"/>
      <c r="GMB22" s="99"/>
      <c r="GMC22" s="99"/>
      <c r="GMD22" s="99"/>
      <c r="GME22" s="99"/>
      <c r="GMF22" s="99"/>
      <c r="GMG22" s="99"/>
      <c r="GMH22" s="99"/>
      <c r="GMI22" s="99"/>
      <c r="GMJ22" s="99"/>
      <c r="GMK22" s="99"/>
      <c r="GML22" s="99"/>
      <c r="GMM22" s="99"/>
      <c r="GMN22" s="99"/>
      <c r="GMO22" s="99"/>
      <c r="GMP22" s="99"/>
      <c r="GMQ22" s="99"/>
      <c r="GMR22" s="99"/>
      <c r="GMS22" s="99"/>
      <c r="GMT22" s="99"/>
      <c r="GMU22" s="99"/>
      <c r="GMV22" s="99"/>
      <c r="GMW22" s="99"/>
      <c r="GMX22" s="99"/>
      <c r="GMY22" s="99"/>
      <c r="GMZ22" s="99"/>
      <c r="GNA22" s="99"/>
      <c r="GNB22" s="99"/>
      <c r="GNC22" s="99"/>
      <c r="GND22" s="99"/>
      <c r="GNE22" s="99"/>
      <c r="GNF22" s="99"/>
      <c r="GNG22" s="99"/>
      <c r="GNH22" s="99"/>
      <c r="GNI22" s="99"/>
      <c r="GNJ22" s="99"/>
      <c r="GNK22" s="99"/>
      <c r="GNL22" s="99"/>
      <c r="GNM22" s="99"/>
      <c r="GNN22" s="99"/>
      <c r="GNO22" s="99"/>
      <c r="GNP22" s="99"/>
      <c r="GNQ22" s="99"/>
      <c r="GNR22" s="99"/>
      <c r="GNS22" s="99"/>
      <c r="GNT22" s="99"/>
      <c r="GNU22" s="99"/>
      <c r="GNV22" s="99"/>
      <c r="GNW22" s="99"/>
      <c r="GNX22" s="99"/>
      <c r="GNY22" s="99"/>
      <c r="GNZ22" s="99"/>
      <c r="GOA22" s="99"/>
      <c r="GOB22" s="99"/>
      <c r="GOC22" s="99"/>
      <c r="GOD22" s="99"/>
      <c r="GOE22" s="99"/>
      <c r="GOF22" s="99"/>
      <c r="GOG22" s="99"/>
      <c r="GOH22" s="99"/>
      <c r="GOI22" s="99"/>
      <c r="GOJ22" s="99"/>
      <c r="GOK22" s="99"/>
      <c r="GOL22" s="99"/>
      <c r="GOM22" s="99"/>
      <c r="GON22" s="99"/>
      <c r="GOO22" s="99"/>
      <c r="GOP22" s="99"/>
      <c r="GOQ22" s="99"/>
      <c r="GOR22" s="99"/>
      <c r="GOS22" s="99"/>
      <c r="GOT22" s="99"/>
      <c r="GOU22" s="99"/>
      <c r="GOV22" s="99"/>
      <c r="GOW22" s="99"/>
      <c r="GOX22" s="99"/>
      <c r="GOY22" s="99"/>
      <c r="GOZ22" s="99"/>
      <c r="GPA22" s="99"/>
      <c r="GPB22" s="99"/>
      <c r="GPC22" s="99"/>
      <c r="GPD22" s="99"/>
      <c r="GPE22" s="99"/>
      <c r="GPF22" s="99"/>
      <c r="GPG22" s="99"/>
      <c r="GPH22" s="99"/>
      <c r="GPI22" s="99"/>
      <c r="GPJ22" s="99"/>
      <c r="GPK22" s="99"/>
      <c r="GPL22" s="99"/>
      <c r="GPM22" s="99"/>
      <c r="GPN22" s="99"/>
      <c r="GPO22" s="99"/>
      <c r="GPP22" s="99"/>
      <c r="GPQ22" s="99"/>
      <c r="GPR22" s="99"/>
      <c r="GPS22" s="99"/>
      <c r="GPT22" s="99"/>
      <c r="GPU22" s="99"/>
      <c r="GPV22" s="99"/>
      <c r="GPW22" s="99"/>
      <c r="GPX22" s="99"/>
      <c r="GPY22" s="99"/>
      <c r="GPZ22" s="99"/>
      <c r="GQA22" s="99"/>
      <c r="GQB22" s="99"/>
      <c r="GQC22" s="99"/>
      <c r="GQD22" s="99"/>
      <c r="GQE22" s="99"/>
      <c r="GQF22" s="99"/>
      <c r="GQG22" s="99"/>
      <c r="GQH22" s="99"/>
      <c r="GQI22" s="99"/>
      <c r="GQJ22" s="99"/>
      <c r="GQK22" s="99"/>
      <c r="GQL22" s="99"/>
      <c r="GQM22" s="99"/>
      <c r="GQN22" s="99"/>
      <c r="GQO22" s="99"/>
      <c r="GQP22" s="99"/>
      <c r="GQQ22" s="99"/>
      <c r="GQR22" s="99"/>
      <c r="GQS22" s="99"/>
      <c r="GQT22" s="99"/>
      <c r="GQU22" s="99"/>
      <c r="GQV22" s="99"/>
      <c r="GQW22" s="99"/>
      <c r="GQX22" s="99"/>
      <c r="GQY22" s="99"/>
      <c r="GQZ22" s="99"/>
      <c r="GRA22" s="99"/>
      <c r="GRB22" s="99"/>
      <c r="GRC22" s="99"/>
      <c r="GRD22" s="99"/>
      <c r="GRE22" s="99"/>
      <c r="GRF22" s="99"/>
      <c r="GRG22" s="99"/>
      <c r="GRH22" s="99"/>
      <c r="GRI22" s="99"/>
      <c r="GRJ22" s="99"/>
      <c r="GRK22" s="99"/>
      <c r="GRL22" s="99"/>
      <c r="GRM22" s="99"/>
      <c r="GRN22" s="99"/>
      <c r="GRO22" s="99"/>
      <c r="GRP22" s="99"/>
      <c r="GRQ22" s="99"/>
      <c r="GRR22" s="99"/>
      <c r="GRS22" s="99"/>
      <c r="GRT22" s="99"/>
      <c r="GRU22" s="99"/>
      <c r="GRV22" s="99"/>
      <c r="GRW22" s="99"/>
      <c r="GRX22" s="99"/>
      <c r="GRY22" s="99"/>
      <c r="GRZ22" s="99"/>
      <c r="GSA22" s="99"/>
      <c r="GSB22" s="99"/>
      <c r="GSC22" s="99"/>
      <c r="GSD22" s="99"/>
      <c r="GSE22" s="99"/>
      <c r="GSF22" s="99"/>
      <c r="GSG22" s="99"/>
      <c r="GSH22" s="99"/>
      <c r="GSI22" s="99"/>
      <c r="GSJ22" s="99"/>
      <c r="GSK22" s="99"/>
      <c r="GSL22" s="99"/>
      <c r="GSM22" s="99"/>
      <c r="GSN22" s="99"/>
      <c r="GSO22" s="99"/>
      <c r="GSP22" s="99"/>
      <c r="GSQ22" s="99"/>
      <c r="GSR22" s="99"/>
      <c r="GSS22" s="99"/>
      <c r="GST22" s="99"/>
      <c r="GSU22" s="99"/>
      <c r="GSV22" s="99"/>
      <c r="GSW22" s="99"/>
      <c r="GSX22" s="99"/>
      <c r="GSY22" s="99"/>
      <c r="GSZ22" s="99"/>
      <c r="GTA22" s="99"/>
      <c r="GTB22" s="99"/>
      <c r="GTC22" s="99"/>
      <c r="GTD22" s="99"/>
      <c r="GTE22" s="99"/>
      <c r="GTF22" s="99"/>
      <c r="GTG22" s="99"/>
      <c r="GTH22" s="99"/>
      <c r="GTI22" s="99"/>
      <c r="GTJ22" s="99"/>
      <c r="GTK22" s="99"/>
      <c r="GTL22" s="99"/>
      <c r="GTM22" s="99"/>
      <c r="GTN22" s="99"/>
      <c r="GTO22" s="99"/>
      <c r="GTP22" s="99"/>
      <c r="GTQ22" s="99"/>
      <c r="GTR22" s="99"/>
      <c r="GTS22" s="99"/>
      <c r="GTT22" s="99"/>
      <c r="GTU22" s="99"/>
      <c r="GTV22" s="99"/>
      <c r="GTW22" s="99"/>
      <c r="GTX22" s="99"/>
      <c r="GTY22" s="99"/>
      <c r="GTZ22" s="99"/>
      <c r="GUA22" s="99"/>
      <c r="GUB22" s="99"/>
      <c r="GUC22" s="99"/>
      <c r="GUD22" s="99"/>
      <c r="GUE22" s="99"/>
      <c r="GUF22" s="99"/>
      <c r="GUG22" s="99"/>
      <c r="GUH22" s="99"/>
      <c r="GUI22" s="99"/>
      <c r="GUJ22" s="99"/>
      <c r="GUK22" s="99"/>
      <c r="GUL22" s="99"/>
      <c r="GUM22" s="99"/>
      <c r="GUN22" s="99"/>
      <c r="GUO22" s="99"/>
      <c r="GUP22" s="99"/>
      <c r="GUQ22" s="99"/>
      <c r="GUR22" s="99"/>
      <c r="GUS22" s="99"/>
      <c r="GUT22" s="99"/>
      <c r="GUU22" s="99"/>
      <c r="GUV22" s="99"/>
      <c r="GUW22" s="99"/>
      <c r="GUX22" s="99"/>
      <c r="GUY22" s="99"/>
      <c r="GUZ22" s="99"/>
      <c r="GVA22" s="99"/>
      <c r="GVB22" s="99"/>
      <c r="GVC22" s="99"/>
      <c r="GVD22" s="99"/>
      <c r="GVE22" s="99"/>
      <c r="GVF22" s="99"/>
      <c r="GVG22" s="99"/>
      <c r="GVH22" s="99"/>
      <c r="GVI22" s="99"/>
      <c r="GVJ22" s="99"/>
      <c r="GVK22" s="99"/>
      <c r="GVL22" s="99"/>
      <c r="GVM22" s="99"/>
      <c r="GVN22" s="99"/>
      <c r="GVO22" s="99"/>
      <c r="GVP22" s="99"/>
      <c r="GVQ22" s="99"/>
      <c r="GVR22" s="99"/>
      <c r="GVS22" s="99"/>
      <c r="GVT22" s="99"/>
      <c r="GVU22" s="99"/>
      <c r="GVV22" s="99"/>
      <c r="GVW22" s="99"/>
      <c r="GVX22" s="99"/>
      <c r="GVY22" s="99"/>
      <c r="GVZ22" s="99"/>
      <c r="GWA22" s="99"/>
      <c r="GWB22" s="99"/>
      <c r="GWC22" s="99"/>
      <c r="GWD22" s="99"/>
      <c r="GWE22" s="99"/>
      <c r="GWF22" s="99"/>
      <c r="GWG22" s="99"/>
      <c r="GWH22" s="99"/>
      <c r="GWI22" s="99"/>
      <c r="GWJ22" s="99"/>
      <c r="GWK22" s="99"/>
      <c r="GWL22" s="99"/>
      <c r="GWM22" s="99"/>
      <c r="GWN22" s="99"/>
      <c r="GWO22" s="99"/>
      <c r="GWP22" s="99"/>
      <c r="GWQ22" s="99"/>
      <c r="GWR22" s="99"/>
      <c r="GWS22" s="99"/>
      <c r="GWT22" s="99"/>
      <c r="GWU22" s="99"/>
      <c r="GWV22" s="99"/>
      <c r="GWW22" s="99"/>
      <c r="GWX22" s="99"/>
      <c r="GWY22" s="99"/>
      <c r="GWZ22" s="99"/>
      <c r="GXA22" s="99"/>
      <c r="GXB22" s="99"/>
      <c r="GXC22" s="99"/>
      <c r="GXD22" s="99"/>
      <c r="GXE22" s="99"/>
      <c r="GXF22" s="99"/>
      <c r="GXG22" s="99"/>
      <c r="GXH22" s="99"/>
      <c r="GXI22" s="99"/>
      <c r="GXJ22" s="99"/>
      <c r="GXK22" s="99"/>
      <c r="GXL22" s="99"/>
      <c r="GXM22" s="99"/>
      <c r="GXN22" s="99"/>
      <c r="GXO22" s="99"/>
      <c r="GXP22" s="99"/>
      <c r="GXQ22" s="99"/>
      <c r="GXR22" s="99"/>
      <c r="GXS22" s="99"/>
      <c r="GXT22" s="99"/>
      <c r="GXU22" s="99"/>
      <c r="GXV22" s="99"/>
      <c r="GXW22" s="99"/>
      <c r="GXX22" s="99"/>
      <c r="GXY22" s="99"/>
      <c r="GXZ22" s="99"/>
      <c r="GYA22" s="99"/>
      <c r="GYB22" s="99"/>
      <c r="GYC22" s="99"/>
      <c r="GYD22" s="99"/>
      <c r="GYE22" s="99"/>
      <c r="GYF22" s="99"/>
      <c r="GYG22" s="99"/>
      <c r="GYH22" s="99"/>
      <c r="GYI22" s="99"/>
      <c r="GYJ22" s="99"/>
      <c r="GYK22" s="99"/>
      <c r="GYL22" s="99"/>
      <c r="GYM22" s="99"/>
      <c r="GYN22" s="99"/>
      <c r="GYO22" s="99"/>
      <c r="GYP22" s="99"/>
      <c r="GYQ22" s="99"/>
      <c r="GYR22" s="99"/>
      <c r="GYS22" s="99"/>
      <c r="GYT22" s="99"/>
      <c r="GYU22" s="99"/>
      <c r="GYV22" s="99"/>
      <c r="GYW22" s="99"/>
      <c r="GYX22" s="99"/>
      <c r="GYY22" s="99"/>
      <c r="GYZ22" s="99"/>
      <c r="GZA22" s="99"/>
      <c r="GZB22" s="99"/>
      <c r="GZC22" s="99"/>
      <c r="GZD22" s="99"/>
      <c r="GZE22" s="99"/>
      <c r="GZF22" s="99"/>
      <c r="GZG22" s="99"/>
      <c r="GZH22" s="99"/>
      <c r="GZI22" s="99"/>
      <c r="GZJ22" s="99"/>
      <c r="GZK22" s="99"/>
      <c r="GZL22" s="99"/>
      <c r="GZM22" s="99"/>
      <c r="GZN22" s="99"/>
      <c r="GZO22" s="99"/>
      <c r="GZP22" s="99"/>
      <c r="GZQ22" s="99"/>
      <c r="GZR22" s="99"/>
      <c r="GZS22" s="99"/>
      <c r="GZT22" s="99"/>
      <c r="GZU22" s="99"/>
      <c r="GZV22" s="99"/>
      <c r="GZW22" s="99"/>
      <c r="GZX22" s="99"/>
      <c r="GZY22" s="99"/>
      <c r="GZZ22" s="99"/>
      <c r="HAA22" s="99"/>
      <c r="HAB22" s="99"/>
      <c r="HAC22" s="99"/>
      <c r="HAD22" s="99"/>
      <c r="HAE22" s="99"/>
      <c r="HAF22" s="99"/>
      <c r="HAG22" s="99"/>
      <c r="HAH22" s="99"/>
      <c r="HAI22" s="99"/>
      <c r="HAJ22" s="99"/>
      <c r="HAK22" s="99"/>
      <c r="HAL22" s="99"/>
      <c r="HAM22" s="99"/>
      <c r="HAN22" s="99"/>
      <c r="HAO22" s="99"/>
      <c r="HAP22" s="99"/>
      <c r="HAQ22" s="99"/>
      <c r="HAR22" s="99"/>
      <c r="HAS22" s="99"/>
      <c r="HAT22" s="99"/>
      <c r="HAU22" s="99"/>
      <c r="HAV22" s="99"/>
      <c r="HAW22" s="99"/>
      <c r="HAX22" s="99"/>
      <c r="HAY22" s="99"/>
      <c r="HAZ22" s="99"/>
      <c r="HBA22" s="99"/>
      <c r="HBB22" s="99"/>
      <c r="HBC22" s="99"/>
      <c r="HBD22" s="99"/>
      <c r="HBE22" s="99"/>
      <c r="HBF22" s="99"/>
      <c r="HBG22" s="99"/>
      <c r="HBH22" s="99"/>
      <c r="HBI22" s="99"/>
      <c r="HBJ22" s="99"/>
      <c r="HBK22" s="99"/>
      <c r="HBL22" s="99"/>
      <c r="HBM22" s="99"/>
      <c r="HBN22" s="99"/>
      <c r="HBO22" s="99"/>
      <c r="HBP22" s="99"/>
      <c r="HBQ22" s="99"/>
      <c r="HBR22" s="99"/>
      <c r="HBS22" s="99"/>
      <c r="HBT22" s="99"/>
      <c r="HBU22" s="99"/>
      <c r="HBV22" s="99"/>
      <c r="HBW22" s="99"/>
      <c r="HBX22" s="99"/>
      <c r="HBY22" s="99"/>
      <c r="HBZ22" s="99"/>
      <c r="HCA22" s="99"/>
      <c r="HCB22" s="99"/>
      <c r="HCC22" s="99"/>
      <c r="HCD22" s="99"/>
      <c r="HCE22" s="99"/>
      <c r="HCF22" s="99"/>
      <c r="HCG22" s="99"/>
      <c r="HCH22" s="99"/>
      <c r="HCI22" s="99"/>
      <c r="HCJ22" s="99"/>
      <c r="HCK22" s="99"/>
      <c r="HCL22" s="99"/>
      <c r="HCM22" s="99"/>
      <c r="HCN22" s="99"/>
      <c r="HCO22" s="99"/>
      <c r="HCP22" s="99"/>
      <c r="HCQ22" s="99"/>
      <c r="HCR22" s="99"/>
      <c r="HCS22" s="99"/>
      <c r="HCT22" s="99"/>
      <c r="HCU22" s="99"/>
      <c r="HCV22" s="99"/>
      <c r="HCW22" s="99"/>
      <c r="HCX22" s="99"/>
      <c r="HCY22" s="99"/>
      <c r="HCZ22" s="99"/>
      <c r="HDA22" s="99"/>
      <c r="HDB22" s="99"/>
      <c r="HDC22" s="99"/>
      <c r="HDD22" s="99"/>
      <c r="HDE22" s="99"/>
      <c r="HDF22" s="99"/>
      <c r="HDG22" s="99"/>
      <c r="HDH22" s="99"/>
      <c r="HDI22" s="99"/>
      <c r="HDJ22" s="99"/>
      <c r="HDK22" s="99"/>
      <c r="HDL22" s="99"/>
      <c r="HDM22" s="99"/>
      <c r="HDN22" s="99"/>
      <c r="HDO22" s="99"/>
      <c r="HDP22" s="99"/>
      <c r="HDQ22" s="99"/>
      <c r="HDR22" s="99"/>
      <c r="HDS22" s="99"/>
      <c r="HDT22" s="99"/>
      <c r="HDU22" s="99"/>
      <c r="HDV22" s="99"/>
      <c r="HDW22" s="99"/>
      <c r="HDX22" s="99"/>
      <c r="HDY22" s="99"/>
      <c r="HDZ22" s="99"/>
      <c r="HEA22" s="99"/>
      <c r="HEB22" s="99"/>
      <c r="HEC22" s="99"/>
      <c r="HED22" s="99"/>
      <c r="HEE22" s="99"/>
      <c r="HEF22" s="99"/>
      <c r="HEG22" s="99"/>
      <c r="HEH22" s="99"/>
      <c r="HEI22" s="99"/>
      <c r="HEJ22" s="99"/>
      <c r="HEK22" s="99"/>
      <c r="HEL22" s="99"/>
      <c r="HEM22" s="99"/>
      <c r="HEN22" s="99"/>
      <c r="HEO22" s="99"/>
      <c r="HEP22" s="99"/>
      <c r="HEQ22" s="99"/>
      <c r="HER22" s="99"/>
      <c r="HES22" s="99"/>
      <c r="HET22" s="99"/>
      <c r="HEU22" s="99"/>
      <c r="HEV22" s="99"/>
      <c r="HEW22" s="99"/>
      <c r="HEX22" s="99"/>
      <c r="HEY22" s="99"/>
      <c r="HEZ22" s="99"/>
      <c r="HFA22" s="99"/>
      <c r="HFB22" s="99"/>
      <c r="HFC22" s="99"/>
      <c r="HFD22" s="99"/>
      <c r="HFE22" s="99"/>
      <c r="HFF22" s="99"/>
      <c r="HFG22" s="99"/>
      <c r="HFH22" s="99"/>
      <c r="HFI22" s="99"/>
      <c r="HFJ22" s="99"/>
      <c r="HFK22" s="99"/>
      <c r="HFL22" s="99"/>
      <c r="HFM22" s="99"/>
      <c r="HFN22" s="99"/>
      <c r="HFO22" s="99"/>
      <c r="HFP22" s="99"/>
      <c r="HFQ22" s="99"/>
      <c r="HFR22" s="99"/>
      <c r="HFS22" s="99"/>
      <c r="HFT22" s="99"/>
      <c r="HFU22" s="99"/>
      <c r="HFV22" s="99"/>
      <c r="HFW22" s="99"/>
      <c r="HFX22" s="99"/>
      <c r="HFY22" s="99"/>
      <c r="HFZ22" s="99"/>
      <c r="HGA22" s="99"/>
      <c r="HGB22" s="99"/>
      <c r="HGC22" s="99"/>
      <c r="HGD22" s="99"/>
      <c r="HGE22" s="99"/>
      <c r="HGF22" s="99"/>
      <c r="HGG22" s="99"/>
      <c r="HGH22" s="99"/>
      <c r="HGI22" s="99"/>
      <c r="HGJ22" s="99"/>
      <c r="HGK22" s="99"/>
      <c r="HGL22" s="99"/>
      <c r="HGM22" s="99"/>
      <c r="HGN22" s="99"/>
      <c r="HGO22" s="99"/>
      <c r="HGP22" s="99"/>
      <c r="HGQ22" s="99"/>
      <c r="HGR22" s="99"/>
      <c r="HGS22" s="99"/>
      <c r="HGT22" s="99"/>
      <c r="HGU22" s="99"/>
      <c r="HGV22" s="99"/>
      <c r="HGW22" s="99"/>
      <c r="HGX22" s="99"/>
      <c r="HGY22" s="99"/>
      <c r="HGZ22" s="99"/>
      <c r="HHA22" s="99"/>
      <c r="HHB22" s="99"/>
      <c r="HHC22" s="99"/>
      <c r="HHD22" s="99"/>
      <c r="HHE22" s="99"/>
      <c r="HHF22" s="99"/>
      <c r="HHG22" s="99"/>
      <c r="HHH22" s="99"/>
      <c r="HHI22" s="99"/>
      <c r="HHJ22" s="99"/>
      <c r="HHK22" s="99"/>
      <c r="HHL22" s="99"/>
      <c r="HHM22" s="99"/>
      <c r="HHN22" s="99"/>
      <c r="HHO22" s="99"/>
      <c r="HHP22" s="99"/>
      <c r="HHQ22" s="99"/>
      <c r="HHR22" s="99"/>
      <c r="HHS22" s="99"/>
      <c r="HHT22" s="99"/>
      <c r="HHU22" s="99"/>
      <c r="HHV22" s="99"/>
      <c r="HHW22" s="99"/>
      <c r="HHX22" s="99"/>
      <c r="HHY22" s="99"/>
      <c r="HHZ22" s="99"/>
      <c r="HIA22" s="99"/>
      <c r="HIB22" s="99"/>
      <c r="HIC22" s="99"/>
      <c r="HID22" s="99"/>
      <c r="HIE22" s="99"/>
      <c r="HIF22" s="99"/>
      <c r="HIG22" s="99"/>
      <c r="HIH22" s="99"/>
      <c r="HII22" s="99"/>
      <c r="HIJ22" s="99"/>
      <c r="HIK22" s="99"/>
      <c r="HIL22" s="99"/>
      <c r="HIM22" s="99"/>
      <c r="HIN22" s="99"/>
      <c r="HIO22" s="99"/>
      <c r="HIP22" s="99"/>
      <c r="HIQ22" s="99"/>
      <c r="HIR22" s="99"/>
      <c r="HIS22" s="99"/>
      <c r="HIT22" s="99"/>
      <c r="HIU22" s="99"/>
      <c r="HIV22" s="99"/>
      <c r="HIW22" s="99"/>
      <c r="HIX22" s="99"/>
      <c r="HIY22" s="99"/>
      <c r="HIZ22" s="99"/>
      <c r="HJA22" s="99"/>
      <c r="HJB22" s="99"/>
      <c r="HJC22" s="99"/>
      <c r="HJD22" s="99"/>
      <c r="HJE22" s="99"/>
      <c r="HJF22" s="99"/>
      <c r="HJG22" s="99"/>
      <c r="HJH22" s="99"/>
      <c r="HJI22" s="99"/>
      <c r="HJJ22" s="99"/>
      <c r="HJK22" s="99"/>
      <c r="HJL22" s="99"/>
      <c r="HJM22" s="99"/>
      <c r="HJN22" s="99"/>
      <c r="HJO22" s="99"/>
      <c r="HJP22" s="99"/>
      <c r="HJQ22" s="99"/>
      <c r="HJR22" s="99"/>
      <c r="HJS22" s="99"/>
      <c r="HJT22" s="99"/>
      <c r="HJU22" s="99"/>
      <c r="HJV22" s="99"/>
      <c r="HJW22" s="99"/>
      <c r="HJX22" s="99"/>
      <c r="HJY22" s="99"/>
      <c r="HJZ22" s="99"/>
      <c r="HKA22" s="99"/>
      <c r="HKB22" s="99"/>
      <c r="HKC22" s="99"/>
      <c r="HKD22" s="99"/>
      <c r="HKE22" s="99"/>
      <c r="HKF22" s="99"/>
      <c r="HKG22" s="99"/>
      <c r="HKH22" s="99"/>
      <c r="HKI22" s="99"/>
      <c r="HKJ22" s="99"/>
      <c r="HKK22" s="99"/>
      <c r="HKL22" s="99"/>
      <c r="HKM22" s="99"/>
      <c r="HKN22" s="99"/>
      <c r="HKO22" s="99"/>
      <c r="HKP22" s="99"/>
      <c r="HKQ22" s="99"/>
      <c r="HKR22" s="99"/>
      <c r="HKS22" s="99"/>
      <c r="HKT22" s="99"/>
      <c r="HKU22" s="99"/>
      <c r="HKV22" s="99"/>
      <c r="HKW22" s="99"/>
      <c r="HKX22" s="99"/>
      <c r="HKY22" s="99"/>
      <c r="HKZ22" s="99"/>
      <c r="HLA22" s="99"/>
      <c r="HLB22" s="99"/>
      <c r="HLC22" s="99"/>
      <c r="HLD22" s="99"/>
      <c r="HLE22" s="99"/>
      <c r="HLF22" s="99"/>
      <c r="HLG22" s="99"/>
      <c r="HLH22" s="99"/>
      <c r="HLI22" s="99"/>
      <c r="HLJ22" s="99"/>
      <c r="HLK22" s="99"/>
      <c r="HLL22" s="99"/>
      <c r="HLM22" s="99"/>
      <c r="HLN22" s="99"/>
      <c r="HLO22" s="99"/>
      <c r="HLP22" s="99"/>
      <c r="HLQ22" s="99"/>
      <c r="HLR22" s="99"/>
      <c r="HLS22" s="99"/>
      <c r="HLT22" s="99"/>
      <c r="HLU22" s="99"/>
      <c r="HLV22" s="99"/>
      <c r="HLW22" s="99"/>
      <c r="HLX22" s="99"/>
      <c r="HLY22" s="99"/>
      <c r="HLZ22" s="99"/>
      <c r="HMA22" s="99"/>
      <c r="HMB22" s="99"/>
      <c r="HMC22" s="99"/>
      <c r="HMD22" s="99"/>
      <c r="HME22" s="99"/>
      <c r="HMF22" s="99"/>
      <c r="HMG22" s="99"/>
      <c r="HMH22" s="99"/>
      <c r="HMI22" s="99"/>
      <c r="HMJ22" s="99"/>
      <c r="HMK22" s="99"/>
      <c r="HML22" s="99"/>
      <c r="HMM22" s="99"/>
      <c r="HMN22" s="99"/>
      <c r="HMO22" s="99"/>
      <c r="HMP22" s="99"/>
      <c r="HMQ22" s="99"/>
      <c r="HMR22" s="99"/>
      <c r="HMS22" s="99"/>
      <c r="HMT22" s="99"/>
      <c r="HMU22" s="99"/>
      <c r="HMV22" s="99"/>
      <c r="HMW22" s="99"/>
      <c r="HMX22" s="99"/>
      <c r="HMY22" s="99"/>
      <c r="HMZ22" s="99"/>
      <c r="HNA22" s="99"/>
      <c r="HNB22" s="99"/>
      <c r="HNC22" s="99"/>
      <c r="HND22" s="99"/>
      <c r="HNE22" s="99"/>
      <c r="HNF22" s="99"/>
      <c r="HNG22" s="99"/>
      <c r="HNH22" s="99"/>
      <c r="HNI22" s="99"/>
      <c r="HNJ22" s="99"/>
      <c r="HNK22" s="99"/>
      <c r="HNL22" s="99"/>
      <c r="HNM22" s="99"/>
      <c r="HNN22" s="99"/>
      <c r="HNO22" s="99"/>
      <c r="HNP22" s="99"/>
      <c r="HNQ22" s="99"/>
      <c r="HNR22" s="99"/>
      <c r="HNS22" s="99"/>
      <c r="HNT22" s="99"/>
      <c r="HNU22" s="99"/>
      <c r="HNV22" s="99"/>
      <c r="HNW22" s="99"/>
      <c r="HNX22" s="99"/>
      <c r="HNY22" s="99"/>
      <c r="HNZ22" s="99"/>
      <c r="HOA22" s="99"/>
      <c r="HOB22" s="99"/>
      <c r="HOC22" s="99"/>
      <c r="HOD22" s="99"/>
      <c r="HOE22" s="99"/>
      <c r="HOF22" s="99"/>
      <c r="HOG22" s="99"/>
      <c r="HOH22" s="99"/>
      <c r="HOI22" s="99"/>
      <c r="HOJ22" s="99"/>
      <c r="HOK22" s="99"/>
      <c r="HOL22" s="99"/>
      <c r="HOM22" s="99"/>
      <c r="HON22" s="99"/>
      <c r="HOO22" s="99"/>
      <c r="HOP22" s="99"/>
      <c r="HOQ22" s="99"/>
      <c r="HOR22" s="99"/>
      <c r="HOS22" s="99"/>
      <c r="HOT22" s="99"/>
      <c r="HOU22" s="99"/>
      <c r="HOV22" s="99"/>
      <c r="HOW22" s="99"/>
      <c r="HOX22" s="99"/>
      <c r="HOY22" s="99"/>
      <c r="HOZ22" s="99"/>
      <c r="HPA22" s="99"/>
      <c r="HPB22" s="99"/>
      <c r="HPC22" s="99"/>
      <c r="HPD22" s="99"/>
      <c r="HPE22" s="99"/>
      <c r="HPF22" s="99"/>
      <c r="HPG22" s="99"/>
      <c r="HPH22" s="99"/>
      <c r="HPI22" s="99"/>
      <c r="HPJ22" s="99"/>
      <c r="HPK22" s="99"/>
      <c r="HPL22" s="99"/>
      <c r="HPM22" s="99"/>
      <c r="HPN22" s="99"/>
      <c r="HPO22" s="99"/>
      <c r="HPP22" s="99"/>
      <c r="HPQ22" s="99"/>
      <c r="HPR22" s="99"/>
      <c r="HPS22" s="99"/>
      <c r="HPT22" s="99"/>
      <c r="HPU22" s="99"/>
      <c r="HPV22" s="99"/>
      <c r="HPW22" s="99"/>
      <c r="HPX22" s="99"/>
      <c r="HPY22" s="99"/>
      <c r="HPZ22" s="99"/>
      <c r="HQA22" s="99"/>
      <c r="HQB22" s="99"/>
      <c r="HQC22" s="99"/>
      <c r="HQD22" s="99"/>
      <c r="HQE22" s="99"/>
      <c r="HQF22" s="99"/>
      <c r="HQG22" s="99"/>
      <c r="HQH22" s="99"/>
      <c r="HQI22" s="99"/>
      <c r="HQJ22" s="99"/>
      <c r="HQK22" s="99"/>
      <c r="HQL22" s="99"/>
      <c r="HQM22" s="99"/>
      <c r="HQN22" s="99"/>
      <c r="HQO22" s="99"/>
      <c r="HQP22" s="99"/>
      <c r="HQQ22" s="99"/>
      <c r="HQR22" s="99"/>
      <c r="HQS22" s="99"/>
      <c r="HQT22" s="99"/>
      <c r="HQU22" s="99"/>
      <c r="HQV22" s="99"/>
      <c r="HQW22" s="99"/>
      <c r="HQX22" s="99"/>
      <c r="HQY22" s="99"/>
      <c r="HQZ22" s="99"/>
      <c r="HRA22" s="99"/>
      <c r="HRB22" s="99"/>
      <c r="HRC22" s="99"/>
      <c r="HRD22" s="99"/>
      <c r="HRE22" s="99"/>
      <c r="HRF22" s="99"/>
      <c r="HRG22" s="99"/>
      <c r="HRH22" s="99"/>
      <c r="HRI22" s="99"/>
      <c r="HRJ22" s="99"/>
      <c r="HRK22" s="99"/>
      <c r="HRL22" s="99"/>
      <c r="HRM22" s="99"/>
      <c r="HRN22" s="99"/>
      <c r="HRO22" s="99"/>
      <c r="HRP22" s="99"/>
      <c r="HRQ22" s="99"/>
      <c r="HRR22" s="99"/>
      <c r="HRS22" s="99"/>
      <c r="HRT22" s="99"/>
      <c r="HRU22" s="99"/>
      <c r="HRV22" s="99"/>
      <c r="HRW22" s="99"/>
      <c r="HRX22" s="99"/>
      <c r="HRY22" s="99"/>
      <c r="HRZ22" s="99"/>
      <c r="HSA22" s="99"/>
      <c r="HSB22" s="99"/>
      <c r="HSC22" s="99"/>
      <c r="HSD22" s="99"/>
      <c r="HSE22" s="99"/>
      <c r="HSF22" s="99"/>
      <c r="HSG22" s="99"/>
      <c r="HSH22" s="99"/>
      <c r="HSI22" s="99"/>
      <c r="HSJ22" s="99"/>
      <c r="HSK22" s="99"/>
      <c r="HSL22" s="99"/>
      <c r="HSM22" s="99"/>
      <c r="HSN22" s="99"/>
      <c r="HSO22" s="99"/>
      <c r="HSP22" s="99"/>
      <c r="HSQ22" s="99"/>
      <c r="HSR22" s="99"/>
      <c r="HSS22" s="99"/>
      <c r="HST22" s="99"/>
      <c r="HSU22" s="99"/>
      <c r="HSV22" s="99"/>
      <c r="HSW22" s="99"/>
      <c r="HSX22" s="99"/>
      <c r="HSY22" s="99"/>
      <c r="HSZ22" s="99"/>
      <c r="HTA22" s="99"/>
      <c r="HTB22" s="99"/>
      <c r="HTC22" s="99"/>
      <c r="HTD22" s="99"/>
      <c r="HTE22" s="99"/>
      <c r="HTF22" s="99"/>
      <c r="HTG22" s="99"/>
      <c r="HTH22" s="99"/>
      <c r="HTI22" s="99"/>
      <c r="HTJ22" s="99"/>
      <c r="HTK22" s="99"/>
      <c r="HTL22" s="99"/>
      <c r="HTM22" s="99"/>
      <c r="HTN22" s="99"/>
      <c r="HTO22" s="99"/>
      <c r="HTP22" s="99"/>
      <c r="HTQ22" s="99"/>
      <c r="HTR22" s="99"/>
      <c r="HTS22" s="99"/>
      <c r="HTT22" s="99"/>
      <c r="HTU22" s="99"/>
      <c r="HTV22" s="99"/>
      <c r="HTW22" s="99"/>
      <c r="HTX22" s="99"/>
      <c r="HTY22" s="99"/>
      <c r="HTZ22" s="99"/>
      <c r="HUA22" s="99"/>
      <c r="HUB22" s="99"/>
      <c r="HUC22" s="99"/>
      <c r="HUD22" s="99"/>
      <c r="HUE22" s="99"/>
      <c r="HUF22" s="99"/>
      <c r="HUG22" s="99"/>
      <c r="HUH22" s="99"/>
      <c r="HUI22" s="99"/>
      <c r="HUJ22" s="99"/>
      <c r="HUK22" s="99"/>
      <c r="HUL22" s="99"/>
      <c r="HUM22" s="99"/>
      <c r="HUN22" s="99"/>
      <c r="HUO22" s="99"/>
      <c r="HUP22" s="99"/>
      <c r="HUQ22" s="99"/>
      <c r="HUR22" s="99"/>
      <c r="HUS22" s="99"/>
      <c r="HUT22" s="99"/>
      <c r="HUU22" s="99"/>
      <c r="HUV22" s="99"/>
      <c r="HUW22" s="99"/>
      <c r="HUX22" s="99"/>
      <c r="HUY22" s="99"/>
      <c r="HUZ22" s="99"/>
      <c r="HVA22" s="99"/>
      <c r="HVB22" s="99"/>
      <c r="HVC22" s="99"/>
      <c r="HVD22" s="99"/>
      <c r="HVE22" s="99"/>
      <c r="HVF22" s="99"/>
      <c r="HVG22" s="99"/>
      <c r="HVH22" s="99"/>
      <c r="HVI22" s="99"/>
      <c r="HVJ22" s="99"/>
      <c r="HVK22" s="99"/>
      <c r="HVL22" s="99"/>
      <c r="HVM22" s="99"/>
      <c r="HVN22" s="99"/>
      <c r="HVO22" s="99"/>
      <c r="HVP22" s="99"/>
      <c r="HVQ22" s="99"/>
      <c r="HVR22" s="99"/>
      <c r="HVS22" s="99"/>
      <c r="HVT22" s="99"/>
      <c r="HVU22" s="99"/>
      <c r="HVV22" s="99"/>
      <c r="HVW22" s="99"/>
      <c r="HVX22" s="99"/>
      <c r="HVY22" s="99"/>
      <c r="HVZ22" s="99"/>
      <c r="HWA22" s="99"/>
      <c r="HWB22" s="99"/>
      <c r="HWC22" s="99"/>
      <c r="HWD22" s="99"/>
      <c r="HWE22" s="99"/>
      <c r="HWF22" s="99"/>
      <c r="HWG22" s="99"/>
      <c r="HWH22" s="99"/>
      <c r="HWI22" s="99"/>
      <c r="HWJ22" s="99"/>
      <c r="HWK22" s="99"/>
      <c r="HWL22" s="99"/>
      <c r="HWM22" s="99"/>
      <c r="HWN22" s="99"/>
      <c r="HWO22" s="99"/>
      <c r="HWP22" s="99"/>
      <c r="HWQ22" s="99"/>
      <c r="HWR22" s="99"/>
      <c r="HWS22" s="99"/>
      <c r="HWT22" s="99"/>
      <c r="HWU22" s="99"/>
      <c r="HWV22" s="99"/>
      <c r="HWW22" s="99"/>
      <c r="HWX22" s="99"/>
      <c r="HWY22" s="99"/>
      <c r="HWZ22" s="99"/>
      <c r="HXA22" s="99"/>
      <c r="HXB22" s="99"/>
      <c r="HXC22" s="99"/>
      <c r="HXD22" s="99"/>
      <c r="HXE22" s="99"/>
      <c r="HXF22" s="99"/>
      <c r="HXG22" s="99"/>
      <c r="HXH22" s="99"/>
      <c r="HXI22" s="99"/>
      <c r="HXJ22" s="99"/>
      <c r="HXK22" s="99"/>
      <c r="HXL22" s="99"/>
      <c r="HXM22" s="99"/>
      <c r="HXN22" s="99"/>
      <c r="HXO22" s="99"/>
      <c r="HXP22" s="99"/>
      <c r="HXQ22" s="99"/>
      <c r="HXR22" s="99"/>
      <c r="HXS22" s="99"/>
      <c r="HXT22" s="99"/>
      <c r="HXU22" s="99"/>
      <c r="HXV22" s="99"/>
      <c r="HXW22" s="99"/>
      <c r="HXX22" s="99"/>
      <c r="HXY22" s="99"/>
      <c r="HXZ22" s="99"/>
      <c r="HYA22" s="99"/>
      <c r="HYB22" s="99"/>
      <c r="HYC22" s="99"/>
      <c r="HYD22" s="99"/>
      <c r="HYE22" s="99"/>
      <c r="HYF22" s="99"/>
      <c r="HYG22" s="99"/>
      <c r="HYH22" s="99"/>
      <c r="HYI22" s="99"/>
      <c r="HYJ22" s="99"/>
      <c r="HYK22" s="99"/>
      <c r="HYL22" s="99"/>
      <c r="HYM22" s="99"/>
      <c r="HYN22" s="99"/>
      <c r="HYO22" s="99"/>
      <c r="HYP22" s="99"/>
      <c r="HYQ22" s="99"/>
      <c r="HYR22" s="99"/>
      <c r="HYS22" s="99"/>
      <c r="HYT22" s="99"/>
      <c r="HYU22" s="99"/>
      <c r="HYV22" s="99"/>
      <c r="HYW22" s="99"/>
      <c r="HYX22" s="99"/>
      <c r="HYY22" s="99"/>
      <c r="HYZ22" s="99"/>
      <c r="HZA22" s="99"/>
      <c r="HZB22" s="99"/>
      <c r="HZC22" s="99"/>
      <c r="HZD22" s="99"/>
      <c r="HZE22" s="99"/>
      <c r="HZF22" s="99"/>
      <c r="HZG22" s="99"/>
      <c r="HZH22" s="99"/>
      <c r="HZI22" s="99"/>
      <c r="HZJ22" s="99"/>
      <c r="HZK22" s="99"/>
      <c r="HZL22" s="99"/>
      <c r="HZM22" s="99"/>
      <c r="HZN22" s="99"/>
      <c r="HZO22" s="99"/>
      <c r="HZP22" s="99"/>
      <c r="HZQ22" s="99"/>
      <c r="HZR22" s="99"/>
      <c r="HZS22" s="99"/>
      <c r="HZT22" s="99"/>
      <c r="HZU22" s="99"/>
      <c r="HZV22" s="99"/>
      <c r="HZW22" s="99"/>
      <c r="HZX22" s="99"/>
      <c r="HZY22" s="99"/>
      <c r="HZZ22" s="99"/>
      <c r="IAA22" s="99"/>
      <c r="IAB22" s="99"/>
      <c r="IAC22" s="99"/>
      <c r="IAD22" s="99"/>
      <c r="IAE22" s="99"/>
      <c r="IAF22" s="99"/>
      <c r="IAG22" s="99"/>
      <c r="IAH22" s="99"/>
      <c r="IAI22" s="99"/>
      <c r="IAJ22" s="99"/>
      <c r="IAK22" s="99"/>
      <c r="IAL22" s="99"/>
      <c r="IAM22" s="99"/>
      <c r="IAN22" s="99"/>
      <c r="IAO22" s="99"/>
      <c r="IAP22" s="99"/>
      <c r="IAQ22" s="99"/>
      <c r="IAR22" s="99"/>
      <c r="IAS22" s="99"/>
      <c r="IAT22" s="99"/>
      <c r="IAU22" s="99"/>
      <c r="IAV22" s="99"/>
      <c r="IAW22" s="99"/>
      <c r="IAX22" s="99"/>
      <c r="IAY22" s="99"/>
      <c r="IAZ22" s="99"/>
      <c r="IBA22" s="99"/>
      <c r="IBB22" s="99"/>
      <c r="IBC22" s="99"/>
      <c r="IBD22" s="99"/>
      <c r="IBE22" s="99"/>
      <c r="IBF22" s="99"/>
      <c r="IBG22" s="99"/>
      <c r="IBH22" s="99"/>
      <c r="IBI22" s="99"/>
      <c r="IBJ22" s="99"/>
      <c r="IBK22" s="99"/>
      <c r="IBL22" s="99"/>
      <c r="IBM22" s="99"/>
      <c r="IBN22" s="99"/>
      <c r="IBO22" s="99"/>
      <c r="IBP22" s="99"/>
      <c r="IBQ22" s="99"/>
      <c r="IBR22" s="99"/>
      <c r="IBS22" s="99"/>
      <c r="IBT22" s="99"/>
      <c r="IBU22" s="99"/>
      <c r="IBV22" s="99"/>
      <c r="IBW22" s="99"/>
      <c r="IBX22" s="99"/>
      <c r="IBY22" s="99"/>
      <c r="IBZ22" s="99"/>
      <c r="ICA22" s="99"/>
      <c r="ICB22" s="99"/>
      <c r="ICC22" s="99"/>
      <c r="ICD22" s="99"/>
      <c r="ICE22" s="99"/>
      <c r="ICF22" s="99"/>
      <c r="ICG22" s="99"/>
      <c r="ICH22" s="99"/>
      <c r="ICI22" s="99"/>
      <c r="ICJ22" s="99"/>
      <c r="ICK22" s="99"/>
      <c r="ICL22" s="99"/>
      <c r="ICM22" s="99"/>
      <c r="ICN22" s="99"/>
      <c r="ICO22" s="99"/>
      <c r="ICP22" s="99"/>
      <c r="ICQ22" s="99"/>
      <c r="ICR22" s="99"/>
      <c r="ICS22" s="99"/>
      <c r="ICT22" s="99"/>
      <c r="ICU22" s="99"/>
      <c r="ICV22" s="99"/>
      <c r="ICW22" s="99"/>
      <c r="ICX22" s="99"/>
      <c r="ICY22" s="99"/>
      <c r="ICZ22" s="99"/>
      <c r="IDA22" s="99"/>
      <c r="IDB22" s="99"/>
      <c r="IDC22" s="99"/>
      <c r="IDD22" s="99"/>
      <c r="IDE22" s="99"/>
      <c r="IDF22" s="99"/>
      <c r="IDG22" s="99"/>
      <c r="IDH22" s="99"/>
      <c r="IDI22" s="99"/>
      <c r="IDJ22" s="99"/>
      <c r="IDK22" s="99"/>
      <c r="IDL22" s="99"/>
      <c r="IDM22" s="99"/>
      <c r="IDN22" s="99"/>
      <c r="IDO22" s="99"/>
      <c r="IDP22" s="99"/>
      <c r="IDQ22" s="99"/>
      <c r="IDR22" s="99"/>
      <c r="IDS22" s="99"/>
      <c r="IDT22" s="99"/>
      <c r="IDU22" s="99"/>
      <c r="IDV22" s="99"/>
      <c r="IDW22" s="99"/>
      <c r="IDX22" s="99"/>
      <c r="IDY22" s="99"/>
      <c r="IDZ22" s="99"/>
      <c r="IEA22" s="99"/>
      <c r="IEB22" s="99"/>
      <c r="IEC22" s="99"/>
      <c r="IED22" s="99"/>
      <c r="IEE22" s="99"/>
      <c r="IEF22" s="99"/>
      <c r="IEG22" s="99"/>
      <c r="IEH22" s="99"/>
      <c r="IEI22" s="99"/>
      <c r="IEJ22" s="99"/>
      <c r="IEK22" s="99"/>
      <c r="IEL22" s="99"/>
      <c r="IEM22" s="99"/>
      <c r="IEN22" s="99"/>
      <c r="IEO22" s="99"/>
      <c r="IEP22" s="99"/>
      <c r="IEQ22" s="99"/>
      <c r="IER22" s="99"/>
      <c r="IES22" s="99"/>
      <c r="IET22" s="99"/>
      <c r="IEU22" s="99"/>
      <c r="IEV22" s="99"/>
      <c r="IEW22" s="99"/>
      <c r="IEX22" s="99"/>
      <c r="IEY22" s="99"/>
      <c r="IEZ22" s="99"/>
      <c r="IFA22" s="99"/>
      <c r="IFB22" s="99"/>
      <c r="IFC22" s="99"/>
      <c r="IFD22" s="99"/>
      <c r="IFE22" s="99"/>
      <c r="IFF22" s="99"/>
      <c r="IFG22" s="99"/>
      <c r="IFH22" s="99"/>
      <c r="IFI22" s="99"/>
      <c r="IFJ22" s="99"/>
      <c r="IFK22" s="99"/>
      <c r="IFL22" s="99"/>
      <c r="IFM22" s="99"/>
      <c r="IFN22" s="99"/>
      <c r="IFO22" s="99"/>
      <c r="IFP22" s="99"/>
      <c r="IFQ22" s="99"/>
      <c r="IFR22" s="99"/>
      <c r="IFS22" s="99"/>
      <c r="IFT22" s="99"/>
      <c r="IFU22" s="99"/>
      <c r="IFV22" s="99"/>
      <c r="IFW22" s="99"/>
      <c r="IFX22" s="99"/>
      <c r="IFY22" s="99"/>
      <c r="IFZ22" s="99"/>
      <c r="IGA22" s="99"/>
      <c r="IGB22" s="99"/>
      <c r="IGC22" s="99"/>
      <c r="IGD22" s="99"/>
      <c r="IGE22" s="99"/>
      <c r="IGF22" s="99"/>
      <c r="IGG22" s="99"/>
      <c r="IGH22" s="99"/>
      <c r="IGI22" s="99"/>
      <c r="IGJ22" s="99"/>
      <c r="IGK22" s="99"/>
      <c r="IGL22" s="99"/>
      <c r="IGM22" s="99"/>
      <c r="IGN22" s="99"/>
      <c r="IGO22" s="99"/>
      <c r="IGP22" s="99"/>
      <c r="IGQ22" s="99"/>
      <c r="IGR22" s="99"/>
      <c r="IGS22" s="99"/>
      <c r="IGT22" s="99"/>
      <c r="IGU22" s="99"/>
      <c r="IGV22" s="99"/>
      <c r="IGW22" s="99"/>
      <c r="IGX22" s="99"/>
      <c r="IGY22" s="99"/>
      <c r="IGZ22" s="99"/>
      <c r="IHA22" s="99"/>
      <c r="IHB22" s="99"/>
      <c r="IHC22" s="99"/>
      <c r="IHD22" s="99"/>
      <c r="IHE22" s="99"/>
      <c r="IHF22" s="99"/>
      <c r="IHG22" s="99"/>
      <c r="IHH22" s="99"/>
      <c r="IHI22" s="99"/>
      <c r="IHJ22" s="99"/>
      <c r="IHK22" s="99"/>
      <c r="IHL22" s="99"/>
      <c r="IHM22" s="99"/>
      <c r="IHN22" s="99"/>
      <c r="IHO22" s="99"/>
      <c r="IHP22" s="99"/>
      <c r="IHQ22" s="99"/>
      <c r="IHR22" s="99"/>
      <c r="IHS22" s="99"/>
      <c r="IHT22" s="99"/>
      <c r="IHU22" s="99"/>
      <c r="IHV22" s="99"/>
      <c r="IHW22" s="99"/>
      <c r="IHX22" s="99"/>
      <c r="IHY22" s="99"/>
      <c r="IHZ22" s="99"/>
      <c r="IIA22" s="99"/>
      <c r="IIB22" s="99"/>
      <c r="IIC22" s="99"/>
      <c r="IID22" s="99"/>
      <c r="IIE22" s="99"/>
      <c r="IIF22" s="99"/>
      <c r="IIG22" s="99"/>
      <c r="IIH22" s="99"/>
      <c r="III22" s="99"/>
      <c r="IIJ22" s="99"/>
      <c r="IIK22" s="99"/>
      <c r="IIL22" s="99"/>
      <c r="IIM22" s="99"/>
      <c r="IIN22" s="99"/>
      <c r="IIO22" s="99"/>
      <c r="IIP22" s="99"/>
      <c r="IIQ22" s="99"/>
      <c r="IIR22" s="99"/>
      <c r="IIS22" s="99"/>
      <c r="IIT22" s="99"/>
      <c r="IIU22" s="99"/>
      <c r="IIV22" s="99"/>
      <c r="IIW22" s="99"/>
      <c r="IIX22" s="99"/>
      <c r="IIY22" s="99"/>
      <c r="IIZ22" s="99"/>
      <c r="IJA22" s="99"/>
      <c r="IJB22" s="99"/>
      <c r="IJC22" s="99"/>
      <c r="IJD22" s="99"/>
      <c r="IJE22" s="99"/>
      <c r="IJF22" s="99"/>
      <c r="IJG22" s="99"/>
      <c r="IJH22" s="99"/>
      <c r="IJI22" s="99"/>
      <c r="IJJ22" s="99"/>
      <c r="IJK22" s="99"/>
      <c r="IJL22" s="99"/>
      <c r="IJM22" s="99"/>
      <c r="IJN22" s="99"/>
      <c r="IJO22" s="99"/>
      <c r="IJP22" s="99"/>
      <c r="IJQ22" s="99"/>
      <c r="IJR22" s="99"/>
      <c r="IJS22" s="99"/>
      <c r="IJT22" s="99"/>
      <c r="IJU22" s="99"/>
      <c r="IJV22" s="99"/>
      <c r="IJW22" s="99"/>
      <c r="IJX22" s="99"/>
      <c r="IJY22" s="99"/>
      <c r="IJZ22" s="99"/>
      <c r="IKA22" s="99"/>
      <c r="IKB22" s="99"/>
      <c r="IKC22" s="99"/>
      <c r="IKD22" s="99"/>
      <c r="IKE22" s="99"/>
      <c r="IKF22" s="99"/>
      <c r="IKG22" s="99"/>
      <c r="IKH22" s="99"/>
      <c r="IKI22" s="99"/>
      <c r="IKJ22" s="99"/>
      <c r="IKK22" s="99"/>
      <c r="IKL22" s="99"/>
      <c r="IKM22" s="99"/>
      <c r="IKN22" s="99"/>
      <c r="IKO22" s="99"/>
      <c r="IKP22" s="99"/>
      <c r="IKQ22" s="99"/>
      <c r="IKR22" s="99"/>
      <c r="IKS22" s="99"/>
      <c r="IKT22" s="99"/>
      <c r="IKU22" s="99"/>
      <c r="IKV22" s="99"/>
      <c r="IKW22" s="99"/>
      <c r="IKX22" s="99"/>
      <c r="IKY22" s="99"/>
      <c r="IKZ22" s="99"/>
      <c r="ILA22" s="99"/>
      <c r="ILB22" s="99"/>
      <c r="ILC22" s="99"/>
      <c r="ILD22" s="99"/>
      <c r="ILE22" s="99"/>
      <c r="ILF22" s="99"/>
      <c r="ILG22" s="99"/>
      <c r="ILH22" s="99"/>
      <c r="ILI22" s="99"/>
      <c r="ILJ22" s="99"/>
      <c r="ILK22" s="99"/>
      <c r="ILL22" s="99"/>
      <c r="ILM22" s="99"/>
      <c r="ILN22" s="99"/>
      <c r="ILO22" s="99"/>
      <c r="ILP22" s="99"/>
      <c r="ILQ22" s="99"/>
      <c r="ILR22" s="99"/>
      <c r="ILS22" s="99"/>
      <c r="ILT22" s="99"/>
      <c r="ILU22" s="99"/>
      <c r="ILV22" s="99"/>
      <c r="ILW22" s="99"/>
      <c r="ILX22" s="99"/>
      <c r="ILY22" s="99"/>
      <c r="ILZ22" s="99"/>
      <c r="IMA22" s="99"/>
      <c r="IMB22" s="99"/>
      <c r="IMC22" s="99"/>
      <c r="IMD22" s="99"/>
      <c r="IME22" s="99"/>
      <c r="IMF22" s="99"/>
      <c r="IMG22" s="99"/>
      <c r="IMH22" s="99"/>
      <c r="IMI22" s="99"/>
      <c r="IMJ22" s="99"/>
      <c r="IMK22" s="99"/>
      <c r="IML22" s="99"/>
      <c r="IMM22" s="99"/>
      <c r="IMN22" s="99"/>
      <c r="IMO22" s="99"/>
      <c r="IMP22" s="99"/>
      <c r="IMQ22" s="99"/>
      <c r="IMR22" s="99"/>
      <c r="IMS22" s="99"/>
      <c r="IMT22" s="99"/>
      <c r="IMU22" s="99"/>
      <c r="IMV22" s="99"/>
      <c r="IMW22" s="99"/>
      <c r="IMX22" s="99"/>
      <c r="IMY22" s="99"/>
      <c r="IMZ22" s="99"/>
      <c r="INA22" s="99"/>
      <c r="INB22" s="99"/>
      <c r="INC22" s="99"/>
      <c r="IND22" s="99"/>
      <c r="INE22" s="99"/>
      <c r="INF22" s="99"/>
      <c r="ING22" s="99"/>
      <c r="INH22" s="99"/>
      <c r="INI22" s="99"/>
      <c r="INJ22" s="99"/>
      <c r="INK22" s="99"/>
      <c r="INL22" s="99"/>
      <c r="INM22" s="99"/>
      <c r="INN22" s="99"/>
      <c r="INO22" s="99"/>
      <c r="INP22" s="99"/>
      <c r="INQ22" s="99"/>
      <c r="INR22" s="99"/>
      <c r="INS22" s="99"/>
      <c r="INT22" s="99"/>
      <c r="INU22" s="99"/>
      <c r="INV22" s="99"/>
      <c r="INW22" s="99"/>
      <c r="INX22" s="99"/>
      <c r="INY22" s="99"/>
      <c r="INZ22" s="99"/>
      <c r="IOA22" s="99"/>
      <c r="IOB22" s="99"/>
      <c r="IOC22" s="99"/>
      <c r="IOD22" s="99"/>
      <c r="IOE22" s="99"/>
      <c r="IOF22" s="99"/>
      <c r="IOG22" s="99"/>
      <c r="IOH22" s="99"/>
      <c r="IOI22" s="99"/>
      <c r="IOJ22" s="99"/>
      <c r="IOK22" s="99"/>
      <c r="IOL22" s="99"/>
      <c r="IOM22" s="99"/>
      <c r="ION22" s="99"/>
      <c r="IOO22" s="99"/>
      <c r="IOP22" s="99"/>
      <c r="IOQ22" s="99"/>
      <c r="IOR22" s="99"/>
      <c r="IOS22" s="99"/>
      <c r="IOT22" s="99"/>
      <c r="IOU22" s="99"/>
      <c r="IOV22" s="99"/>
      <c r="IOW22" s="99"/>
      <c r="IOX22" s="99"/>
      <c r="IOY22" s="99"/>
      <c r="IOZ22" s="99"/>
      <c r="IPA22" s="99"/>
      <c r="IPB22" s="99"/>
      <c r="IPC22" s="99"/>
      <c r="IPD22" s="99"/>
      <c r="IPE22" s="99"/>
      <c r="IPF22" s="99"/>
      <c r="IPG22" s="99"/>
      <c r="IPH22" s="99"/>
      <c r="IPI22" s="99"/>
      <c r="IPJ22" s="99"/>
      <c r="IPK22" s="99"/>
      <c r="IPL22" s="99"/>
      <c r="IPM22" s="99"/>
      <c r="IPN22" s="99"/>
      <c r="IPO22" s="99"/>
      <c r="IPP22" s="99"/>
      <c r="IPQ22" s="99"/>
      <c r="IPR22" s="99"/>
      <c r="IPS22" s="99"/>
      <c r="IPT22" s="99"/>
      <c r="IPU22" s="99"/>
      <c r="IPV22" s="99"/>
      <c r="IPW22" s="99"/>
      <c r="IPX22" s="99"/>
      <c r="IPY22" s="99"/>
      <c r="IPZ22" s="99"/>
      <c r="IQA22" s="99"/>
      <c r="IQB22" s="99"/>
      <c r="IQC22" s="99"/>
      <c r="IQD22" s="99"/>
      <c r="IQE22" s="99"/>
      <c r="IQF22" s="99"/>
      <c r="IQG22" s="99"/>
      <c r="IQH22" s="99"/>
      <c r="IQI22" s="99"/>
      <c r="IQJ22" s="99"/>
      <c r="IQK22" s="99"/>
      <c r="IQL22" s="99"/>
      <c r="IQM22" s="99"/>
      <c r="IQN22" s="99"/>
      <c r="IQO22" s="99"/>
      <c r="IQP22" s="99"/>
      <c r="IQQ22" s="99"/>
      <c r="IQR22" s="99"/>
      <c r="IQS22" s="99"/>
      <c r="IQT22" s="99"/>
      <c r="IQU22" s="99"/>
      <c r="IQV22" s="99"/>
      <c r="IQW22" s="99"/>
      <c r="IQX22" s="99"/>
      <c r="IQY22" s="99"/>
      <c r="IQZ22" s="99"/>
      <c r="IRA22" s="99"/>
      <c r="IRB22" s="99"/>
      <c r="IRC22" s="99"/>
      <c r="IRD22" s="99"/>
      <c r="IRE22" s="99"/>
      <c r="IRF22" s="99"/>
      <c r="IRG22" s="99"/>
      <c r="IRH22" s="99"/>
      <c r="IRI22" s="99"/>
      <c r="IRJ22" s="99"/>
      <c r="IRK22" s="99"/>
      <c r="IRL22" s="99"/>
      <c r="IRM22" s="99"/>
      <c r="IRN22" s="99"/>
      <c r="IRO22" s="99"/>
      <c r="IRP22" s="99"/>
      <c r="IRQ22" s="99"/>
      <c r="IRR22" s="99"/>
      <c r="IRS22" s="99"/>
      <c r="IRT22" s="99"/>
      <c r="IRU22" s="99"/>
      <c r="IRV22" s="99"/>
      <c r="IRW22" s="99"/>
      <c r="IRX22" s="99"/>
      <c r="IRY22" s="99"/>
      <c r="IRZ22" s="99"/>
      <c r="ISA22" s="99"/>
      <c r="ISB22" s="99"/>
      <c r="ISC22" s="99"/>
      <c r="ISD22" s="99"/>
      <c r="ISE22" s="99"/>
      <c r="ISF22" s="99"/>
      <c r="ISG22" s="99"/>
      <c r="ISH22" s="99"/>
      <c r="ISI22" s="99"/>
      <c r="ISJ22" s="99"/>
      <c r="ISK22" s="99"/>
      <c r="ISL22" s="99"/>
      <c r="ISM22" s="99"/>
      <c r="ISN22" s="99"/>
      <c r="ISO22" s="99"/>
      <c r="ISP22" s="99"/>
      <c r="ISQ22" s="99"/>
      <c r="ISR22" s="99"/>
      <c r="ISS22" s="99"/>
      <c r="IST22" s="99"/>
      <c r="ISU22" s="99"/>
      <c r="ISV22" s="99"/>
      <c r="ISW22" s="99"/>
      <c r="ISX22" s="99"/>
      <c r="ISY22" s="99"/>
      <c r="ISZ22" s="99"/>
      <c r="ITA22" s="99"/>
      <c r="ITB22" s="99"/>
      <c r="ITC22" s="99"/>
      <c r="ITD22" s="99"/>
      <c r="ITE22" s="99"/>
      <c r="ITF22" s="99"/>
      <c r="ITG22" s="99"/>
      <c r="ITH22" s="99"/>
      <c r="ITI22" s="99"/>
      <c r="ITJ22" s="99"/>
      <c r="ITK22" s="99"/>
      <c r="ITL22" s="99"/>
      <c r="ITM22" s="99"/>
      <c r="ITN22" s="99"/>
      <c r="ITO22" s="99"/>
      <c r="ITP22" s="99"/>
      <c r="ITQ22" s="99"/>
      <c r="ITR22" s="99"/>
      <c r="ITS22" s="99"/>
      <c r="ITT22" s="99"/>
      <c r="ITU22" s="99"/>
      <c r="ITV22" s="99"/>
      <c r="ITW22" s="99"/>
      <c r="ITX22" s="99"/>
      <c r="ITY22" s="99"/>
      <c r="ITZ22" s="99"/>
      <c r="IUA22" s="99"/>
      <c r="IUB22" s="99"/>
      <c r="IUC22" s="99"/>
      <c r="IUD22" s="99"/>
      <c r="IUE22" s="99"/>
      <c r="IUF22" s="99"/>
      <c r="IUG22" s="99"/>
      <c r="IUH22" s="99"/>
      <c r="IUI22" s="99"/>
      <c r="IUJ22" s="99"/>
      <c r="IUK22" s="99"/>
      <c r="IUL22" s="99"/>
      <c r="IUM22" s="99"/>
      <c r="IUN22" s="99"/>
      <c r="IUO22" s="99"/>
      <c r="IUP22" s="99"/>
      <c r="IUQ22" s="99"/>
      <c r="IUR22" s="99"/>
      <c r="IUS22" s="99"/>
      <c r="IUT22" s="99"/>
      <c r="IUU22" s="99"/>
      <c r="IUV22" s="99"/>
      <c r="IUW22" s="99"/>
      <c r="IUX22" s="99"/>
      <c r="IUY22" s="99"/>
      <c r="IUZ22" s="99"/>
      <c r="IVA22" s="99"/>
      <c r="IVB22" s="99"/>
      <c r="IVC22" s="99"/>
      <c r="IVD22" s="99"/>
      <c r="IVE22" s="99"/>
      <c r="IVF22" s="99"/>
      <c r="IVG22" s="99"/>
      <c r="IVH22" s="99"/>
      <c r="IVI22" s="99"/>
      <c r="IVJ22" s="99"/>
      <c r="IVK22" s="99"/>
      <c r="IVL22" s="99"/>
      <c r="IVM22" s="99"/>
      <c r="IVN22" s="99"/>
      <c r="IVO22" s="99"/>
      <c r="IVP22" s="99"/>
      <c r="IVQ22" s="99"/>
      <c r="IVR22" s="99"/>
      <c r="IVS22" s="99"/>
      <c r="IVT22" s="99"/>
      <c r="IVU22" s="99"/>
      <c r="IVV22" s="99"/>
      <c r="IVW22" s="99"/>
      <c r="IVX22" s="99"/>
      <c r="IVY22" s="99"/>
      <c r="IVZ22" s="99"/>
      <c r="IWA22" s="99"/>
      <c r="IWB22" s="99"/>
      <c r="IWC22" s="99"/>
      <c r="IWD22" s="99"/>
      <c r="IWE22" s="99"/>
      <c r="IWF22" s="99"/>
      <c r="IWG22" s="99"/>
      <c r="IWH22" s="99"/>
      <c r="IWI22" s="99"/>
      <c r="IWJ22" s="99"/>
      <c r="IWK22" s="99"/>
      <c r="IWL22" s="99"/>
      <c r="IWM22" s="99"/>
      <c r="IWN22" s="99"/>
      <c r="IWO22" s="99"/>
      <c r="IWP22" s="99"/>
      <c r="IWQ22" s="99"/>
      <c r="IWR22" s="99"/>
      <c r="IWS22" s="99"/>
      <c r="IWT22" s="99"/>
      <c r="IWU22" s="99"/>
      <c r="IWV22" s="99"/>
      <c r="IWW22" s="99"/>
      <c r="IWX22" s="99"/>
      <c r="IWY22" s="99"/>
      <c r="IWZ22" s="99"/>
      <c r="IXA22" s="99"/>
      <c r="IXB22" s="99"/>
      <c r="IXC22" s="99"/>
      <c r="IXD22" s="99"/>
      <c r="IXE22" s="99"/>
      <c r="IXF22" s="99"/>
      <c r="IXG22" s="99"/>
      <c r="IXH22" s="99"/>
      <c r="IXI22" s="99"/>
      <c r="IXJ22" s="99"/>
      <c r="IXK22" s="99"/>
      <c r="IXL22" s="99"/>
      <c r="IXM22" s="99"/>
      <c r="IXN22" s="99"/>
      <c r="IXO22" s="99"/>
      <c r="IXP22" s="99"/>
      <c r="IXQ22" s="99"/>
      <c r="IXR22" s="99"/>
      <c r="IXS22" s="99"/>
      <c r="IXT22" s="99"/>
      <c r="IXU22" s="99"/>
      <c r="IXV22" s="99"/>
      <c r="IXW22" s="99"/>
      <c r="IXX22" s="99"/>
      <c r="IXY22" s="99"/>
      <c r="IXZ22" s="99"/>
      <c r="IYA22" s="99"/>
      <c r="IYB22" s="99"/>
      <c r="IYC22" s="99"/>
      <c r="IYD22" s="99"/>
      <c r="IYE22" s="99"/>
      <c r="IYF22" s="99"/>
      <c r="IYG22" s="99"/>
      <c r="IYH22" s="99"/>
      <c r="IYI22" s="99"/>
      <c r="IYJ22" s="99"/>
      <c r="IYK22" s="99"/>
      <c r="IYL22" s="99"/>
      <c r="IYM22" s="99"/>
      <c r="IYN22" s="99"/>
      <c r="IYO22" s="99"/>
      <c r="IYP22" s="99"/>
      <c r="IYQ22" s="99"/>
      <c r="IYR22" s="99"/>
      <c r="IYS22" s="99"/>
      <c r="IYT22" s="99"/>
      <c r="IYU22" s="99"/>
      <c r="IYV22" s="99"/>
      <c r="IYW22" s="99"/>
      <c r="IYX22" s="99"/>
      <c r="IYY22" s="99"/>
      <c r="IYZ22" s="99"/>
      <c r="IZA22" s="99"/>
      <c r="IZB22" s="99"/>
      <c r="IZC22" s="99"/>
      <c r="IZD22" s="99"/>
      <c r="IZE22" s="99"/>
      <c r="IZF22" s="99"/>
      <c r="IZG22" s="99"/>
      <c r="IZH22" s="99"/>
      <c r="IZI22" s="99"/>
      <c r="IZJ22" s="99"/>
      <c r="IZK22" s="99"/>
      <c r="IZL22" s="99"/>
      <c r="IZM22" s="99"/>
      <c r="IZN22" s="99"/>
      <c r="IZO22" s="99"/>
      <c r="IZP22" s="99"/>
      <c r="IZQ22" s="99"/>
      <c r="IZR22" s="99"/>
      <c r="IZS22" s="99"/>
      <c r="IZT22" s="99"/>
      <c r="IZU22" s="99"/>
      <c r="IZV22" s="99"/>
      <c r="IZW22" s="99"/>
      <c r="IZX22" s="99"/>
      <c r="IZY22" s="99"/>
      <c r="IZZ22" s="99"/>
      <c r="JAA22" s="99"/>
      <c r="JAB22" s="99"/>
      <c r="JAC22" s="99"/>
      <c r="JAD22" s="99"/>
      <c r="JAE22" s="99"/>
      <c r="JAF22" s="99"/>
      <c r="JAG22" s="99"/>
      <c r="JAH22" s="99"/>
      <c r="JAI22" s="99"/>
      <c r="JAJ22" s="99"/>
      <c r="JAK22" s="99"/>
      <c r="JAL22" s="99"/>
      <c r="JAM22" s="99"/>
      <c r="JAN22" s="99"/>
      <c r="JAO22" s="99"/>
      <c r="JAP22" s="99"/>
      <c r="JAQ22" s="99"/>
      <c r="JAR22" s="99"/>
      <c r="JAS22" s="99"/>
      <c r="JAT22" s="99"/>
      <c r="JAU22" s="99"/>
      <c r="JAV22" s="99"/>
      <c r="JAW22" s="99"/>
      <c r="JAX22" s="99"/>
      <c r="JAY22" s="99"/>
      <c r="JAZ22" s="99"/>
      <c r="JBA22" s="99"/>
      <c r="JBB22" s="99"/>
      <c r="JBC22" s="99"/>
      <c r="JBD22" s="99"/>
      <c r="JBE22" s="99"/>
      <c r="JBF22" s="99"/>
      <c r="JBG22" s="99"/>
      <c r="JBH22" s="99"/>
      <c r="JBI22" s="99"/>
      <c r="JBJ22" s="99"/>
      <c r="JBK22" s="99"/>
      <c r="JBL22" s="99"/>
      <c r="JBM22" s="99"/>
      <c r="JBN22" s="99"/>
      <c r="JBO22" s="99"/>
      <c r="JBP22" s="99"/>
      <c r="JBQ22" s="99"/>
      <c r="JBR22" s="99"/>
      <c r="JBS22" s="99"/>
      <c r="JBT22" s="99"/>
      <c r="JBU22" s="99"/>
      <c r="JBV22" s="99"/>
      <c r="JBW22" s="99"/>
      <c r="JBX22" s="99"/>
      <c r="JBY22" s="99"/>
      <c r="JBZ22" s="99"/>
      <c r="JCA22" s="99"/>
      <c r="JCB22" s="99"/>
      <c r="JCC22" s="99"/>
      <c r="JCD22" s="99"/>
      <c r="JCE22" s="99"/>
      <c r="JCF22" s="99"/>
      <c r="JCG22" s="99"/>
      <c r="JCH22" s="99"/>
      <c r="JCI22" s="99"/>
      <c r="JCJ22" s="99"/>
      <c r="JCK22" s="99"/>
      <c r="JCL22" s="99"/>
      <c r="JCM22" s="99"/>
      <c r="JCN22" s="99"/>
      <c r="JCO22" s="99"/>
      <c r="JCP22" s="99"/>
      <c r="JCQ22" s="99"/>
      <c r="JCR22" s="99"/>
      <c r="JCS22" s="99"/>
      <c r="JCT22" s="99"/>
      <c r="JCU22" s="99"/>
      <c r="JCV22" s="99"/>
      <c r="JCW22" s="99"/>
      <c r="JCX22" s="99"/>
      <c r="JCY22" s="99"/>
      <c r="JCZ22" s="99"/>
      <c r="JDA22" s="99"/>
      <c r="JDB22" s="99"/>
      <c r="JDC22" s="99"/>
      <c r="JDD22" s="99"/>
      <c r="JDE22" s="99"/>
      <c r="JDF22" s="99"/>
      <c r="JDG22" s="99"/>
      <c r="JDH22" s="99"/>
      <c r="JDI22" s="99"/>
      <c r="JDJ22" s="99"/>
      <c r="JDK22" s="99"/>
      <c r="JDL22" s="99"/>
      <c r="JDM22" s="99"/>
      <c r="JDN22" s="99"/>
      <c r="JDO22" s="99"/>
      <c r="JDP22" s="99"/>
      <c r="JDQ22" s="99"/>
      <c r="JDR22" s="99"/>
      <c r="JDS22" s="99"/>
      <c r="JDT22" s="99"/>
      <c r="JDU22" s="99"/>
      <c r="JDV22" s="99"/>
      <c r="JDW22" s="99"/>
      <c r="JDX22" s="99"/>
      <c r="JDY22" s="99"/>
      <c r="JDZ22" s="99"/>
      <c r="JEA22" s="99"/>
      <c r="JEB22" s="99"/>
      <c r="JEC22" s="99"/>
      <c r="JED22" s="99"/>
      <c r="JEE22" s="99"/>
      <c r="JEF22" s="99"/>
      <c r="JEG22" s="99"/>
      <c r="JEH22" s="99"/>
      <c r="JEI22" s="99"/>
      <c r="JEJ22" s="99"/>
      <c r="JEK22" s="99"/>
      <c r="JEL22" s="99"/>
      <c r="JEM22" s="99"/>
      <c r="JEN22" s="99"/>
      <c r="JEO22" s="99"/>
      <c r="JEP22" s="99"/>
      <c r="JEQ22" s="99"/>
      <c r="JER22" s="99"/>
      <c r="JES22" s="99"/>
      <c r="JET22" s="99"/>
      <c r="JEU22" s="99"/>
      <c r="JEV22" s="99"/>
      <c r="JEW22" s="99"/>
      <c r="JEX22" s="99"/>
      <c r="JEY22" s="99"/>
      <c r="JEZ22" s="99"/>
      <c r="JFA22" s="99"/>
      <c r="JFB22" s="99"/>
      <c r="JFC22" s="99"/>
      <c r="JFD22" s="99"/>
      <c r="JFE22" s="99"/>
      <c r="JFF22" s="99"/>
      <c r="JFG22" s="99"/>
      <c r="JFH22" s="99"/>
      <c r="JFI22" s="99"/>
      <c r="JFJ22" s="99"/>
      <c r="JFK22" s="99"/>
      <c r="JFL22" s="99"/>
      <c r="JFM22" s="99"/>
      <c r="JFN22" s="99"/>
      <c r="JFO22" s="99"/>
      <c r="JFP22" s="99"/>
      <c r="JFQ22" s="99"/>
      <c r="JFR22" s="99"/>
      <c r="JFS22" s="99"/>
      <c r="JFT22" s="99"/>
      <c r="JFU22" s="99"/>
      <c r="JFV22" s="99"/>
      <c r="JFW22" s="99"/>
      <c r="JFX22" s="99"/>
      <c r="JFY22" s="99"/>
      <c r="JFZ22" s="99"/>
      <c r="JGA22" s="99"/>
      <c r="JGB22" s="99"/>
      <c r="JGC22" s="99"/>
      <c r="JGD22" s="99"/>
      <c r="JGE22" s="99"/>
      <c r="JGF22" s="99"/>
      <c r="JGG22" s="99"/>
      <c r="JGH22" s="99"/>
      <c r="JGI22" s="99"/>
      <c r="JGJ22" s="99"/>
      <c r="JGK22" s="99"/>
      <c r="JGL22" s="99"/>
      <c r="JGM22" s="99"/>
      <c r="JGN22" s="99"/>
      <c r="JGO22" s="99"/>
      <c r="JGP22" s="99"/>
      <c r="JGQ22" s="99"/>
      <c r="JGR22" s="99"/>
      <c r="JGS22" s="99"/>
      <c r="JGT22" s="99"/>
      <c r="JGU22" s="99"/>
      <c r="JGV22" s="99"/>
      <c r="JGW22" s="99"/>
      <c r="JGX22" s="99"/>
      <c r="JGY22" s="99"/>
      <c r="JGZ22" s="99"/>
      <c r="JHA22" s="99"/>
      <c r="JHB22" s="99"/>
      <c r="JHC22" s="99"/>
      <c r="JHD22" s="99"/>
      <c r="JHE22" s="99"/>
      <c r="JHF22" s="99"/>
      <c r="JHG22" s="99"/>
      <c r="JHH22" s="99"/>
      <c r="JHI22" s="99"/>
      <c r="JHJ22" s="99"/>
      <c r="JHK22" s="99"/>
      <c r="JHL22" s="99"/>
      <c r="JHM22" s="99"/>
      <c r="JHN22" s="99"/>
      <c r="JHO22" s="99"/>
      <c r="JHP22" s="99"/>
      <c r="JHQ22" s="99"/>
      <c r="JHR22" s="99"/>
      <c r="JHS22" s="99"/>
      <c r="JHT22" s="99"/>
      <c r="JHU22" s="99"/>
      <c r="JHV22" s="99"/>
      <c r="JHW22" s="99"/>
      <c r="JHX22" s="99"/>
      <c r="JHY22" s="99"/>
      <c r="JHZ22" s="99"/>
      <c r="JIA22" s="99"/>
      <c r="JIB22" s="99"/>
      <c r="JIC22" s="99"/>
      <c r="JID22" s="99"/>
      <c r="JIE22" s="99"/>
      <c r="JIF22" s="99"/>
      <c r="JIG22" s="99"/>
      <c r="JIH22" s="99"/>
      <c r="JII22" s="99"/>
      <c r="JIJ22" s="99"/>
      <c r="JIK22" s="99"/>
      <c r="JIL22" s="99"/>
      <c r="JIM22" s="99"/>
      <c r="JIN22" s="99"/>
      <c r="JIO22" s="99"/>
      <c r="JIP22" s="99"/>
      <c r="JIQ22" s="99"/>
      <c r="JIR22" s="99"/>
      <c r="JIS22" s="99"/>
      <c r="JIT22" s="99"/>
      <c r="JIU22" s="99"/>
      <c r="JIV22" s="99"/>
      <c r="JIW22" s="99"/>
      <c r="JIX22" s="99"/>
      <c r="JIY22" s="99"/>
      <c r="JIZ22" s="99"/>
      <c r="JJA22" s="99"/>
      <c r="JJB22" s="99"/>
      <c r="JJC22" s="99"/>
      <c r="JJD22" s="99"/>
      <c r="JJE22" s="99"/>
      <c r="JJF22" s="99"/>
      <c r="JJG22" s="99"/>
      <c r="JJH22" s="99"/>
      <c r="JJI22" s="99"/>
      <c r="JJJ22" s="99"/>
      <c r="JJK22" s="99"/>
      <c r="JJL22" s="99"/>
      <c r="JJM22" s="99"/>
      <c r="JJN22" s="99"/>
      <c r="JJO22" s="99"/>
      <c r="JJP22" s="99"/>
      <c r="JJQ22" s="99"/>
      <c r="JJR22" s="99"/>
      <c r="JJS22" s="99"/>
      <c r="JJT22" s="99"/>
      <c r="JJU22" s="99"/>
      <c r="JJV22" s="99"/>
      <c r="JJW22" s="99"/>
      <c r="JJX22" s="99"/>
      <c r="JJY22" s="99"/>
      <c r="JJZ22" s="99"/>
      <c r="JKA22" s="99"/>
      <c r="JKB22" s="99"/>
      <c r="JKC22" s="99"/>
      <c r="JKD22" s="99"/>
      <c r="JKE22" s="99"/>
      <c r="JKF22" s="99"/>
      <c r="JKG22" s="99"/>
      <c r="JKH22" s="99"/>
      <c r="JKI22" s="99"/>
      <c r="JKJ22" s="99"/>
      <c r="JKK22" s="99"/>
      <c r="JKL22" s="99"/>
      <c r="JKM22" s="99"/>
      <c r="JKN22" s="99"/>
      <c r="JKO22" s="99"/>
      <c r="JKP22" s="99"/>
      <c r="JKQ22" s="99"/>
      <c r="JKR22" s="99"/>
      <c r="JKS22" s="99"/>
      <c r="JKT22" s="99"/>
      <c r="JKU22" s="99"/>
      <c r="JKV22" s="99"/>
      <c r="JKW22" s="99"/>
      <c r="JKX22" s="99"/>
      <c r="JKY22" s="99"/>
      <c r="JKZ22" s="99"/>
      <c r="JLA22" s="99"/>
      <c r="JLB22" s="99"/>
      <c r="JLC22" s="99"/>
      <c r="JLD22" s="99"/>
      <c r="JLE22" s="99"/>
      <c r="JLF22" s="99"/>
      <c r="JLG22" s="99"/>
      <c r="JLH22" s="99"/>
      <c r="JLI22" s="99"/>
      <c r="JLJ22" s="99"/>
      <c r="JLK22" s="99"/>
      <c r="JLL22" s="99"/>
      <c r="JLM22" s="99"/>
      <c r="JLN22" s="99"/>
      <c r="JLO22" s="99"/>
      <c r="JLP22" s="99"/>
      <c r="JLQ22" s="99"/>
      <c r="JLR22" s="99"/>
      <c r="JLS22" s="99"/>
      <c r="JLT22" s="99"/>
      <c r="JLU22" s="99"/>
      <c r="JLV22" s="99"/>
      <c r="JLW22" s="99"/>
      <c r="JLX22" s="99"/>
      <c r="JLY22" s="99"/>
      <c r="JLZ22" s="99"/>
      <c r="JMA22" s="99"/>
      <c r="JMB22" s="99"/>
      <c r="JMC22" s="99"/>
      <c r="JMD22" s="99"/>
      <c r="JME22" s="99"/>
      <c r="JMF22" s="99"/>
      <c r="JMG22" s="99"/>
      <c r="JMH22" s="99"/>
      <c r="JMI22" s="99"/>
      <c r="JMJ22" s="99"/>
      <c r="JMK22" s="99"/>
      <c r="JML22" s="99"/>
      <c r="JMM22" s="99"/>
      <c r="JMN22" s="99"/>
      <c r="JMO22" s="99"/>
      <c r="JMP22" s="99"/>
      <c r="JMQ22" s="99"/>
      <c r="JMR22" s="99"/>
      <c r="JMS22" s="99"/>
      <c r="JMT22" s="99"/>
      <c r="JMU22" s="99"/>
      <c r="JMV22" s="99"/>
      <c r="JMW22" s="99"/>
      <c r="JMX22" s="99"/>
      <c r="JMY22" s="99"/>
      <c r="JMZ22" s="99"/>
      <c r="JNA22" s="99"/>
      <c r="JNB22" s="99"/>
      <c r="JNC22" s="99"/>
      <c r="JND22" s="99"/>
      <c r="JNE22" s="99"/>
      <c r="JNF22" s="99"/>
      <c r="JNG22" s="99"/>
      <c r="JNH22" s="99"/>
      <c r="JNI22" s="99"/>
      <c r="JNJ22" s="99"/>
      <c r="JNK22" s="99"/>
      <c r="JNL22" s="99"/>
      <c r="JNM22" s="99"/>
      <c r="JNN22" s="99"/>
      <c r="JNO22" s="99"/>
      <c r="JNP22" s="99"/>
      <c r="JNQ22" s="99"/>
      <c r="JNR22" s="99"/>
      <c r="JNS22" s="99"/>
      <c r="JNT22" s="99"/>
      <c r="JNU22" s="99"/>
      <c r="JNV22" s="99"/>
      <c r="JNW22" s="99"/>
      <c r="JNX22" s="99"/>
      <c r="JNY22" s="99"/>
      <c r="JNZ22" s="99"/>
      <c r="JOA22" s="99"/>
      <c r="JOB22" s="99"/>
      <c r="JOC22" s="99"/>
      <c r="JOD22" s="99"/>
      <c r="JOE22" s="99"/>
      <c r="JOF22" s="99"/>
      <c r="JOG22" s="99"/>
      <c r="JOH22" s="99"/>
      <c r="JOI22" s="99"/>
      <c r="JOJ22" s="99"/>
      <c r="JOK22" s="99"/>
      <c r="JOL22" s="99"/>
      <c r="JOM22" s="99"/>
      <c r="JON22" s="99"/>
      <c r="JOO22" s="99"/>
      <c r="JOP22" s="99"/>
      <c r="JOQ22" s="99"/>
      <c r="JOR22" s="99"/>
      <c r="JOS22" s="99"/>
      <c r="JOT22" s="99"/>
      <c r="JOU22" s="99"/>
      <c r="JOV22" s="99"/>
      <c r="JOW22" s="99"/>
      <c r="JOX22" s="99"/>
      <c r="JOY22" s="99"/>
      <c r="JOZ22" s="99"/>
      <c r="JPA22" s="99"/>
      <c r="JPB22" s="99"/>
      <c r="JPC22" s="99"/>
      <c r="JPD22" s="99"/>
      <c r="JPE22" s="99"/>
      <c r="JPF22" s="99"/>
      <c r="JPG22" s="99"/>
      <c r="JPH22" s="99"/>
      <c r="JPI22" s="99"/>
      <c r="JPJ22" s="99"/>
      <c r="JPK22" s="99"/>
      <c r="JPL22" s="99"/>
      <c r="JPM22" s="99"/>
      <c r="JPN22" s="99"/>
      <c r="JPO22" s="99"/>
      <c r="JPP22" s="99"/>
      <c r="JPQ22" s="99"/>
      <c r="JPR22" s="99"/>
      <c r="JPS22" s="99"/>
      <c r="JPT22" s="99"/>
      <c r="JPU22" s="99"/>
      <c r="JPV22" s="99"/>
      <c r="JPW22" s="99"/>
      <c r="JPX22" s="99"/>
      <c r="JPY22" s="99"/>
      <c r="JPZ22" s="99"/>
      <c r="JQA22" s="99"/>
      <c r="JQB22" s="99"/>
      <c r="JQC22" s="99"/>
      <c r="JQD22" s="99"/>
      <c r="JQE22" s="99"/>
      <c r="JQF22" s="99"/>
      <c r="JQG22" s="99"/>
      <c r="JQH22" s="99"/>
      <c r="JQI22" s="99"/>
      <c r="JQJ22" s="99"/>
      <c r="JQK22" s="99"/>
      <c r="JQL22" s="99"/>
      <c r="JQM22" s="99"/>
      <c r="JQN22" s="99"/>
      <c r="JQO22" s="99"/>
      <c r="JQP22" s="99"/>
      <c r="JQQ22" s="99"/>
      <c r="JQR22" s="99"/>
      <c r="JQS22" s="99"/>
      <c r="JQT22" s="99"/>
      <c r="JQU22" s="99"/>
      <c r="JQV22" s="99"/>
      <c r="JQW22" s="99"/>
      <c r="JQX22" s="99"/>
      <c r="JQY22" s="99"/>
      <c r="JQZ22" s="99"/>
      <c r="JRA22" s="99"/>
      <c r="JRB22" s="99"/>
      <c r="JRC22" s="99"/>
      <c r="JRD22" s="99"/>
      <c r="JRE22" s="99"/>
      <c r="JRF22" s="99"/>
      <c r="JRG22" s="99"/>
      <c r="JRH22" s="99"/>
      <c r="JRI22" s="99"/>
      <c r="JRJ22" s="99"/>
      <c r="JRK22" s="99"/>
      <c r="JRL22" s="99"/>
      <c r="JRM22" s="99"/>
      <c r="JRN22" s="99"/>
      <c r="JRO22" s="99"/>
      <c r="JRP22" s="99"/>
      <c r="JRQ22" s="99"/>
      <c r="JRR22" s="99"/>
      <c r="JRS22" s="99"/>
      <c r="JRT22" s="99"/>
      <c r="JRU22" s="99"/>
      <c r="JRV22" s="99"/>
      <c r="JRW22" s="99"/>
      <c r="JRX22" s="99"/>
      <c r="JRY22" s="99"/>
      <c r="JRZ22" s="99"/>
      <c r="JSA22" s="99"/>
      <c r="JSB22" s="99"/>
      <c r="JSC22" s="99"/>
      <c r="JSD22" s="99"/>
      <c r="JSE22" s="99"/>
      <c r="JSF22" s="99"/>
      <c r="JSG22" s="99"/>
      <c r="JSH22" s="99"/>
      <c r="JSI22" s="99"/>
      <c r="JSJ22" s="99"/>
      <c r="JSK22" s="99"/>
      <c r="JSL22" s="99"/>
      <c r="JSM22" s="99"/>
      <c r="JSN22" s="99"/>
      <c r="JSO22" s="99"/>
      <c r="JSP22" s="99"/>
      <c r="JSQ22" s="99"/>
      <c r="JSR22" s="99"/>
      <c r="JSS22" s="99"/>
      <c r="JST22" s="99"/>
      <c r="JSU22" s="99"/>
      <c r="JSV22" s="99"/>
      <c r="JSW22" s="99"/>
      <c r="JSX22" s="99"/>
      <c r="JSY22" s="99"/>
      <c r="JSZ22" s="99"/>
      <c r="JTA22" s="99"/>
      <c r="JTB22" s="99"/>
      <c r="JTC22" s="99"/>
      <c r="JTD22" s="99"/>
      <c r="JTE22" s="99"/>
      <c r="JTF22" s="99"/>
      <c r="JTG22" s="99"/>
      <c r="JTH22" s="99"/>
      <c r="JTI22" s="99"/>
      <c r="JTJ22" s="99"/>
      <c r="JTK22" s="99"/>
      <c r="JTL22" s="99"/>
      <c r="JTM22" s="99"/>
      <c r="JTN22" s="99"/>
      <c r="JTO22" s="99"/>
      <c r="JTP22" s="99"/>
      <c r="JTQ22" s="99"/>
      <c r="JTR22" s="99"/>
      <c r="JTS22" s="99"/>
      <c r="JTT22" s="99"/>
      <c r="JTU22" s="99"/>
      <c r="JTV22" s="99"/>
      <c r="JTW22" s="99"/>
      <c r="JTX22" s="99"/>
      <c r="JTY22" s="99"/>
      <c r="JTZ22" s="99"/>
      <c r="JUA22" s="99"/>
      <c r="JUB22" s="99"/>
      <c r="JUC22" s="99"/>
      <c r="JUD22" s="99"/>
      <c r="JUE22" s="99"/>
      <c r="JUF22" s="99"/>
      <c r="JUG22" s="99"/>
      <c r="JUH22" s="99"/>
      <c r="JUI22" s="99"/>
      <c r="JUJ22" s="99"/>
      <c r="JUK22" s="99"/>
      <c r="JUL22" s="99"/>
      <c r="JUM22" s="99"/>
      <c r="JUN22" s="99"/>
      <c r="JUO22" s="99"/>
      <c r="JUP22" s="99"/>
      <c r="JUQ22" s="99"/>
      <c r="JUR22" s="99"/>
      <c r="JUS22" s="99"/>
      <c r="JUT22" s="99"/>
      <c r="JUU22" s="99"/>
      <c r="JUV22" s="99"/>
      <c r="JUW22" s="99"/>
      <c r="JUX22" s="99"/>
      <c r="JUY22" s="99"/>
      <c r="JUZ22" s="99"/>
      <c r="JVA22" s="99"/>
      <c r="JVB22" s="99"/>
      <c r="JVC22" s="99"/>
      <c r="JVD22" s="99"/>
      <c r="JVE22" s="99"/>
      <c r="JVF22" s="99"/>
      <c r="JVG22" s="99"/>
      <c r="JVH22" s="99"/>
      <c r="JVI22" s="99"/>
      <c r="JVJ22" s="99"/>
      <c r="JVK22" s="99"/>
      <c r="JVL22" s="99"/>
      <c r="JVM22" s="99"/>
      <c r="JVN22" s="99"/>
      <c r="JVO22" s="99"/>
      <c r="JVP22" s="99"/>
      <c r="JVQ22" s="99"/>
      <c r="JVR22" s="99"/>
      <c r="JVS22" s="99"/>
      <c r="JVT22" s="99"/>
      <c r="JVU22" s="99"/>
      <c r="JVV22" s="99"/>
      <c r="JVW22" s="99"/>
      <c r="JVX22" s="99"/>
      <c r="JVY22" s="99"/>
      <c r="JVZ22" s="99"/>
      <c r="JWA22" s="99"/>
      <c r="JWB22" s="99"/>
      <c r="JWC22" s="99"/>
      <c r="JWD22" s="99"/>
      <c r="JWE22" s="99"/>
      <c r="JWF22" s="99"/>
      <c r="JWG22" s="99"/>
      <c r="JWH22" s="99"/>
      <c r="JWI22" s="99"/>
      <c r="JWJ22" s="99"/>
      <c r="JWK22" s="99"/>
      <c r="JWL22" s="99"/>
      <c r="JWM22" s="99"/>
      <c r="JWN22" s="99"/>
      <c r="JWO22" s="99"/>
      <c r="JWP22" s="99"/>
      <c r="JWQ22" s="99"/>
      <c r="JWR22" s="99"/>
      <c r="JWS22" s="99"/>
      <c r="JWT22" s="99"/>
      <c r="JWU22" s="99"/>
      <c r="JWV22" s="99"/>
      <c r="JWW22" s="99"/>
      <c r="JWX22" s="99"/>
      <c r="JWY22" s="99"/>
      <c r="JWZ22" s="99"/>
      <c r="JXA22" s="99"/>
      <c r="JXB22" s="99"/>
      <c r="JXC22" s="99"/>
      <c r="JXD22" s="99"/>
      <c r="JXE22" s="99"/>
      <c r="JXF22" s="99"/>
      <c r="JXG22" s="99"/>
      <c r="JXH22" s="99"/>
      <c r="JXI22" s="99"/>
      <c r="JXJ22" s="99"/>
      <c r="JXK22" s="99"/>
      <c r="JXL22" s="99"/>
      <c r="JXM22" s="99"/>
      <c r="JXN22" s="99"/>
      <c r="JXO22" s="99"/>
      <c r="JXP22" s="99"/>
      <c r="JXQ22" s="99"/>
      <c r="JXR22" s="99"/>
      <c r="JXS22" s="99"/>
      <c r="JXT22" s="99"/>
      <c r="JXU22" s="99"/>
      <c r="JXV22" s="99"/>
      <c r="JXW22" s="99"/>
      <c r="JXX22" s="99"/>
      <c r="JXY22" s="99"/>
      <c r="JXZ22" s="99"/>
      <c r="JYA22" s="99"/>
      <c r="JYB22" s="99"/>
      <c r="JYC22" s="99"/>
      <c r="JYD22" s="99"/>
      <c r="JYE22" s="99"/>
      <c r="JYF22" s="99"/>
      <c r="JYG22" s="99"/>
      <c r="JYH22" s="99"/>
      <c r="JYI22" s="99"/>
      <c r="JYJ22" s="99"/>
      <c r="JYK22" s="99"/>
      <c r="JYL22" s="99"/>
      <c r="JYM22" s="99"/>
      <c r="JYN22" s="99"/>
      <c r="JYO22" s="99"/>
      <c r="JYP22" s="99"/>
      <c r="JYQ22" s="99"/>
      <c r="JYR22" s="99"/>
      <c r="JYS22" s="99"/>
      <c r="JYT22" s="99"/>
      <c r="JYU22" s="99"/>
      <c r="JYV22" s="99"/>
      <c r="JYW22" s="99"/>
      <c r="JYX22" s="99"/>
      <c r="JYY22" s="99"/>
      <c r="JYZ22" s="99"/>
      <c r="JZA22" s="99"/>
      <c r="JZB22" s="99"/>
      <c r="JZC22" s="99"/>
      <c r="JZD22" s="99"/>
      <c r="JZE22" s="99"/>
      <c r="JZF22" s="99"/>
      <c r="JZG22" s="99"/>
      <c r="JZH22" s="99"/>
      <c r="JZI22" s="99"/>
      <c r="JZJ22" s="99"/>
      <c r="JZK22" s="99"/>
      <c r="JZL22" s="99"/>
      <c r="JZM22" s="99"/>
      <c r="JZN22" s="99"/>
      <c r="JZO22" s="99"/>
      <c r="JZP22" s="99"/>
      <c r="JZQ22" s="99"/>
      <c r="JZR22" s="99"/>
      <c r="JZS22" s="99"/>
      <c r="JZT22" s="99"/>
      <c r="JZU22" s="99"/>
      <c r="JZV22" s="99"/>
      <c r="JZW22" s="99"/>
      <c r="JZX22" s="99"/>
      <c r="JZY22" s="99"/>
      <c r="JZZ22" s="99"/>
      <c r="KAA22" s="99"/>
      <c r="KAB22" s="99"/>
      <c r="KAC22" s="99"/>
      <c r="KAD22" s="99"/>
      <c r="KAE22" s="99"/>
      <c r="KAF22" s="99"/>
      <c r="KAG22" s="99"/>
      <c r="KAH22" s="99"/>
      <c r="KAI22" s="99"/>
      <c r="KAJ22" s="99"/>
      <c r="KAK22" s="99"/>
      <c r="KAL22" s="99"/>
      <c r="KAM22" s="99"/>
      <c r="KAN22" s="99"/>
      <c r="KAO22" s="99"/>
      <c r="KAP22" s="99"/>
      <c r="KAQ22" s="99"/>
      <c r="KAR22" s="99"/>
      <c r="KAS22" s="99"/>
      <c r="KAT22" s="99"/>
      <c r="KAU22" s="99"/>
      <c r="KAV22" s="99"/>
      <c r="KAW22" s="99"/>
      <c r="KAX22" s="99"/>
      <c r="KAY22" s="99"/>
      <c r="KAZ22" s="99"/>
      <c r="KBA22" s="99"/>
      <c r="KBB22" s="99"/>
      <c r="KBC22" s="99"/>
      <c r="KBD22" s="99"/>
      <c r="KBE22" s="99"/>
      <c r="KBF22" s="99"/>
      <c r="KBG22" s="99"/>
      <c r="KBH22" s="99"/>
      <c r="KBI22" s="99"/>
      <c r="KBJ22" s="99"/>
      <c r="KBK22" s="99"/>
      <c r="KBL22" s="99"/>
      <c r="KBM22" s="99"/>
      <c r="KBN22" s="99"/>
      <c r="KBO22" s="99"/>
      <c r="KBP22" s="99"/>
      <c r="KBQ22" s="99"/>
      <c r="KBR22" s="99"/>
      <c r="KBS22" s="99"/>
      <c r="KBT22" s="99"/>
      <c r="KBU22" s="99"/>
      <c r="KBV22" s="99"/>
      <c r="KBW22" s="99"/>
      <c r="KBX22" s="99"/>
      <c r="KBY22" s="99"/>
      <c r="KBZ22" s="99"/>
      <c r="KCA22" s="99"/>
      <c r="KCB22" s="99"/>
      <c r="KCC22" s="99"/>
      <c r="KCD22" s="99"/>
      <c r="KCE22" s="99"/>
      <c r="KCF22" s="99"/>
      <c r="KCG22" s="99"/>
      <c r="KCH22" s="99"/>
      <c r="KCI22" s="99"/>
      <c r="KCJ22" s="99"/>
      <c r="KCK22" s="99"/>
      <c r="KCL22" s="99"/>
      <c r="KCM22" s="99"/>
      <c r="KCN22" s="99"/>
      <c r="KCO22" s="99"/>
      <c r="KCP22" s="99"/>
      <c r="KCQ22" s="99"/>
      <c r="KCR22" s="99"/>
      <c r="KCS22" s="99"/>
      <c r="KCT22" s="99"/>
      <c r="KCU22" s="99"/>
      <c r="KCV22" s="99"/>
      <c r="KCW22" s="99"/>
      <c r="KCX22" s="99"/>
      <c r="KCY22" s="99"/>
      <c r="KCZ22" s="99"/>
      <c r="KDA22" s="99"/>
      <c r="KDB22" s="99"/>
      <c r="KDC22" s="99"/>
      <c r="KDD22" s="99"/>
      <c r="KDE22" s="99"/>
      <c r="KDF22" s="99"/>
      <c r="KDG22" s="99"/>
      <c r="KDH22" s="99"/>
      <c r="KDI22" s="99"/>
      <c r="KDJ22" s="99"/>
      <c r="KDK22" s="99"/>
      <c r="KDL22" s="99"/>
      <c r="KDM22" s="99"/>
      <c r="KDN22" s="99"/>
      <c r="KDO22" s="99"/>
      <c r="KDP22" s="99"/>
      <c r="KDQ22" s="99"/>
      <c r="KDR22" s="99"/>
      <c r="KDS22" s="99"/>
      <c r="KDT22" s="99"/>
      <c r="KDU22" s="99"/>
      <c r="KDV22" s="99"/>
      <c r="KDW22" s="99"/>
      <c r="KDX22" s="99"/>
      <c r="KDY22" s="99"/>
      <c r="KDZ22" s="99"/>
      <c r="KEA22" s="99"/>
      <c r="KEB22" s="99"/>
      <c r="KEC22" s="99"/>
      <c r="KED22" s="99"/>
      <c r="KEE22" s="99"/>
      <c r="KEF22" s="99"/>
      <c r="KEG22" s="99"/>
      <c r="KEH22" s="99"/>
      <c r="KEI22" s="99"/>
      <c r="KEJ22" s="99"/>
      <c r="KEK22" s="99"/>
      <c r="KEL22" s="99"/>
      <c r="KEM22" s="99"/>
      <c r="KEN22" s="99"/>
      <c r="KEO22" s="99"/>
      <c r="KEP22" s="99"/>
      <c r="KEQ22" s="99"/>
      <c r="KER22" s="99"/>
      <c r="KES22" s="99"/>
      <c r="KET22" s="99"/>
      <c r="KEU22" s="99"/>
      <c r="KEV22" s="99"/>
      <c r="KEW22" s="99"/>
      <c r="KEX22" s="99"/>
      <c r="KEY22" s="99"/>
      <c r="KEZ22" s="99"/>
      <c r="KFA22" s="99"/>
      <c r="KFB22" s="99"/>
      <c r="KFC22" s="99"/>
      <c r="KFD22" s="99"/>
      <c r="KFE22" s="99"/>
      <c r="KFF22" s="99"/>
      <c r="KFG22" s="99"/>
      <c r="KFH22" s="99"/>
      <c r="KFI22" s="99"/>
      <c r="KFJ22" s="99"/>
      <c r="KFK22" s="99"/>
      <c r="KFL22" s="99"/>
      <c r="KFM22" s="99"/>
      <c r="KFN22" s="99"/>
      <c r="KFO22" s="99"/>
      <c r="KFP22" s="99"/>
      <c r="KFQ22" s="99"/>
      <c r="KFR22" s="99"/>
      <c r="KFS22" s="99"/>
      <c r="KFT22" s="99"/>
      <c r="KFU22" s="99"/>
      <c r="KFV22" s="99"/>
      <c r="KFW22" s="99"/>
      <c r="KFX22" s="99"/>
      <c r="KFY22" s="99"/>
      <c r="KFZ22" s="99"/>
      <c r="KGA22" s="99"/>
      <c r="KGB22" s="99"/>
      <c r="KGC22" s="99"/>
      <c r="KGD22" s="99"/>
      <c r="KGE22" s="99"/>
      <c r="KGF22" s="99"/>
      <c r="KGG22" s="99"/>
      <c r="KGH22" s="99"/>
      <c r="KGI22" s="99"/>
      <c r="KGJ22" s="99"/>
      <c r="KGK22" s="99"/>
      <c r="KGL22" s="99"/>
      <c r="KGM22" s="99"/>
      <c r="KGN22" s="99"/>
      <c r="KGO22" s="99"/>
      <c r="KGP22" s="99"/>
      <c r="KGQ22" s="99"/>
      <c r="KGR22" s="99"/>
      <c r="KGS22" s="99"/>
      <c r="KGT22" s="99"/>
      <c r="KGU22" s="99"/>
      <c r="KGV22" s="99"/>
      <c r="KGW22" s="99"/>
      <c r="KGX22" s="99"/>
      <c r="KGY22" s="99"/>
      <c r="KGZ22" s="99"/>
      <c r="KHA22" s="99"/>
      <c r="KHB22" s="99"/>
      <c r="KHC22" s="99"/>
      <c r="KHD22" s="99"/>
      <c r="KHE22" s="99"/>
      <c r="KHF22" s="99"/>
      <c r="KHG22" s="99"/>
      <c r="KHH22" s="99"/>
      <c r="KHI22" s="99"/>
      <c r="KHJ22" s="99"/>
      <c r="KHK22" s="99"/>
      <c r="KHL22" s="99"/>
      <c r="KHM22" s="99"/>
      <c r="KHN22" s="99"/>
      <c r="KHO22" s="99"/>
      <c r="KHP22" s="99"/>
      <c r="KHQ22" s="99"/>
      <c r="KHR22" s="99"/>
      <c r="KHS22" s="99"/>
      <c r="KHT22" s="99"/>
      <c r="KHU22" s="99"/>
      <c r="KHV22" s="99"/>
      <c r="KHW22" s="99"/>
      <c r="KHX22" s="99"/>
      <c r="KHY22" s="99"/>
      <c r="KHZ22" s="99"/>
      <c r="KIA22" s="99"/>
      <c r="KIB22" s="99"/>
      <c r="KIC22" s="99"/>
      <c r="KID22" s="99"/>
      <c r="KIE22" s="99"/>
      <c r="KIF22" s="99"/>
      <c r="KIG22" s="99"/>
      <c r="KIH22" s="99"/>
      <c r="KII22" s="99"/>
      <c r="KIJ22" s="99"/>
      <c r="KIK22" s="99"/>
      <c r="KIL22" s="99"/>
      <c r="KIM22" s="99"/>
      <c r="KIN22" s="99"/>
      <c r="KIO22" s="99"/>
      <c r="KIP22" s="99"/>
      <c r="KIQ22" s="99"/>
      <c r="KIR22" s="99"/>
      <c r="KIS22" s="99"/>
      <c r="KIT22" s="99"/>
      <c r="KIU22" s="99"/>
      <c r="KIV22" s="99"/>
      <c r="KIW22" s="99"/>
      <c r="KIX22" s="99"/>
      <c r="KIY22" s="99"/>
      <c r="KIZ22" s="99"/>
      <c r="KJA22" s="99"/>
      <c r="KJB22" s="99"/>
      <c r="KJC22" s="99"/>
      <c r="KJD22" s="99"/>
      <c r="KJE22" s="99"/>
      <c r="KJF22" s="99"/>
      <c r="KJG22" s="99"/>
      <c r="KJH22" s="99"/>
      <c r="KJI22" s="99"/>
      <c r="KJJ22" s="99"/>
      <c r="KJK22" s="99"/>
      <c r="KJL22" s="99"/>
      <c r="KJM22" s="99"/>
      <c r="KJN22" s="99"/>
      <c r="KJO22" s="99"/>
      <c r="KJP22" s="99"/>
      <c r="KJQ22" s="99"/>
      <c r="KJR22" s="99"/>
      <c r="KJS22" s="99"/>
      <c r="KJT22" s="99"/>
      <c r="KJU22" s="99"/>
      <c r="KJV22" s="99"/>
      <c r="KJW22" s="99"/>
      <c r="KJX22" s="99"/>
      <c r="KJY22" s="99"/>
      <c r="KJZ22" s="99"/>
      <c r="KKA22" s="99"/>
      <c r="KKB22" s="99"/>
      <c r="KKC22" s="99"/>
      <c r="KKD22" s="99"/>
      <c r="KKE22" s="99"/>
      <c r="KKF22" s="99"/>
      <c r="KKG22" s="99"/>
      <c r="KKH22" s="99"/>
      <c r="KKI22" s="99"/>
      <c r="KKJ22" s="99"/>
      <c r="KKK22" s="99"/>
      <c r="KKL22" s="99"/>
      <c r="KKM22" s="99"/>
      <c r="KKN22" s="99"/>
      <c r="KKO22" s="99"/>
      <c r="KKP22" s="99"/>
      <c r="KKQ22" s="99"/>
      <c r="KKR22" s="99"/>
      <c r="KKS22" s="99"/>
      <c r="KKT22" s="99"/>
      <c r="KKU22" s="99"/>
      <c r="KKV22" s="99"/>
      <c r="KKW22" s="99"/>
      <c r="KKX22" s="99"/>
      <c r="KKY22" s="99"/>
      <c r="KKZ22" s="99"/>
      <c r="KLA22" s="99"/>
      <c r="KLB22" s="99"/>
      <c r="KLC22" s="99"/>
      <c r="KLD22" s="99"/>
      <c r="KLE22" s="99"/>
      <c r="KLF22" s="99"/>
      <c r="KLG22" s="99"/>
      <c r="KLH22" s="99"/>
      <c r="KLI22" s="99"/>
      <c r="KLJ22" s="99"/>
      <c r="KLK22" s="99"/>
      <c r="KLL22" s="99"/>
      <c r="KLM22" s="99"/>
      <c r="KLN22" s="99"/>
      <c r="KLO22" s="99"/>
      <c r="KLP22" s="99"/>
      <c r="KLQ22" s="99"/>
      <c r="KLR22" s="99"/>
      <c r="KLS22" s="99"/>
      <c r="KLT22" s="99"/>
      <c r="KLU22" s="99"/>
      <c r="KLV22" s="99"/>
      <c r="KLW22" s="99"/>
      <c r="KLX22" s="99"/>
      <c r="KLY22" s="99"/>
      <c r="KLZ22" s="99"/>
      <c r="KMA22" s="99"/>
      <c r="KMB22" s="99"/>
      <c r="KMC22" s="99"/>
      <c r="KMD22" s="99"/>
      <c r="KME22" s="99"/>
      <c r="KMF22" s="99"/>
      <c r="KMG22" s="99"/>
      <c r="KMH22" s="99"/>
      <c r="KMI22" s="99"/>
      <c r="KMJ22" s="99"/>
      <c r="KMK22" s="99"/>
      <c r="KML22" s="99"/>
      <c r="KMM22" s="99"/>
      <c r="KMN22" s="99"/>
      <c r="KMO22" s="99"/>
      <c r="KMP22" s="99"/>
      <c r="KMQ22" s="99"/>
      <c r="KMR22" s="99"/>
      <c r="KMS22" s="99"/>
      <c r="KMT22" s="99"/>
      <c r="KMU22" s="99"/>
      <c r="KMV22" s="99"/>
      <c r="KMW22" s="99"/>
      <c r="KMX22" s="99"/>
      <c r="KMY22" s="99"/>
      <c r="KMZ22" s="99"/>
      <c r="KNA22" s="99"/>
      <c r="KNB22" s="99"/>
      <c r="KNC22" s="99"/>
      <c r="KND22" s="99"/>
      <c r="KNE22" s="99"/>
      <c r="KNF22" s="99"/>
      <c r="KNG22" s="99"/>
      <c r="KNH22" s="99"/>
      <c r="KNI22" s="99"/>
      <c r="KNJ22" s="99"/>
      <c r="KNK22" s="99"/>
      <c r="KNL22" s="99"/>
      <c r="KNM22" s="99"/>
      <c r="KNN22" s="99"/>
      <c r="KNO22" s="99"/>
      <c r="KNP22" s="99"/>
      <c r="KNQ22" s="99"/>
      <c r="KNR22" s="99"/>
      <c r="KNS22" s="99"/>
      <c r="KNT22" s="99"/>
      <c r="KNU22" s="99"/>
      <c r="KNV22" s="99"/>
      <c r="KNW22" s="99"/>
      <c r="KNX22" s="99"/>
      <c r="KNY22" s="99"/>
      <c r="KNZ22" s="99"/>
      <c r="KOA22" s="99"/>
      <c r="KOB22" s="99"/>
      <c r="KOC22" s="99"/>
      <c r="KOD22" s="99"/>
      <c r="KOE22" s="99"/>
      <c r="KOF22" s="99"/>
      <c r="KOG22" s="99"/>
      <c r="KOH22" s="99"/>
      <c r="KOI22" s="99"/>
      <c r="KOJ22" s="99"/>
      <c r="KOK22" s="99"/>
      <c r="KOL22" s="99"/>
      <c r="KOM22" s="99"/>
      <c r="KON22" s="99"/>
      <c r="KOO22" s="99"/>
      <c r="KOP22" s="99"/>
      <c r="KOQ22" s="99"/>
      <c r="KOR22" s="99"/>
      <c r="KOS22" s="99"/>
      <c r="KOT22" s="99"/>
      <c r="KOU22" s="99"/>
      <c r="KOV22" s="99"/>
      <c r="KOW22" s="99"/>
      <c r="KOX22" s="99"/>
      <c r="KOY22" s="99"/>
      <c r="KOZ22" s="99"/>
      <c r="KPA22" s="99"/>
      <c r="KPB22" s="99"/>
      <c r="KPC22" s="99"/>
      <c r="KPD22" s="99"/>
      <c r="KPE22" s="99"/>
      <c r="KPF22" s="99"/>
      <c r="KPG22" s="99"/>
      <c r="KPH22" s="99"/>
      <c r="KPI22" s="99"/>
      <c r="KPJ22" s="99"/>
      <c r="KPK22" s="99"/>
      <c r="KPL22" s="99"/>
      <c r="KPM22" s="99"/>
      <c r="KPN22" s="99"/>
      <c r="KPO22" s="99"/>
      <c r="KPP22" s="99"/>
      <c r="KPQ22" s="99"/>
      <c r="KPR22" s="99"/>
      <c r="KPS22" s="99"/>
      <c r="KPT22" s="99"/>
      <c r="KPU22" s="99"/>
      <c r="KPV22" s="99"/>
      <c r="KPW22" s="99"/>
      <c r="KPX22" s="99"/>
      <c r="KPY22" s="99"/>
      <c r="KPZ22" s="99"/>
      <c r="KQA22" s="99"/>
      <c r="KQB22" s="99"/>
      <c r="KQC22" s="99"/>
      <c r="KQD22" s="99"/>
      <c r="KQE22" s="99"/>
      <c r="KQF22" s="99"/>
      <c r="KQG22" s="99"/>
      <c r="KQH22" s="99"/>
      <c r="KQI22" s="99"/>
      <c r="KQJ22" s="99"/>
      <c r="KQK22" s="99"/>
      <c r="KQL22" s="99"/>
      <c r="KQM22" s="99"/>
      <c r="KQN22" s="99"/>
      <c r="KQO22" s="99"/>
      <c r="KQP22" s="99"/>
      <c r="KQQ22" s="99"/>
      <c r="KQR22" s="99"/>
      <c r="KQS22" s="99"/>
      <c r="KQT22" s="99"/>
      <c r="KQU22" s="99"/>
      <c r="KQV22" s="99"/>
      <c r="KQW22" s="99"/>
      <c r="KQX22" s="99"/>
      <c r="KQY22" s="99"/>
      <c r="KQZ22" s="99"/>
      <c r="KRA22" s="99"/>
      <c r="KRB22" s="99"/>
      <c r="KRC22" s="99"/>
      <c r="KRD22" s="99"/>
      <c r="KRE22" s="99"/>
      <c r="KRF22" s="99"/>
      <c r="KRG22" s="99"/>
      <c r="KRH22" s="99"/>
      <c r="KRI22" s="99"/>
      <c r="KRJ22" s="99"/>
      <c r="KRK22" s="99"/>
      <c r="KRL22" s="99"/>
      <c r="KRM22" s="99"/>
      <c r="KRN22" s="99"/>
      <c r="KRO22" s="99"/>
      <c r="KRP22" s="99"/>
      <c r="KRQ22" s="99"/>
      <c r="KRR22" s="99"/>
      <c r="KRS22" s="99"/>
      <c r="KRT22" s="99"/>
      <c r="KRU22" s="99"/>
      <c r="KRV22" s="99"/>
      <c r="KRW22" s="99"/>
      <c r="KRX22" s="99"/>
      <c r="KRY22" s="99"/>
      <c r="KRZ22" s="99"/>
      <c r="KSA22" s="99"/>
      <c r="KSB22" s="99"/>
      <c r="KSC22" s="99"/>
      <c r="KSD22" s="99"/>
      <c r="KSE22" s="99"/>
      <c r="KSF22" s="99"/>
      <c r="KSG22" s="99"/>
      <c r="KSH22" s="99"/>
      <c r="KSI22" s="99"/>
      <c r="KSJ22" s="99"/>
      <c r="KSK22" s="99"/>
      <c r="KSL22" s="99"/>
      <c r="KSM22" s="99"/>
      <c r="KSN22" s="99"/>
      <c r="KSO22" s="99"/>
      <c r="KSP22" s="99"/>
      <c r="KSQ22" s="99"/>
      <c r="KSR22" s="99"/>
      <c r="KSS22" s="99"/>
      <c r="KST22" s="99"/>
      <c r="KSU22" s="99"/>
      <c r="KSV22" s="99"/>
      <c r="KSW22" s="99"/>
      <c r="KSX22" s="99"/>
      <c r="KSY22" s="99"/>
      <c r="KSZ22" s="99"/>
      <c r="KTA22" s="99"/>
      <c r="KTB22" s="99"/>
      <c r="KTC22" s="99"/>
      <c r="KTD22" s="99"/>
      <c r="KTE22" s="99"/>
      <c r="KTF22" s="99"/>
      <c r="KTG22" s="99"/>
      <c r="KTH22" s="99"/>
      <c r="KTI22" s="99"/>
      <c r="KTJ22" s="99"/>
      <c r="KTK22" s="99"/>
      <c r="KTL22" s="99"/>
      <c r="KTM22" s="99"/>
      <c r="KTN22" s="99"/>
      <c r="KTO22" s="99"/>
      <c r="KTP22" s="99"/>
      <c r="KTQ22" s="99"/>
      <c r="KTR22" s="99"/>
      <c r="KTS22" s="99"/>
      <c r="KTT22" s="99"/>
      <c r="KTU22" s="99"/>
      <c r="KTV22" s="99"/>
      <c r="KTW22" s="99"/>
      <c r="KTX22" s="99"/>
      <c r="KTY22" s="99"/>
      <c r="KTZ22" s="99"/>
      <c r="KUA22" s="99"/>
      <c r="KUB22" s="99"/>
      <c r="KUC22" s="99"/>
      <c r="KUD22" s="99"/>
      <c r="KUE22" s="99"/>
      <c r="KUF22" s="99"/>
      <c r="KUG22" s="99"/>
      <c r="KUH22" s="99"/>
      <c r="KUI22" s="99"/>
      <c r="KUJ22" s="99"/>
      <c r="KUK22" s="99"/>
      <c r="KUL22" s="99"/>
      <c r="KUM22" s="99"/>
      <c r="KUN22" s="99"/>
      <c r="KUO22" s="99"/>
      <c r="KUP22" s="99"/>
      <c r="KUQ22" s="99"/>
      <c r="KUR22" s="99"/>
      <c r="KUS22" s="99"/>
      <c r="KUT22" s="99"/>
      <c r="KUU22" s="99"/>
      <c r="KUV22" s="99"/>
      <c r="KUW22" s="99"/>
      <c r="KUX22" s="99"/>
      <c r="KUY22" s="99"/>
      <c r="KUZ22" s="99"/>
      <c r="KVA22" s="99"/>
      <c r="KVB22" s="99"/>
      <c r="KVC22" s="99"/>
      <c r="KVD22" s="99"/>
      <c r="KVE22" s="99"/>
      <c r="KVF22" s="99"/>
      <c r="KVG22" s="99"/>
      <c r="KVH22" s="99"/>
      <c r="KVI22" s="99"/>
      <c r="KVJ22" s="99"/>
      <c r="KVK22" s="99"/>
      <c r="KVL22" s="99"/>
      <c r="KVM22" s="99"/>
      <c r="KVN22" s="99"/>
      <c r="KVO22" s="99"/>
      <c r="KVP22" s="99"/>
      <c r="KVQ22" s="99"/>
      <c r="KVR22" s="99"/>
      <c r="KVS22" s="99"/>
      <c r="KVT22" s="99"/>
      <c r="KVU22" s="99"/>
      <c r="KVV22" s="99"/>
      <c r="KVW22" s="99"/>
      <c r="KVX22" s="99"/>
      <c r="KVY22" s="99"/>
      <c r="KVZ22" s="99"/>
      <c r="KWA22" s="99"/>
      <c r="KWB22" s="99"/>
      <c r="KWC22" s="99"/>
      <c r="KWD22" s="99"/>
      <c r="KWE22" s="99"/>
      <c r="KWF22" s="99"/>
      <c r="KWG22" s="99"/>
      <c r="KWH22" s="99"/>
      <c r="KWI22" s="99"/>
      <c r="KWJ22" s="99"/>
      <c r="KWK22" s="99"/>
      <c r="KWL22" s="99"/>
      <c r="KWM22" s="99"/>
      <c r="KWN22" s="99"/>
      <c r="KWO22" s="99"/>
      <c r="KWP22" s="99"/>
      <c r="KWQ22" s="99"/>
      <c r="KWR22" s="99"/>
      <c r="KWS22" s="99"/>
      <c r="KWT22" s="99"/>
      <c r="KWU22" s="99"/>
      <c r="KWV22" s="99"/>
      <c r="KWW22" s="99"/>
      <c r="KWX22" s="99"/>
      <c r="KWY22" s="99"/>
      <c r="KWZ22" s="99"/>
      <c r="KXA22" s="99"/>
      <c r="KXB22" s="99"/>
      <c r="KXC22" s="99"/>
      <c r="KXD22" s="99"/>
      <c r="KXE22" s="99"/>
      <c r="KXF22" s="99"/>
      <c r="KXG22" s="99"/>
      <c r="KXH22" s="99"/>
      <c r="KXI22" s="99"/>
      <c r="KXJ22" s="99"/>
      <c r="KXK22" s="99"/>
      <c r="KXL22" s="99"/>
      <c r="KXM22" s="99"/>
      <c r="KXN22" s="99"/>
      <c r="KXO22" s="99"/>
      <c r="KXP22" s="99"/>
      <c r="KXQ22" s="99"/>
      <c r="KXR22" s="99"/>
      <c r="KXS22" s="99"/>
      <c r="KXT22" s="99"/>
      <c r="KXU22" s="99"/>
      <c r="KXV22" s="99"/>
      <c r="KXW22" s="99"/>
      <c r="KXX22" s="99"/>
      <c r="KXY22" s="99"/>
      <c r="KXZ22" s="99"/>
      <c r="KYA22" s="99"/>
      <c r="KYB22" s="99"/>
      <c r="KYC22" s="99"/>
      <c r="KYD22" s="99"/>
      <c r="KYE22" s="99"/>
      <c r="KYF22" s="99"/>
      <c r="KYG22" s="99"/>
      <c r="KYH22" s="99"/>
      <c r="KYI22" s="99"/>
      <c r="KYJ22" s="99"/>
      <c r="KYK22" s="99"/>
      <c r="KYL22" s="99"/>
      <c r="KYM22" s="99"/>
      <c r="KYN22" s="99"/>
      <c r="KYO22" s="99"/>
      <c r="KYP22" s="99"/>
      <c r="KYQ22" s="99"/>
      <c r="KYR22" s="99"/>
      <c r="KYS22" s="99"/>
      <c r="KYT22" s="99"/>
      <c r="KYU22" s="99"/>
      <c r="KYV22" s="99"/>
      <c r="KYW22" s="99"/>
      <c r="KYX22" s="99"/>
      <c r="KYY22" s="99"/>
      <c r="KYZ22" s="99"/>
      <c r="KZA22" s="99"/>
      <c r="KZB22" s="99"/>
      <c r="KZC22" s="99"/>
      <c r="KZD22" s="99"/>
      <c r="KZE22" s="99"/>
      <c r="KZF22" s="99"/>
      <c r="KZG22" s="99"/>
      <c r="KZH22" s="99"/>
      <c r="KZI22" s="99"/>
      <c r="KZJ22" s="99"/>
      <c r="KZK22" s="99"/>
      <c r="KZL22" s="99"/>
      <c r="KZM22" s="99"/>
      <c r="KZN22" s="99"/>
      <c r="KZO22" s="99"/>
      <c r="KZP22" s="99"/>
      <c r="KZQ22" s="99"/>
      <c r="KZR22" s="99"/>
      <c r="KZS22" s="99"/>
      <c r="KZT22" s="99"/>
      <c r="KZU22" s="99"/>
      <c r="KZV22" s="99"/>
      <c r="KZW22" s="99"/>
      <c r="KZX22" s="99"/>
      <c r="KZY22" s="99"/>
      <c r="KZZ22" s="99"/>
      <c r="LAA22" s="99"/>
      <c r="LAB22" s="99"/>
      <c r="LAC22" s="99"/>
      <c r="LAD22" s="99"/>
      <c r="LAE22" s="99"/>
      <c r="LAF22" s="99"/>
      <c r="LAG22" s="99"/>
      <c r="LAH22" s="99"/>
      <c r="LAI22" s="99"/>
      <c r="LAJ22" s="99"/>
      <c r="LAK22" s="99"/>
      <c r="LAL22" s="99"/>
      <c r="LAM22" s="99"/>
      <c r="LAN22" s="99"/>
      <c r="LAO22" s="99"/>
      <c r="LAP22" s="99"/>
      <c r="LAQ22" s="99"/>
      <c r="LAR22" s="99"/>
      <c r="LAS22" s="99"/>
      <c r="LAT22" s="99"/>
      <c r="LAU22" s="99"/>
      <c r="LAV22" s="99"/>
      <c r="LAW22" s="99"/>
      <c r="LAX22" s="99"/>
      <c r="LAY22" s="99"/>
      <c r="LAZ22" s="99"/>
      <c r="LBA22" s="99"/>
      <c r="LBB22" s="99"/>
      <c r="LBC22" s="99"/>
      <c r="LBD22" s="99"/>
      <c r="LBE22" s="99"/>
      <c r="LBF22" s="99"/>
      <c r="LBG22" s="99"/>
      <c r="LBH22" s="99"/>
      <c r="LBI22" s="99"/>
      <c r="LBJ22" s="99"/>
      <c r="LBK22" s="99"/>
      <c r="LBL22" s="99"/>
      <c r="LBM22" s="99"/>
      <c r="LBN22" s="99"/>
      <c r="LBO22" s="99"/>
      <c r="LBP22" s="99"/>
      <c r="LBQ22" s="99"/>
      <c r="LBR22" s="99"/>
      <c r="LBS22" s="99"/>
      <c r="LBT22" s="99"/>
      <c r="LBU22" s="99"/>
      <c r="LBV22" s="99"/>
      <c r="LBW22" s="99"/>
      <c r="LBX22" s="99"/>
      <c r="LBY22" s="99"/>
      <c r="LBZ22" s="99"/>
      <c r="LCA22" s="99"/>
      <c r="LCB22" s="99"/>
      <c r="LCC22" s="99"/>
      <c r="LCD22" s="99"/>
      <c r="LCE22" s="99"/>
      <c r="LCF22" s="99"/>
      <c r="LCG22" s="99"/>
      <c r="LCH22" s="99"/>
      <c r="LCI22" s="99"/>
      <c r="LCJ22" s="99"/>
      <c r="LCK22" s="99"/>
      <c r="LCL22" s="99"/>
      <c r="LCM22" s="99"/>
      <c r="LCN22" s="99"/>
      <c r="LCO22" s="99"/>
      <c r="LCP22" s="99"/>
      <c r="LCQ22" s="99"/>
      <c r="LCR22" s="99"/>
      <c r="LCS22" s="99"/>
      <c r="LCT22" s="99"/>
      <c r="LCU22" s="99"/>
      <c r="LCV22" s="99"/>
      <c r="LCW22" s="99"/>
      <c r="LCX22" s="99"/>
      <c r="LCY22" s="99"/>
      <c r="LCZ22" s="99"/>
      <c r="LDA22" s="99"/>
      <c r="LDB22" s="99"/>
      <c r="LDC22" s="99"/>
      <c r="LDD22" s="99"/>
      <c r="LDE22" s="99"/>
      <c r="LDF22" s="99"/>
      <c r="LDG22" s="99"/>
      <c r="LDH22" s="99"/>
      <c r="LDI22" s="99"/>
      <c r="LDJ22" s="99"/>
      <c r="LDK22" s="99"/>
      <c r="LDL22" s="99"/>
      <c r="LDM22" s="99"/>
      <c r="LDN22" s="99"/>
      <c r="LDO22" s="99"/>
      <c r="LDP22" s="99"/>
      <c r="LDQ22" s="99"/>
      <c r="LDR22" s="99"/>
      <c r="LDS22" s="99"/>
      <c r="LDT22" s="99"/>
      <c r="LDU22" s="99"/>
      <c r="LDV22" s="99"/>
      <c r="LDW22" s="99"/>
      <c r="LDX22" s="99"/>
      <c r="LDY22" s="99"/>
      <c r="LDZ22" s="99"/>
      <c r="LEA22" s="99"/>
      <c r="LEB22" s="99"/>
      <c r="LEC22" s="99"/>
      <c r="LED22" s="99"/>
      <c r="LEE22" s="99"/>
      <c r="LEF22" s="99"/>
      <c r="LEG22" s="99"/>
      <c r="LEH22" s="99"/>
      <c r="LEI22" s="99"/>
      <c r="LEJ22" s="99"/>
      <c r="LEK22" s="99"/>
      <c r="LEL22" s="99"/>
      <c r="LEM22" s="99"/>
      <c r="LEN22" s="99"/>
      <c r="LEO22" s="99"/>
      <c r="LEP22" s="99"/>
      <c r="LEQ22" s="99"/>
      <c r="LER22" s="99"/>
      <c r="LES22" s="99"/>
      <c r="LET22" s="99"/>
      <c r="LEU22" s="99"/>
      <c r="LEV22" s="99"/>
      <c r="LEW22" s="99"/>
      <c r="LEX22" s="99"/>
      <c r="LEY22" s="99"/>
      <c r="LEZ22" s="99"/>
      <c r="LFA22" s="99"/>
      <c r="LFB22" s="99"/>
      <c r="LFC22" s="99"/>
      <c r="LFD22" s="99"/>
      <c r="LFE22" s="99"/>
      <c r="LFF22" s="99"/>
      <c r="LFG22" s="99"/>
      <c r="LFH22" s="99"/>
      <c r="LFI22" s="99"/>
      <c r="LFJ22" s="99"/>
      <c r="LFK22" s="99"/>
      <c r="LFL22" s="99"/>
      <c r="LFM22" s="99"/>
      <c r="LFN22" s="99"/>
      <c r="LFO22" s="99"/>
      <c r="LFP22" s="99"/>
      <c r="LFQ22" s="99"/>
      <c r="LFR22" s="99"/>
      <c r="LFS22" s="99"/>
      <c r="LFT22" s="99"/>
      <c r="LFU22" s="99"/>
      <c r="LFV22" s="99"/>
      <c r="LFW22" s="99"/>
      <c r="LFX22" s="99"/>
      <c r="LFY22" s="99"/>
      <c r="LFZ22" s="99"/>
      <c r="LGA22" s="99"/>
      <c r="LGB22" s="99"/>
      <c r="LGC22" s="99"/>
      <c r="LGD22" s="99"/>
      <c r="LGE22" s="99"/>
      <c r="LGF22" s="99"/>
      <c r="LGG22" s="99"/>
      <c r="LGH22" s="99"/>
      <c r="LGI22" s="99"/>
      <c r="LGJ22" s="99"/>
      <c r="LGK22" s="99"/>
      <c r="LGL22" s="99"/>
      <c r="LGM22" s="99"/>
      <c r="LGN22" s="99"/>
      <c r="LGO22" s="99"/>
      <c r="LGP22" s="99"/>
      <c r="LGQ22" s="99"/>
      <c r="LGR22" s="99"/>
      <c r="LGS22" s="99"/>
      <c r="LGT22" s="99"/>
      <c r="LGU22" s="99"/>
      <c r="LGV22" s="99"/>
      <c r="LGW22" s="99"/>
      <c r="LGX22" s="99"/>
      <c r="LGY22" s="99"/>
      <c r="LGZ22" s="99"/>
      <c r="LHA22" s="99"/>
      <c r="LHB22" s="99"/>
      <c r="LHC22" s="99"/>
      <c r="LHD22" s="99"/>
      <c r="LHE22" s="99"/>
      <c r="LHF22" s="99"/>
      <c r="LHG22" s="99"/>
      <c r="LHH22" s="99"/>
      <c r="LHI22" s="99"/>
      <c r="LHJ22" s="99"/>
      <c r="LHK22" s="99"/>
      <c r="LHL22" s="99"/>
      <c r="LHM22" s="99"/>
      <c r="LHN22" s="99"/>
      <c r="LHO22" s="99"/>
      <c r="LHP22" s="99"/>
      <c r="LHQ22" s="99"/>
      <c r="LHR22" s="99"/>
      <c r="LHS22" s="99"/>
      <c r="LHT22" s="99"/>
      <c r="LHU22" s="99"/>
      <c r="LHV22" s="99"/>
      <c r="LHW22" s="99"/>
      <c r="LHX22" s="99"/>
      <c r="LHY22" s="99"/>
      <c r="LHZ22" s="99"/>
      <c r="LIA22" s="99"/>
      <c r="LIB22" s="99"/>
      <c r="LIC22" s="99"/>
      <c r="LID22" s="99"/>
      <c r="LIE22" s="99"/>
      <c r="LIF22" s="99"/>
      <c r="LIG22" s="99"/>
      <c r="LIH22" s="99"/>
      <c r="LII22" s="99"/>
      <c r="LIJ22" s="99"/>
      <c r="LIK22" s="99"/>
      <c r="LIL22" s="99"/>
      <c r="LIM22" s="99"/>
      <c r="LIN22" s="99"/>
      <c r="LIO22" s="99"/>
      <c r="LIP22" s="99"/>
      <c r="LIQ22" s="99"/>
      <c r="LIR22" s="99"/>
      <c r="LIS22" s="99"/>
      <c r="LIT22" s="99"/>
      <c r="LIU22" s="99"/>
      <c r="LIV22" s="99"/>
      <c r="LIW22" s="99"/>
      <c r="LIX22" s="99"/>
      <c r="LIY22" s="99"/>
      <c r="LIZ22" s="99"/>
      <c r="LJA22" s="99"/>
      <c r="LJB22" s="99"/>
      <c r="LJC22" s="99"/>
      <c r="LJD22" s="99"/>
      <c r="LJE22" s="99"/>
      <c r="LJF22" s="99"/>
      <c r="LJG22" s="99"/>
      <c r="LJH22" s="99"/>
      <c r="LJI22" s="99"/>
      <c r="LJJ22" s="99"/>
      <c r="LJK22" s="99"/>
      <c r="LJL22" s="99"/>
      <c r="LJM22" s="99"/>
      <c r="LJN22" s="99"/>
      <c r="LJO22" s="99"/>
      <c r="LJP22" s="99"/>
      <c r="LJQ22" s="99"/>
      <c r="LJR22" s="99"/>
      <c r="LJS22" s="99"/>
      <c r="LJT22" s="99"/>
      <c r="LJU22" s="99"/>
      <c r="LJV22" s="99"/>
      <c r="LJW22" s="99"/>
      <c r="LJX22" s="99"/>
      <c r="LJY22" s="99"/>
      <c r="LJZ22" s="99"/>
      <c r="LKA22" s="99"/>
      <c r="LKB22" s="99"/>
      <c r="LKC22" s="99"/>
      <c r="LKD22" s="99"/>
      <c r="LKE22" s="99"/>
      <c r="LKF22" s="99"/>
      <c r="LKG22" s="99"/>
      <c r="LKH22" s="99"/>
      <c r="LKI22" s="99"/>
      <c r="LKJ22" s="99"/>
      <c r="LKK22" s="99"/>
      <c r="LKL22" s="99"/>
      <c r="LKM22" s="99"/>
      <c r="LKN22" s="99"/>
      <c r="LKO22" s="99"/>
      <c r="LKP22" s="99"/>
      <c r="LKQ22" s="99"/>
      <c r="LKR22" s="99"/>
      <c r="LKS22" s="99"/>
      <c r="LKT22" s="99"/>
      <c r="LKU22" s="99"/>
      <c r="LKV22" s="99"/>
      <c r="LKW22" s="99"/>
      <c r="LKX22" s="99"/>
      <c r="LKY22" s="99"/>
      <c r="LKZ22" s="99"/>
      <c r="LLA22" s="99"/>
      <c r="LLB22" s="99"/>
      <c r="LLC22" s="99"/>
      <c r="LLD22" s="99"/>
      <c r="LLE22" s="99"/>
      <c r="LLF22" s="99"/>
      <c r="LLG22" s="99"/>
      <c r="LLH22" s="99"/>
      <c r="LLI22" s="99"/>
      <c r="LLJ22" s="99"/>
      <c r="LLK22" s="99"/>
      <c r="LLL22" s="99"/>
      <c r="LLM22" s="99"/>
      <c r="LLN22" s="99"/>
      <c r="LLO22" s="99"/>
      <c r="LLP22" s="99"/>
      <c r="LLQ22" s="99"/>
      <c r="LLR22" s="99"/>
      <c r="LLS22" s="99"/>
      <c r="LLT22" s="99"/>
      <c r="LLU22" s="99"/>
      <c r="LLV22" s="99"/>
      <c r="LLW22" s="99"/>
      <c r="LLX22" s="99"/>
      <c r="LLY22" s="99"/>
      <c r="LLZ22" s="99"/>
      <c r="LMA22" s="99"/>
      <c r="LMB22" s="99"/>
      <c r="LMC22" s="99"/>
      <c r="LMD22" s="99"/>
      <c r="LME22" s="99"/>
      <c r="LMF22" s="99"/>
      <c r="LMG22" s="99"/>
      <c r="LMH22" s="99"/>
      <c r="LMI22" s="99"/>
      <c r="LMJ22" s="99"/>
      <c r="LMK22" s="99"/>
      <c r="LML22" s="99"/>
      <c r="LMM22" s="99"/>
      <c r="LMN22" s="99"/>
      <c r="LMO22" s="99"/>
      <c r="LMP22" s="99"/>
      <c r="LMQ22" s="99"/>
      <c r="LMR22" s="99"/>
      <c r="LMS22" s="99"/>
      <c r="LMT22" s="99"/>
      <c r="LMU22" s="99"/>
      <c r="LMV22" s="99"/>
      <c r="LMW22" s="99"/>
      <c r="LMX22" s="99"/>
      <c r="LMY22" s="99"/>
      <c r="LMZ22" s="99"/>
      <c r="LNA22" s="99"/>
      <c r="LNB22" s="99"/>
      <c r="LNC22" s="99"/>
      <c r="LND22" s="99"/>
      <c r="LNE22" s="99"/>
      <c r="LNF22" s="99"/>
      <c r="LNG22" s="99"/>
      <c r="LNH22" s="99"/>
      <c r="LNI22" s="99"/>
      <c r="LNJ22" s="99"/>
      <c r="LNK22" s="99"/>
      <c r="LNL22" s="99"/>
      <c r="LNM22" s="99"/>
      <c r="LNN22" s="99"/>
      <c r="LNO22" s="99"/>
      <c r="LNP22" s="99"/>
      <c r="LNQ22" s="99"/>
      <c r="LNR22" s="99"/>
      <c r="LNS22" s="99"/>
      <c r="LNT22" s="99"/>
      <c r="LNU22" s="99"/>
      <c r="LNV22" s="99"/>
      <c r="LNW22" s="99"/>
      <c r="LNX22" s="99"/>
      <c r="LNY22" s="99"/>
      <c r="LNZ22" s="99"/>
      <c r="LOA22" s="99"/>
      <c r="LOB22" s="99"/>
      <c r="LOC22" s="99"/>
      <c r="LOD22" s="99"/>
      <c r="LOE22" s="99"/>
      <c r="LOF22" s="99"/>
      <c r="LOG22" s="99"/>
      <c r="LOH22" s="99"/>
      <c r="LOI22" s="99"/>
      <c r="LOJ22" s="99"/>
      <c r="LOK22" s="99"/>
      <c r="LOL22" s="99"/>
      <c r="LOM22" s="99"/>
      <c r="LON22" s="99"/>
      <c r="LOO22" s="99"/>
      <c r="LOP22" s="99"/>
      <c r="LOQ22" s="99"/>
      <c r="LOR22" s="99"/>
      <c r="LOS22" s="99"/>
      <c r="LOT22" s="99"/>
      <c r="LOU22" s="99"/>
      <c r="LOV22" s="99"/>
      <c r="LOW22" s="99"/>
      <c r="LOX22" s="99"/>
      <c r="LOY22" s="99"/>
      <c r="LOZ22" s="99"/>
      <c r="LPA22" s="99"/>
      <c r="LPB22" s="99"/>
      <c r="LPC22" s="99"/>
      <c r="LPD22" s="99"/>
      <c r="LPE22" s="99"/>
      <c r="LPF22" s="99"/>
      <c r="LPG22" s="99"/>
      <c r="LPH22" s="99"/>
      <c r="LPI22" s="99"/>
      <c r="LPJ22" s="99"/>
      <c r="LPK22" s="99"/>
      <c r="LPL22" s="99"/>
      <c r="LPM22" s="99"/>
      <c r="LPN22" s="99"/>
      <c r="LPO22" s="99"/>
      <c r="LPP22" s="99"/>
      <c r="LPQ22" s="99"/>
      <c r="LPR22" s="99"/>
      <c r="LPS22" s="99"/>
      <c r="LPT22" s="99"/>
      <c r="LPU22" s="99"/>
      <c r="LPV22" s="99"/>
      <c r="LPW22" s="99"/>
      <c r="LPX22" s="99"/>
      <c r="LPY22" s="99"/>
      <c r="LPZ22" s="99"/>
      <c r="LQA22" s="99"/>
      <c r="LQB22" s="99"/>
      <c r="LQC22" s="99"/>
      <c r="LQD22" s="99"/>
      <c r="LQE22" s="99"/>
      <c r="LQF22" s="99"/>
      <c r="LQG22" s="99"/>
      <c r="LQH22" s="99"/>
      <c r="LQI22" s="99"/>
      <c r="LQJ22" s="99"/>
      <c r="LQK22" s="99"/>
      <c r="LQL22" s="99"/>
      <c r="LQM22" s="99"/>
      <c r="LQN22" s="99"/>
      <c r="LQO22" s="99"/>
      <c r="LQP22" s="99"/>
      <c r="LQQ22" s="99"/>
      <c r="LQR22" s="99"/>
      <c r="LQS22" s="99"/>
      <c r="LQT22" s="99"/>
      <c r="LQU22" s="99"/>
      <c r="LQV22" s="99"/>
      <c r="LQW22" s="99"/>
      <c r="LQX22" s="99"/>
      <c r="LQY22" s="99"/>
      <c r="LQZ22" s="99"/>
      <c r="LRA22" s="99"/>
      <c r="LRB22" s="99"/>
      <c r="LRC22" s="99"/>
      <c r="LRD22" s="99"/>
      <c r="LRE22" s="99"/>
      <c r="LRF22" s="99"/>
      <c r="LRG22" s="99"/>
      <c r="LRH22" s="99"/>
      <c r="LRI22" s="99"/>
      <c r="LRJ22" s="99"/>
      <c r="LRK22" s="99"/>
      <c r="LRL22" s="99"/>
      <c r="LRM22" s="99"/>
      <c r="LRN22" s="99"/>
      <c r="LRO22" s="99"/>
      <c r="LRP22" s="99"/>
      <c r="LRQ22" s="99"/>
      <c r="LRR22" s="99"/>
      <c r="LRS22" s="99"/>
      <c r="LRT22" s="99"/>
      <c r="LRU22" s="99"/>
      <c r="LRV22" s="99"/>
      <c r="LRW22" s="99"/>
      <c r="LRX22" s="99"/>
      <c r="LRY22" s="99"/>
      <c r="LRZ22" s="99"/>
      <c r="LSA22" s="99"/>
      <c r="LSB22" s="99"/>
      <c r="LSC22" s="99"/>
      <c r="LSD22" s="99"/>
      <c r="LSE22" s="99"/>
      <c r="LSF22" s="99"/>
      <c r="LSG22" s="99"/>
      <c r="LSH22" s="99"/>
      <c r="LSI22" s="99"/>
      <c r="LSJ22" s="99"/>
      <c r="LSK22" s="99"/>
      <c r="LSL22" s="99"/>
      <c r="LSM22" s="99"/>
      <c r="LSN22" s="99"/>
      <c r="LSO22" s="99"/>
      <c r="LSP22" s="99"/>
      <c r="LSQ22" s="99"/>
      <c r="LSR22" s="99"/>
      <c r="LSS22" s="99"/>
      <c r="LST22" s="99"/>
      <c r="LSU22" s="99"/>
      <c r="LSV22" s="99"/>
      <c r="LSW22" s="99"/>
      <c r="LSX22" s="99"/>
      <c r="LSY22" s="99"/>
      <c r="LSZ22" s="99"/>
      <c r="LTA22" s="99"/>
      <c r="LTB22" s="99"/>
      <c r="LTC22" s="99"/>
      <c r="LTD22" s="99"/>
      <c r="LTE22" s="99"/>
      <c r="LTF22" s="99"/>
      <c r="LTG22" s="99"/>
      <c r="LTH22" s="99"/>
      <c r="LTI22" s="99"/>
      <c r="LTJ22" s="99"/>
      <c r="LTK22" s="99"/>
      <c r="LTL22" s="99"/>
      <c r="LTM22" s="99"/>
      <c r="LTN22" s="99"/>
      <c r="LTO22" s="99"/>
      <c r="LTP22" s="99"/>
      <c r="LTQ22" s="99"/>
      <c r="LTR22" s="99"/>
      <c r="LTS22" s="99"/>
      <c r="LTT22" s="99"/>
      <c r="LTU22" s="99"/>
      <c r="LTV22" s="99"/>
      <c r="LTW22" s="99"/>
      <c r="LTX22" s="99"/>
      <c r="LTY22" s="99"/>
      <c r="LTZ22" s="99"/>
      <c r="LUA22" s="99"/>
      <c r="LUB22" s="99"/>
      <c r="LUC22" s="99"/>
      <c r="LUD22" s="99"/>
      <c r="LUE22" s="99"/>
      <c r="LUF22" s="99"/>
      <c r="LUG22" s="99"/>
      <c r="LUH22" s="99"/>
      <c r="LUI22" s="99"/>
      <c r="LUJ22" s="99"/>
      <c r="LUK22" s="99"/>
      <c r="LUL22" s="99"/>
      <c r="LUM22" s="99"/>
      <c r="LUN22" s="99"/>
      <c r="LUO22" s="99"/>
      <c r="LUP22" s="99"/>
      <c r="LUQ22" s="99"/>
      <c r="LUR22" s="99"/>
      <c r="LUS22" s="99"/>
      <c r="LUT22" s="99"/>
      <c r="LUU22" s="99"/>
      <c r="LUV22" s="99"/>
      <c r="LUW22" s="99"/>
      <c r="LUX22" s="99"/>
      <c r="LUY22" s="99"/>
      <c r="LUZ22" s="99"/>
      <c r="LVA22" s="99"/>
      <c r="LVB22" s="99"/>
      <c r="LVC22" s="99"/>
      <c r="LVD22" s="99"/>
      <c r="LVE22" s="99"/>
      <c r="LVF22" s="99"/>
      <c r="LVG22" s="99"/>
      <c r="LVH22" s="99"/>
      <c r="LVI22" s="99"/>
      <c r="LVJ22" s="99"/>
      <c r="LVK22" s="99"/>
      <c r="LVL22" s="99"/>
      <c r="LVM22" s="99"/>
      <c r="LVN22" s="99"/>
      <c r="LVO22" s="99"/>
      <c r="LVP22" s="99"/>
      <c r="LVQ22" s="99"/>
      <c r="LVR22" s="99"/>
      <c r="LVS22" s="99"/>
      <c r="LVT22" s="99"/>
      <c r="LVU22" s="99"/>
      <c r="LVV22" s="99"/>
      <c r="LVW22" s="99"/>
      <c r="LVX22" s="99"/>
      <c r="LVY22" s="99"/>
      <c r="LVZ22" s="99"/>
      <c r="LWA22" s="99"/>
      <c r="LWB22" s="99"/>
      <c r="LWC22" s="99"/>
      <c r="LWD22" s="99"/>
      <c r="LWE22" s="99"/>
      <c r="LWF22" s="99"/>
      <c r="LWG22" s="99"/>
      <c r="LWH22" s="99"/>
      <c r="LWI22" s="99"/>
      <c r="LWJ22" s="99"/>
      <c r="LWK22" s="99"/>
      <c r="LWL22" s="99"/>
      <c r="LWM22" s="99"/>
      <c r="LWN22" s="99"/>
      <c r="LWO22" s="99"/>
      <c r="LWP22" s="99"/>
      <c r="LWQ22" s="99"/>
      <c r="LWR22" s="99"/>
      <c r="LWS22" s="99"/>
      <c r="LWT22" s="99"/>
      <c r="LWU22" s="99"/>
      <c r="LWV22" s="99"/>
      <c r="LWW22" s="99"/>
      <c r="LWX22" s="99"/>
      <c r="LWY22" s="99"/>
      <c r="LWZ22" s="99"/>
      <c r="LXA22" s="99"/>
      <c r="LXB22" s="99"/>
      <c r="LXC22" s="99"/>
      <c r="LXD22" s="99"/>
      <c r="LXE22" s="99"/>
      <c r="LXF22" s="99"/>
      <c r="LXG22" s="99"/>
      <c r="LXH22" s="99"/>
      <c r="LXI22" s="99"/>
      <c r="LXJ22" s="99"/>
      <c r="LXK22" s="99"/>
      <c r="LXL22" s="99"/>
      <c r="LXM22" s="99"/>
      <c r="LXN22" s="99"/>
      <c r="LXO22" s="99"/>
      <c r="LXP22" s="99"/>
      <c r="LXQ22" s="99"/>
      <c r="LXR22" s="99"/>
      <c r="LXS22" s="99"/>
      <c r="LXT22" s="99"/>
      <c r="LXU22" s="99"/>
      <c r="LXV22" s="99"/>
      <c r="LXW22" s="99"/>
      <c r="LXX22" s="99"/>
      <c r="LXY22" s="99"/>
      <c r="LXZ22" s="99"/>
      <c r="LYA22" s="99"/>
      <c r="LYB22" s="99"/>
      <c r="LYC22" s="99"/>
      <c r="LYD22" s="99"/>
      <c r="LYE22" s="99"/>
      <c r="LYF22" s="99"/>
      <c r="LYG22" s="99"/>
      <c r="LYH22" s="99"/>
      <c r="LYI22" s="99"/>
      <c r="LYJ22" s="99"/>
      <c r="LYK22" s="99"/>
      <c r="LYL22" s="99"/>
      <c r="LYM22" s="99"/>
      <c r="LYN22" s="99"/>
      <c r="LYO22" s="99"/>
      <c r="LYP22" s="99"/>
      <c r="LYQ22" s="99"/>
      <c r="LYR22" s="99"/>
      <c r="LYS22" s="99"/>
      <c r="LYT22" s="99"/>
      <c r="LYU22" s="99"/>
      <c r="LYV22" s="99"/>
      <c r="LYW22" s="99"/>
      <c r="LYX22" s="99"/>
      <c r="LYY22" s="99"/>
      <c r="LYZ22" s="99"/>
      <c r="LZA22" s="99"/>
      <c r="LZB22" s="99"/>
      <c r="LZC22" s="99"/>
      <c r="LZD22" s="99"/>
      <c r="LZE22" s="99"/>
      <c r="LZF22" s="99"/>
      <c r="LZG22" s="99"/>
      <c r="LZH22" s="99"/>
      <c r="LZI22" s="99"/>
      <c r="LZJ22" s="99"/>
      <c r="LZK22" s="99"/>
      <c r="LZL22" s="99"/>
      <c r="LZM22" s="99"/>
      <c r="LZN22" s="99"/>
      <c r="LZO22" s="99"/>
      <c r="LZP22" s="99"/>
      <c r="LZQ22" s="99"/>
      <c r="LZR22" s="99"/>
      <c r="LZS22" s="99"/>
      <c r="LZT22" s="99"/>
      <c r="LZU22" s="99"/>
      <c r="LZV22" s="99"/>
      <c r="LZW22" s="99"/>
      <c r="LZX22" s="99"/>
      <c r="LZY22" s="99"/>
      <c r="LZZ22" s="99"/>
      <c r="MAA22" s="99"/>
      <c r="MAB22" s="99"/>
      <c r="MAC22" s="99"/>
      <c r="MAD22" s="99"/>
      <c r="MAE22" s="99"/>
      <c r="MAF22" s="99"/>
      <c r="MAG22" s="99"/>
      <c r="MAH22" s="99"/>
      <c r="MAI22" s="99"/>
      <c r="MAJ22" s="99"/>
      <c r="MAK22" s="99"/>
      <c r="MAL22" s="99"/>
      <c r="MAM22" s="99"/>
      <c r="MAN22" s="99"/>
      <c r="MAO22" s="99"/>
      <c r="MAP22" s="99"/>
      <c r="MAQ22" s="99"/>
      <c r="MAR22" s="99"/>
      <c r="MAS22" s="99"/>
      <c r="MAT22" s="99"/>
      <c r="MAU22" s="99"/>
      <c r="MAV22" s="99"/>
      <c r="MAW22" s="99"/>
      <c r="MAX22" s="99"/>
      <c r="MAY22" s="99"/>
      <c r="MAZ22" s="99"/>
      <c r="MBA22" s="99"/>
      <c r="MBB22" s="99"/>
      <c r="MBC22" s="99"/>
      <c r="MBD22" s="99"/>
      <c r="MBE22" s="99"/>
      <c r="MBF22" s="99"/>
      <c r="MBG22" s="99"/>
      <c r="MBH22" s="99"/>
      <c r="MBI22" s="99"/>
      <c r="MBJ22" s="99"/>
      <c r="MBK22" s="99"/>
      <c r="MBL22" s="99"/>
      <c r="MBM22" s="99"/>
      <c r="MBN22" s="99"/>
      <c r="MBO22" s="99"/>
      <c r="MBP22" s="99"/>
      <c r="MBQ22" s="99"/>
      <c r="MBR22" s="99"/>
      <c r="MBS22" s="99"/>
      <c r="MBT22" s="99"/>
      <c r="MBU22" s="99"/>
      <c r="MBV22" s="99"/>
      <c r="MBW22" s="99"/>
      <c r="MBX22" s="99"/>
      <c r="MBY22" s="99"/>
      <c r="MBZ22" s="99"/>
      <c r="MCA22" s="99"/>
      <c r="MCB22" s="99"/>
      <c r="MCC22" s="99"/>
      <c r="MCD22" s="99"/>
      <c r="MCE22" s="99"/>
      <c r="MCF22" s="99"/>
      <c r="MCG22" s="99"/>
      <c r="MCH22" s="99"/>
      <c r="MCI22" s="99"/>
      <c r="MCJ22" s="99"/>
      <c r="MCK22" s="99"/>
      <c r="MCL22" s="99"/>
      <c r="MCM22" s="99"/>
      <c r="MCN22" s="99"/>
      <c r="MCO22" s="99"/>
      <c r="MCP22" s="99"/>
      <c r="MCQ22" s="99"/>
      <c r="MCR22" s="99"/>
      <c r="MCS22" s="99"/>
      <c r="MCT22" s="99"/>
      <c r="MCU22" s="99"/>
      <c r="MCV22" s="99"/>
      <c r="MCW22" s="99"/>
      <c r="MCX22" s="99"/>
      <c r="MCY22" s="99"/>
      <c r="MCZ22" s="99"/>
      <c r="MDA22" s="99"/>
      <c r="MDB22" s="99"/>
      <c r="MDC22" s="99"/>
      <c r="MDD22" s="99"/>
      <c r="MDE22" s="99"/>
      <c r="MDF22" s="99"/>
      <c r="MDG22" s="99"/>
      <c r="MDH22" s="99"/>
      <c r="MDI22" s="99"/>
      <c r="MDJ22" s="99"/>
      <c r="MDK22" s="99"/>
      <c r="MDL22" s="99"/>
      <c r="MDM22" s="99"/>
      <c r="MDN22" s="99"/>
      <c r="MDO22" s="99"/>
      <c r="MDP22" s="99"/>
      <c r="MDQ22" s="99"/>
      <c r="MDR22" s="99"/>
      <c r="MDS22" s="99"/>
      <c r="MDT22" s="99"/>
      <c r="MDU22" s="99"/>
      <c r="MDV22" s="99"/>
      <c r="MDW22" s="99"/>
      <c r="MDX22" s="99"/>
      <c r="MDY22" s="99"/>
      <c r="MDZ22" s="99"/>
      <c r="MEA22" s="99"/>
      <c r="MEB22" s="99"/>
      <c r="MEC22" s="99"/>
      <c r="MED22" s="99"/>
      <c r="MEE22" s="99"/>
      <c r="MEF22" s="99"/>
      <c r="MEG22" s="99"/>
      <c r="MEH22" s="99"/>
      <c r="MEI22" s="99"/>
      <c r="MEJ22" s="99"/>
      <c r="MEK22" s="99"/>
      <c r="MEL22" s="99"/>
      <c r="MEM22" s="99"/>
      <c r="MEN22" s="99"/>
      <c r="MEO22" s="99"/>
      <c r="MEP22" s="99"/>
      <c r="MEQ22" s="99"/>
      <c r="MER22" s="99"/>
      <c r="MES22" s="99"/>
      <c r="MET22" s="99"/>
      <c r="MEU22" s="99"/>
      <c r="MEV22" s="99"/>
      <c r="MEW22" s="99"/>
      <c r="MEX22" s="99"/>
      <c r="MEY22" s="99"/>
      <c r="MEZ22" s="99"/>
      <c r="MFA22" s="99"/>
      <c r="MFB22" s="99"/>
      <c r="MFC22" s="99"/>
      <c r="MFD22" s="99"/>
      <c r="MFE22" s="99"/>
      <c r="MFF22" s="99"/>
      <c r="MFG22" s="99"/>
      <c r="MFH22" s="99"/>
      <c r="MFI22" s="99"/>
      <c r="MFJ22" s="99"/>
      <c r="MFK22" s="99"/>
      <c r="MFL22" s="99"/>
      <c r="MFM22" s="99"/>
      <c r="MFN22" s="99"/>
      <c r="MFO22" s="99"/>
      <c r="MFP22" s="99"/>
      <c r="MFQ22" s="99"/>
      <c r="MFR22" s="99"/>
      <c r="MFS22" s="99"/>
      <c r="MFT22" s="99"/>
      <c r="MFU22" s="99"/>
      <c r="MFV22" s="99"/>
      <c r="MFW22" s="99"/>
      <c r="MFX22" s="99"/>
      <c r="MFY22" s="99"/>
      <c r="MFZ22" s="99"/>
      <c r="MGA22" s="99"/>
      <c r="MGB22" s="99"/>
      <c r="MGC22" s="99"/>
      <c r="MGD22" s="99"/>
      <c r="MGE22" s="99"/>
      <c r="MGF22" s="99"/>
      <c r="MGG22" s="99"/>
      <c r="MGH22" s="99"/>
      <c r="MGI22" s="99"/>
      <c r="MGJ22" s="99"/>
      <c r="MGK22" s="99"/>
      <c r="MGL22" s="99"/>
      <c r="MGM22" s="99"/>
      <c r="MGN22" s="99"/>
      <c r="MGO22" s="99"/>
      <c r="MGP22" s="99"/>
      <c r="MGQ22" s="99"/>
      <c r="MGR22" s="99"/>
      <c r="MGS22" s="99"/>
      <c r="MGT22" s="99"/>
      <c r="MGU22" s="99"/>
      <c r="MGV22" s="99"/>
      <c r="MGW22" s="99"/>
      <c r="MGX22" s="99"/>
      <c r="MGY22" s="99"/>
      <c r="MGZ22" s="99"/>
      <c r="MHA22" s="99"/>
      <c r="MHB22" s="99"/>
      <c r="MHC22" s="99"/>
      <c r="MHD22" s="99"/>
      <c r="MHE22" s="99"/>
      <c r="MHF22" s="99"/>
      <c r="MHG22" s="99"/>
      <c r="MHH22" s="99"/>
      <c r="MHI22" s="99"/>
      <c r="MHJ22" s="99"/>
      <c r="MHK22" s="99"/>
      <c r="MHL22" s="99"/>
      <c r="MHM22" s="99"/>
      <c r="MHN22" s="99"/>
      <c r="MHO22" s="99"/>
      <c r="MHP22" s="99"/>
      <c r="MHQ22" s="99"/>
      <c r="MHR22" s="99"/>
      <c r="MHS22" s="99"/>
      <c r="MHT22" s="99"/>
      <c r="MHU22" s="99"/>
      <c r="MHV22" s="99"/>
      <c r="MHW22" s="99"/>
      <c r="MHX22" s="99"/>
      <c r="MHY22" s="99"/>
      <c r="MHZ22" s="99"/>
      <c r="MIA22" s="99"/>
      <c r="MIB22" s="99"/>
      <c r="MIC22" s="99"/>
      <c r="MID22" s="99"/>
      <c r="MIE22" s="99"/>
      <c r="MIF22" s="99"/>
      <c r="MIG22" s="99"/>
      <c r="MIH22" s="99"/>
      <c r="MII22" s="99"/>
      <c r="MIJ22" s="99"/>
      <c r="MIK22" s="99"/>
      <c r="MIL22" s="99"/>
      <c r="MIM22" s="99"/>
      <c r="MIN22" s="99"/>
      <c r="MIO22" s="99"/>
      <c r="MIP22" s="99"/>
      <c r="MIQ22" s="99"/>
      <c r="MIR22" s="99"/>
      <c r="MIS22" s="99"/>
      <c r="MIT22" s="99"/>
      <c r="MIU22" s="99"/>
      <c r="MIV22" s="99"/>
      <c r="MIW22" s="99"/>
      <c r="MIX22" s="99"/>
      <c r="MIY22" s="99"/>
      <c r="MIZ22" s="99"/>
      <c r="MJA22" s="99"/>
      <c r="MJB22" s="99"/>
      <c r="MJC22" s="99"/>
      <c r="MJD22" s="99"/>
      <c r="MJE22" s="99"/>
      <c r="MJF22" s="99"/>
      <c r="MJG22" s="99"/>
      <c r="MJH22" s="99"/>
      <c r="MJI22" s="99"/>
      <c r="MJJ22" s="99"/>
      <c r="MJK22" s="99"/>
      <c r="MJL22" s="99"/>
      <c r="MJM22" s="99"/>
      <c r="MJN22" s="99"/>
      <c r="MJO22" s="99"/>
      <c r="MJP22" s="99"/>
      <c r="MJQ22" s="99"/>
      <c r="MJR22" s="99"/>
      <c r="MJS22" s="99"/>
      <c r="MJT22" s="99"/>
      <c r="MJU22" s="99"/>
      <c r="MJV22" s="99"/>
      <c r="MJW22" s="99"/>
      <c r="MJX22" s="99"/>
      <c r="MJY22" s="99"/>
      <c r="MJZ22" s="99"/>
      <c r="MKA22" s="99"/>
      <c r="MKB22" s="99"/>
      <c r="MKC22" s="99"/>
      <c r="MKD22" s="99"/>
      <c r="MKE22" s="99"/>
      <c r="MKF22" s="99"/>
      <c r="MKG22" s="99"/>
      <c r="MKH22" s="99"/>
      <c r="MKI22" s="99"/>
      <c r="MKJ22" s="99"/>
      <c r="MKK22" s="99"/>
      <c r="MKL22" s="99"/>
      <c r="MKM22" s="99"/>
      <c r="MKN22" s="99"/>
      <c r="MKO22" s="99"/>
      <c r="MKP22" s="99"/>
      <c r="MKQ22" s="99"/>
      <c r="MKR22" s="99"/>
      <c r="MKS22" s="99"/>
      <c r="MKT22" s="99"/>
      <c r="MKU22" s="99"/>
      <c r="MKV22" s="99"/>
      <c r="MKW22" s="99"/>
      <c r="MKX22" s="99"/>
      <c r="MKY22" s="99"/>
      <c r="MKZ22" s="99"/>
      <c r="MLA22" s="99"/>
      <c r="MLB22" s="99"/>
      <c r="MLC22" s="99"/>
      <c r="MLD22" s="99"/>
      <c r="MLE22" s="99"/>
      <c r="MLF22" s="99"/>
      <c r="MLG22" s="99"/>
      <c r="MLH22" s="99"/>
      <c r="MLI22" s="99"/>
      <c r="MLJ22" s="99"/>
      <c r="MLK22" s="99"/>
      <c r="MLL22" s="99"/>
      <c r="MLM22" s="99"/>
      <c r="MLN22" s="99"/>
      <c r="MLO22" s="99"/>
      <c r="MLP22" s="99"/>
      <c r="MLQ22" s="99"/>
      <c r="MLR22" s="99"/>
      <c r="MLS22" s="99"/>
      <c r="MLT22" s="99"/>
      <c r="MLU22" s="99"/>
      <c r="MLV22" s="99"/>
      <c r="MLW22" s="99"/>
      <c r="MLX22" s="99"/>
      <c r="MLY22" s="99"/>
      <c r="MLZ22" s="99"/>
      <c r="MMA22" s="99"/>
      <c r="MMB22" s="99"/>
      <c r="MMC22" s="99"/>
      <c r="MMD22" s="99"/>
      <c r="MME22" s="99"/>
      <c r="MMF22" s="99"/>
      <c r="MMG22" s="99"/>
      <c r="MMH22" s="99"/>
      <c r="MMI22" s="99"/>
      <c r="MMJ22" s="99"/>
      <c r="MMK22" s="99"/>
      <c r="MML22" s="99"/>
      <c r="MMM22" s="99"/>
      <c r="MMN22" s="99"/>
      <c r="MMO22" s="99"/>
      <c r="MMP22" s="99"/>
      <c r="MMQ22" s="99"/>
      <c r="MMR22" s="99"/>
      <c r="MMS22" s="99"/>
      <c r="MMT22" s="99"/>
      <c r="MMU22" s="99"/>
      <c r="MMV22" s="99"/>
      <c r="MMW22" s="99"/>
      <c r="MMX22" s="99"/>
      <c r="MMY22" s="99"/>
      <c r="MMZ22" s="99"/>
      <c r="MNA22" s="99"/>
      <c r="MNB22" s="99"/>
      <c r="MNC22" s="99"/>
      <c r="MND22" s="99"/>
      <c r="MNE22" s="99"/>
      <c r="MNF22" s="99"/>
      <c r="MNG22" s="99"/>
      <c r="MNH22" s="99"/>
      <c r="MNI22" s="99"/>
      <c r="MNJ22" s="99"/>
      <c r="MNK22" s="99"/>
      <c r="MNL22" s="99"/>
      <c r="MNM22" s="99"/>
      <c r="MNN22" s="99"/>
      <c r="MNO22" s="99"/>
      <c r="MNP22" s="99"/>
      <c r="MNQ22" s="99"/>
      <c r="MNR22" s="99"/>
      <c r="MNS22" s="99"/>
      <c r="MNT22" s="99"/>
      <c r="MNU22" s="99"/>
      <c r="MNV22" s="99"/>
      <c r="MNW22" s="99"/>
      <c r="MNX22" s="99"/>
      <c r="MNY22" s="99"/>
      <c r="MNZ22" s="99"/>
      <c r="MOA22" s="99"/>
      <c r="MOB22" s="99"/>
      <c r="MOC22" s="99"/>
      <c r="MOD22" s="99"/>
      <c r="MOE22" s="99"/>
      <c r="MOF22" s="99"/>
      <c r="MOG22" s="99"/>
      <c r="MOH22" s="99"/>
      <c r="MOI22" s="99"/>
      <c r="MOJ22" s="99"/>
      <c r="MOK22" s="99"/>
      <c r="MOL22" s="99"/>
      <c r="MOM22" s="99"/>
      <c r="MON22" s="99"/>
      <c r="MOO22" s="99"/>
      <c r="MOP22" s="99"/>
      <c r="MOQ22" s="99"/>
      <c r="MOR22" s="99"/>
      <c r="MOS22" s="99"/>
      <c r="MOT22" s="99"/>
      <c r="MOU22" s="99"/>
      <c r="MOV22" s="99"/>
      <c r="MOW22" s="99"/>
      <c r="MOX22" s="99"/>
      <c r="MOY22" s="99"/>
      <c r="MOZ22" s="99"/>
      <c r="MPA22" s="99"/>
      <c r="MPB22" s="99"/>
      <c r="MPC22" s="99"/>
      <c r="MPD22" s="99"/>
      <c r="MPE22" s="99"/>
      <c r="MPF22" s="99"/>
      <c r="MPG22" s="99"/>
      <c r="MPH22" s="99"/>
      <c r="MPI22" s="99"/>
      <c r="MPJ22" s="99"/>
      <c r="MPK22" s="99"/>
      <c r="MPL22" s="99"/>
      <c r="MPM22" s="99"/>
      <c r="MPN22" s="99"/>
      <c r="MPO22" s="99"/>
      <c r="MPP22" s="99"/>
      <c r="MPQ22" s="99"/>
      <c r="MPR22" s="99"/>
      <c r="MPS22" s="99"/>
      <c r="MPT22" s="99"/>
      <c r="MPU22" s="99"/>
      <c r="MPV22" s="99"/>
      <c r="MPW22" s="99"/>
      <c r="MPX22" s="99"/>
      <c r="MPY22" s="99"/>
      <c r="MPZ22" s="99"/>
      <c r="MQA22" s="99"/>
      <c r="MQB22" s="99"/>
      <c r="MQC22" s="99"/>
      <c r="MQD22" s="99"/>
      <c r="MQE22" s="99"/>
      <c r="MQF22" s="99"/>
      <c r="MQG22" s="99"/>
      <c r="MQH22" s="99"/>
      <c r="MQI22" s="99"/>
      <c r="MQJ22" s="99"/>
      <c r="MQK22" s="99"/>
      <c r="MQL22" s="99"/>
      <c r="MQM22" s="99"/>
      <c r="MQN22" s="99"/>
      <c r="MQO22" s="99"/>
      <c r="MQP22" s="99"/>
      <c r="MQQ22" s="99"/>
      <c r="MQR22" s="99"/>
      <c r="MQS22" s="99"/>
      <c r="MQT22" s="99"/>
      <c r="MQU22" s="99"/>
      <c r="MQV22" s="99"/>
      <c r="MQW22" s="99"/>
      <c r="MQX22" s="99"/>
      <c r="MQY22" s="99"/>
      <c r="MQZ22" s="99"/>
      <c r="MRA22" s="99"/>
      <c r="MRB22" s="99"/>
      <c r="MRC22" s="99"/>
      <c r="MRD22" s="99"/>
      <c r="MRE22" s="99"/>
      <c r="MRF22" s="99"/>
      <c r="MRG22" s="99"/>
      <c r="MRH22" s="99"/>
      <c r="MRI22" s="99"/>
      <c r="MRJ22" s="99"/>
      <c r="MRK22" s="99"/>
      <c r="MRL22" s="99"/>
      <c r="MRM22" s="99"/>
      <c r="MRN22" s="99"/>
      <c r="MRO22" s="99"/>
      <c r="MRP22" s="99"/>
      <c r="MRQ22" s="99"/>
      <c r="MRR22" s="99"/>
      <c r="MRS22" s="99"/>
      <c r="MRT22" s="99"/>
      <c r="MRU22" s="99"/>
      <c r="MRV22" s="99"/>
      <c r="MRW22" s="99"/>
      <c r="MRX22" s="99"/>
      <c r="MRY22" s="99"/>
      <c r="MRZ22" s="99"/>
      <c r="MSA22" s="99"/>
      <c r="MSB22" s="99"/>
      <c r="MSC22" s="99"/>
      <c r="MSD22" s="99"/>
      <c r="MSE22" s="99"/>
      <c r="MSF22" s="99"/>
      <c r="MSG22" s="99"/>
      <c r="MSH22" s="99"/>
      <c r="MSI22" s="99"/>
      <c r="MSJ22" s="99"/>
      <c r="MSK22" s="99"/>
      <c r="MSL22" s="99"/>
      <c r="MSM22" s="99"/>
      <c r="MSN22" s="99"/>
      <c r="MSO22" s="99"/>
      <c r="MSP22" s="99"/>
      <c r="MSQ22" s="99"/>
      <c r="MSR22" s="99"/>
      <c r="MSS22" s="99"/>
      <c r="MST22" s="99"/>
      <c r="MSU22" s="99"/>
      <c r="MSV22" s="99"/>
      <c r="MSW22" s="99"/>
      <c r="MSX22" s="99"/>
      <c r="MSY22" s="99"/>
      <c r="MSZ22" s="99"/>
      <c r="MTA22" s="99"/>
      <c r="MTB22" s="99"/>
      <c r="MTC22" s="99"/>
      <c r="MTD22" s="99"/>
      <c r="MTE22" s="99"/>
      <c r="MTF22" s="99"/>
      <c r="MTG22" s="99"/>
      <c r="MTH22" s="99"/>
      <c r="MTI22" s="99"/>
      <c r="MTJ22" s="99"/>
      <c r="MTK22" s="99"/>
      <c r="MTL22" s="99"/>
      <c r="MTM22" s="99"/>
      <c r="MTN22" s="99"/>
      <c r="MTO22" s="99"/>
      <c r="MTP22" s="99"/>
      <c r="MTQ22" s="99"/>
      <c r="MTR22" s="99"/>
      <c r="MTS22" s="99"/>
      <c r="MTT22" s="99"/>
      <c r="MTU22" s="99"/>
      <c r="MTV22" s="99"/>
      <c r="MTW22" s="99"/>
      <c r="MTX22" s="99"/>
      <c r="MTY22" s="99"/>
      <c r="MTZ22" s="99"/>
      <c r="MUA22" s="99"/>
      <c r="MUB22" s="99"/>
      <c r="MUC22" s="99"/>
      <c r="MUD22" s="99"/>
      <c r="MUE22" s="99"/>
      <c r="MUF22" s="99"/>
      <c r="MUG22" s="99"/>
      <c r="MUH22" s="99"/>
      <c r="MUI22" s="99"/>
      <c r="MUJ22" s="99"/>
      <c r="MUK22" s="99"/>
      <c r="MUL22" s="99"/>
      <c r="MUM22" s="99"/>
      <c r="MUN22" s="99"/>
      <c r="MUO22" s="99"/>
      <c r="MUP22" s="99"/>
      <c r="MUQ22" s="99"/>
      <c r="MUR22" s="99"/>
      <c r="MUS22" s="99"/>
      <c r="MUT22" s="99"/>
      <c r="MUU22" s="99"/>
      <c r="MUV22" s="99"/>
      <c r="MUW22" s="99"/>
      <c r="MUX22" s="99"/>
      <c r="MUY22" s="99"/>
      <c r="MUZ22" s="99"/>
      <c r="MVA22" s="99"/>
      <c r="MVB22" s="99"/>
      <c r="MVC22" s="99"/>
      <c r="MVD22" s="99"/>
      <c r="MVE22" s="99"/>
      <c r="MVF22" s="99"/>
      <c r="MVG22" s="99"/>
      <c r="MVH22" s="99"/>
      <c r="MVI22" s="99"/>
      <c r="MVJ22" s="99"/>
      <c r="MVK22" s="99"/>
      <c r="MVL22" s="99"/>
      <c r="MVM22" s="99"/>
      <c r="MVN22" s="99"/>
      <c r="MVO22" s="99"/>
      <c r="MVP22" s="99"/>
      <c r="MVQ22" s="99"/>
      <c r="MVR22" s="99"/>
      <c r="MVS22" s="99"/>
      <c r="MVT22" s="99"/>
      <c r="MVU22" s="99"/>
      <c r="MVV22" s="99"/>
      <c r="MVW22" s="99"/>
      <c r="MVX22" s="99"/>
      <c r="MVY22" s="99"/>
      <c r="MVZ22" s="99"/>
      <c r="MWA22" s="99"/>
      <c r="MWB22" s="99"/>
      <c r="MWC22" s="99"/>
      <c r="MWD22" s="99"/>
      <c r="MWE22" s="99"/>
      <c r="MWF22" s="99"/>
      <c r="MWG22" s="99"/>
      <c r="MWH22" s="99"/>
      <c r="MWI22" s="99"/>
      <c r="MWJ22" s="99"/>
      <c r="MWK22" s="99"/>
      <c r="MWL22" s="99"/>
      <c r="MWM22" s="99"/>
      <c r="MWN22" s="99"/>
      <c r="MWO22" s="99"/>
      <c r="MWP22" s="99"/>
      <c r="MWQ22" s="99"/>
      <c r="MWR22" s="99"/>
      <c r="MWS22" s="99"/>
      <c r="MWT22" s="99"/>
      <c r="MWU22" s="99"/>
      <c r="MWV22" s="99"/>
      <c r="MWW22" s="99"/>
      <c r="MWX22" s="99"/>
      <c r="MWY22" s="99"/>
      <c r="MWZ22" s="99"/>
      <c r="MXA22" s="99"/>
      <c r="MXB22" s="99"/>
      <c r="MXC22" s="99"/>
      <c r="MXD22" s="99"/>
      <c r="MXE22" s="99"/>
      <c r="MXF22" s="99"/>
      <c r="MXG22" s="99"/>
      <c r="MXH22" s="99"/>
      <c r="MXI22" s="99"/>
      <c r="MXJ22" s="99"/>
      <c r="MXK22" s="99"/>
      <c r="MXL22" s="99"/>
      <c r="MXM22" s="99"/>
      <c r="MXN22" s="99"/>
      <c r="MXO22" s="99"/>
      <c r="MXP22" s="99"/>
      <c r="MXQ22" s="99"/>
      <c r="MXR22" s="99"/>
      <c r="MXS22" s="99"/>
      <c r="MXT22" s="99"/>
      <c r="MXU22" s="99"/>
      <c r="MXV22" s="99"/>
      <c r="MXW22" s="99"/>
      <c r="MXX22" s="99"/>
      <c r="MXY22" s="99"/>
      <c r="MXZ22" s="99"/>
      <c r="MYA22" s="99"/>
      <c r="MYB22" s="99"/>
      <c r="MYC22" s="99"/>
      <c r="MYD22" s="99"/>
      <c r="MYE22" s="99"/>
      <c r="MYF22" s="99"/>
      <c r="MYG22" s="99"/>
      <c r="MYH22" s="99"/>
      <c r="MYI22" s="99"/>
      <c r="MYJ22" s="99"/>
      <c r="MYK22" s="99"/>
      <c r="MYL22" s="99"/>
      <c r="MYM22" s="99"/>
      <c r="MYN22" s="99"/>
      <c r="MYO22" s="99"/>
      <c r="MYP22" s="99"/>
      <c r="MYQ22" s="99"/>
      <c r="MYR22" s="99"/>
      <c r="MYS22" s="99"/>
      <c r="MYT22" s="99"/>
      <c r="MYU22" s="99"/>
      <c r="MYV22" s="99"/>
      <c r="MYW22" s="99"/>
      <c r="MYX22" s="99"/>
      <c r="MYY22" s="99"/>
      <c r="MYZ22" s="99"/>
      <c r="MZA22" s="99"/>
      <c r="MZB22" s="99"/>
      <c r="MZC22" s="99"/>
      <c r="MZD22" s="99"/>
      <c r="MZE22" s="99"/>
      <c r="MZF22" s="99"/>
      <c r="MZG22" s="99"/>
      <c r="MZH22" s="99"/>
      <c r="MZI22" s="99"/>
      <c r="MZJ22" s="99"/>
      <c r="MZK22" s="99"/>
      <c r="MZL22" s="99"/>
      <c r="MZM22" s="99"/>
      <c r="MZN22" s="99"/>
      <c r="MZO22" s="99"/>
      <c r="MZP22" s="99"/>
      <c r="MZQ22" s="99"/>
      <c r="MZR22" s="99"/>
      <c r="MZS22" s="99"/>
      <c r="MZT22" s="99"/>
      <c r="MZU22" s="99"/>
      <c r="MZV22" s="99"/>
      <c r="MZW22" s="99"/>
      <c r="MZX22" s="99"/>
      <c r="MZY22" s="99"/>
      <c r="MZZ22" s="99"/>
      <c r="NAA22" s="99"/>
      <c r="NAB22" s="99"/>
      <c r="NAC22" s="99"/>
      <c r="NAD22" s="99"/>
      <c r="NAE22" s="99"/>
      <c r="NAF22" s="99"/>
      <c r="NAG22" s="99"/>
      <c r="NAH22" s="99"/>
      <c r="NAI22" s="99"/>
      <c r="NAJ22" s="99"/>
      <c r="NAK22" s="99"/>
      <c r="NAL22" s="99"/>
      <c r="NAM22" s="99"/>
      <c r="NAN22" s="99"/>
      <c r="NAO22" s="99"/>
      <c r="NAP22" s="99"/>
      <c r="NAQ22" s="99"/>
      <c r="NAR22" s="99"/>
      <c r="NAS22" s="99"/>
      <c r="NAT22" s="99"/>
      <c r="NAU22" s="99"/>
      <c r="NAV22" s="99"/>
      <c r="NAW22" s="99"/>
      <c r="NAX22" s="99"/>
      <c r="NAY22" s="99"/>
      <c r="NAZ22" s="99"/>
      <c r="NBA22" s="99"/>
      <c r="NBB22" s="99"/>
      <c r="NBC22" s="99"/>
      <c r="NBD22" s="99"/>
      <c r="NBE22" s="99"/>
      <c r="NBF22" s="99"/>
      <c r="NBG22" s="99"/>
      <c r="NBH22" s="99"/>
      <c r="NBI22" s="99"/>
      <c r="NBJ22" s="99"/>
      <c r="NBK22" s="99"/>
      <c r="NBL22" s="99"/>
      <c r="NBM22" s="99"/>
      <c r="NBN22" s="99"/>
      <c r="NBO22" s="99"/>
      <c r="NBP22" s="99"/>
      <c r="NBQ22" s="99"/>
      <c r="NBR22" s="99"/>
      <c r="NBS22" s="99"/>
      <c r="NBT22" s="99"/>
      <c r="NBU22" s="99"/>
      <c r="NBV22" s="99"/>
      <c r="NBW22" s="99"/>
      <c r="NBX22" s="99"/>
      <c r="NBY22" s="99"/>
      <c r="NBZ22" s="99"/>
      <c r="NCA22" s="99"/>
      <c r="NCB22" s="99"/>
      <c r="NCC22" s="99"/>
      <c r="NCD22" s="99"/>
      <c r="NCE22" s="99"/>
      <c r="NCF22" s="99"/>
      <c r="NCG22" s="99"/>
      <c r="NCH22" s="99"/>
      <c r="NCI22" s="99"/>
      <c r="NCJ22" s="99"/>
      <c r="NCK22" s="99"/>
      <c r="NCL22" s="99"/>
      <c r="NCM22" s="99"/>
      <c r="NCN22" s="99"/>
      <c r="NCO22" s="99"/>
      <c r="NCP22" s="99"/>
      <c r="NCQ22" s="99"/>
      <c r="NCR22" s="99"/>
      <c r="NCS22" s="99"/>
      <c r="NCT22" s="99"/>
      <c r="NCU22" s="99"/>
      <c r="NCV22" s="99"/>
      <c r="NCW22" s="99"/>
      <c r="NCX22" s="99"/>
      <c r="NCY22" s="99"/>
      <c r="NCZ22" s="99"/>
      <c r="NDA22" s="99"/>
      <c r="NDB22" s="99"/>
      <c r="NDC22" s="99"/>
      <c r="NDD22" s="99"/>
      <c r="NDE22" s="99"/>
      <c r="NDF22" s="99"/>
      <c r="NDG22" s="99"/>
      <c r="NDH22" s="99"/>
      <c r="NDI22" s="99"/>
      <c r="NDJ22" s="99"/>
      <c r="NDK22" s="99"/>
      <c r="NDL22" s="99"/>
      <c r="NDM22" s="99"/>
      <c r="NDN22" s="99"/>
      <c r="NDO22" s="99"/>
      <c r="NDP22" s="99"/>
      <c r="NDQ22" s="99"/>
      <c r="NDR22" s="99"/>
      <c r="NDS22" s="99"/>
      <c r="NDT22" s="99"/>
      <c r="NDU22" s="99"/>
      <c r="NDV22" s="99"/>
      <c r="NDW22" s="99"/>
      <c r="NDX22" s="99"/>
      <c r="NDY22" s="99"/>
      <c r="NDZ22" s="99"/>
      <c r="NEA22" s="99"/>
      <c r="NEB22" s="99"/>
      <c r="NEC22" s="99"/>
      <c r="NED22" s="99"/>
      <c r="NEE22" s="99"/>
      <c r="NEF22" s="99"/>
      <c r="NEG22" s="99"/>
      <c r="NEH22" s="99"/>
      <c r="NEI22" s="99"/>
      <c r="NEJ22" s="99"/>
      <c r="NEK22" s="99"/>
      <c r="NEL22" s="99"/>
      <c r="NEM22" s="99"/>
      <c r="NEN22" s="99"/>
      <c r="NEO22" s="99"/>
      <c r="NEP22" s="99"/>
      <c r="NEQ22" s="99"/>
      <c r="NER22" s="99"/>
      <c r="NES22" s="99"/>
      <c r="NET22" s="99"/>
      <c r="NEU22" s="99"/>
      <c r="NEV22" s="99"/>
      <c r="NEW22" s="99"/>
      <c r="NEX22" s="99"/>
      <c r="NEY22" s="99"/>
      <c r="NEZ22" s="99"/>
      <c r="NFA22" s="99"/>
      <c r="NFB22" s="99"/>
      <c r="NFC22" s="99"/>
      <c r="NFD22" s="99"/>
      <c r="NFE22" s="99"/>
      <c r="NFF22" s="99"/>
      <c r="NFG22" s="99"/>
      <c r="NFH22" s="99"/>
      <c r="NFI22" s="99"/>
      <c r="NFJ22" s="99"/>
      <c r="NFK22" s="99"/>
      <c r="NFL22" s="99"/>
      <c r="NFM22" s="99"/>
      <c r="NFN22" s="99"/>
      <c r="NFO22" s="99"/>
      <c r="NFP22" s="99"/>
      <c r="NFQ22" s="99"/>
      <c r="NFR22" s="99"/>
      <c r="NFS22" s="99"/>
      <c r="NFT22" s="99"/>
      <c r="NFU22" s="99"/>
      <c r="NFV22" s="99"/>
      <c r="NFW22" s="99"/>
      <c r="NFX22" s="99"/>
      <c r="NFY22" s="99"/>
      <c r="NFZ22" s="99"/>
      <c r="NGA22" s="99"/>
      <c r="NGB22" s="99"/>
      <c r="NGC22" s="99"/>
      <c r="NGD22" s="99"/>
      <c r="NGE22" s="99"/>
      <c r="NGF22" s="99"/>
      <c r="NGG22" s="99"/>
      <c r="NGH22" s="99"/>
      <c r="NGI22" s="99"/>
      <c r="NGJ22" s="99"/>
      <c r="NGK22" s="99"/>
      <c r="NGL22" s="99"/>
      <c r="NGM22" s="99"/>
      <c r="NGN22" s="99"/>
      <c r="NGO22" s="99"/>
      <c r="NGP22" s="99"/>
      <c r="NGQ22" s="99"/>
      <c r="NGR22" s="99"/>
      <c r="NGS22" s="99"/>
      <c r="NGT22" s="99"/>
      <c r="NGU22" s="99"/>
      <c r="NGV22" s="99"/>
      <c r="NGW22" s="99"/>
      <c r="NGX22" s="99"/>
      <c r="NGY22" s="99"/>
      <c r="NGZ22" s="99"/>
      <c r="NHA22" s="99"/>
      <c r="NHB22" s="99"/>
      <c r="NHC22" s="99"/>
      <c r="NHD22" s="99"/>
      <c r="NHE22" s="99"/>
      <c r="NHF22" s="99"/>
      <c r="NHG22" s="99"/>
      <c r="NHH22" s="99"/>
      <c r="NHI22" s="99"/>
      <c r="NHJ22" s="99"/>
      <c r="NHK22" s="99"/>
      <c r="NHL22" s="99"/>
      <c r="NHM22" s="99"/>
      <c r="NHN22" s="99"/>
      <c r="NHO22" s="99"/>
      <c r="NHP22" s="99"/>
      <c r="NHQ22" s="99"/>
      <c r="NHR22" s="99"/>
      <c r="NHS22" s="99"/>
      <c r="NHT22" s="99"/>
      <c r="NHU22" s="99"/>
      <c r="NHV22" s="99"/>
      <c r="NHW22" s="99"/>
      <c r="NHX22" s="99"/>
      <c r="NHY22" s="99"/>
      <c r="NHZ22" s="99"/>
      <c r="NIA22" s="99"/>
      <c r="NIB22" s="99"/>
      <c r="NIC22" s="99"/>
      <c r="NID22" s="99"/>
      <c r="NIE22" s="99"/>
      <c r="NIF22" s="99"/>
      <c r="NIG22" s="99"/>
      <c r="NIH22" s="99"/>
      <c r="NII22" s="99"/>
      <c r="NIJ22" s="99"/>
      <c r="NIK22" s="99"/>
      <c r="NIL22" s="99"/>
      <c r="NIM22" s="99"/>
      <c r="NIN22" s="99"/>
      <c r="NIO22" s="99"/>
      <c r="NIP22" s="99"/>
      <c r="NIQ22" s="99"/>
      <c r="NIR22" s="99"/>
      <c r="NIS22" s="99"/>
      <c r="NIT22" s="99"/>
      <c r="NIU22" s="99"/>
      <c r="NIV22" s="99"/>
      <c r="NIW22" s="99"/>
      <c r="NIX22" s="99"/>
      <c r="NIY22" s="99"/>
      <c r="NIZ22" s="99"/>
      <c r="NJA22" s="99"/>
      <c r="NJB22" s="99"/>
      <c r="NJC22" s="99"/>
      <c r="NJD22" s="99"/>
      <c r="NJE22" s="99"/>
      <c r="NJF22" s="99"/>
      <c r="NJG22" s="99"/>
      <c r="NJH22" s="99"/>
      <c r="NJI22" s="99"/>
      <c r="NJJ22" s="99"/>
      <c r="NJK22" s="99"/>
      <c r="NJL22" s="99"/>
      <c r="NJM22" s="99"/>
      <c r="NJN22" s="99"/>
      <c r="NJO22" s="99"/>
      <c r="NJP22" s="99"/>
      <c r="NJQ22" s="99"/>
      <c r="NJR22" s="99"/>
      <c r="NJS22" s="99"/>
      <c r="NJT22" s="99"/>
      <c r="NJU22" s="99"/>
      <c r="NJV22" s="99"/>
      <c r="NJW22" s="99"/>
      <c r="NJX22" s="99"/>
      <c r="NJY22" s="99"/>
      <c r="NJZ22" s="99"/>
      <c r="NKA22" s="99"/>
      <c r="NKB22" s="99"/>
      <c r="NKC22" s="99"/>
      <c r="NKD22" s="99"/>
      <c r="NKE22" s="99"/>
      <c r="NKF22" s="99"/>
      <c r="NKG22" s="99"/>
      <c r="NKH22" s="99"/>
      <c r="NKI22" s="99"/>
      <c r="NKJ22" s="99"/>
      <c r="NKK22" s="99"/>
      <c r="NKL22" s="99"/>
      <c r="NKM22" s="99"/>
      <c r="NKN22" s="99"/>
      <c r="NKO22" s="99"/>
      <c r="NKP22" s="99"/>
      <c r="NKQ22" s="99"/>
      <c r="NKR22" s="99"/>
      <c r="NKS22" s="99"/>
      <c r="NKT22" s="99"/>
      <c r="NKU22" s="99"/>
      <c r="NKV22" s="99"/>
      <c r="NKW22" s="99"/>
      <c r="NKX22" s="99"/>
      <c r="NKY22" s="99"/>
      <c r="NKZ22" s="99"/>
      <c r="NLA22" s="99"/>
      <c r="NLB22" s="99"/>
      <c r="NLC22" s="99"/>
      <c r="NLD22" s="99"/>
      <c r="NLE22" s="99"/>
      <c r="NLF22" s="99"/>
      <c r="NLG22" s="99"/>
      <c r="NLH22" s="99"/>
      <c r="NLI22" s="99"/>
      <c r="NLJ22" s="99"/>
      <c r="NLK22" s="99"/>
      <c r="NLL22" s="99"/>
      <c r="NLM22" s="99"/>
      <c r="NLN22" s="99"/>
      <c r="NLO22" s="99"/>
      <c r="NLP22" s="99"/>
      <c r="NLQ22" s="99"/>
      <c r="NLR22" s="99"/>
      <c r="NLS22" s="99"/>
      <c r="NLT22" s="99"/>
      <c r="NLU22" s="99"/>
      <c r="NLV22" s="99"/>
      <c r="NLW22" s="99"/>
      <c r="NLX22" s="99"/>
      <c r="NLY22" s="99"/>
      <c r="NLZ22" s="99"/>
      <c r="NMA22" s="99"/>
      <c r="NMB22" s="99"/>
      <c r="NMC22" s="99"/>
      <c r="NMD22" s="99"/>
      <c r="NME22" s="99"/>
      <c r="NMF22" s="99"/>
      <c r="NMG22" s="99"/>
      <c r="NMH22" s="99"/>
      <c r="NMI22" s="99"/>
      <c r="NMJ22" s="99"/>
      <c r="NMK22" s="99"/>
      <c r="NML22" s="99"/>
      <c r="NMM22" s="99"/>
      <c r="NMN22" s="99"/>
      <c r="NMO22" s="99"/>
      <c r="NMP22" s="99"/>
      <c r="NMQ22" s="99"/>
      <c r="NMR22" s="99"/>
      <c r="NMS22" s="99"/>
      <c r="NMT22" s="99"/>
      <c r="NMU22" s="99"/>
      <c r="NMV22" s="99"/>
      <c r="NMW22" s="99"/>
      <c r="NMX22" s="99"/>
      <c r="NMY22" s="99"/>
      <c r="NMZ22" s="99"/>
      <c r="NNA22" s="99"/>
      <c r="NNB22" s="99"/>
      <c r="NNC22" s="99"/>
      <c r="NND22" s="99"/>
      <c r="NNE22" s="99"/>
      <c r="NNF22" s="99"/>
      <c r="NNG22" s="99"/>
      <c r="NNH22" s="99"/>
      <c r="NNI22" s="99"/>
      <c r="NNJ22" s="99"/>
      <c r="NNK22" s="99"/>
      <c r="NNL22" s="99"/>
      <c r="NNM22" s="99"/>
      <c r="NNN22" s="99"/>
      <c r="NNO22" s="99"/>
      <c r="NNP22" s="99"/>
      <c r="NNQ22" s="99"/>
      <c r="NNR22" s="99"/>
      <c r="NNS22" s="99"/>
      <c r="NNT22" s="99"/>
      <c r="NNU22" s="99"/>
      <c r="NNV22" s="99"/>
      <c r="NNW22" s="99"/>
      <c r="NNX22" s="99"/>
      <c r="NNY22" s="99"/>
      <c r="NNZ22" s="99"/>
      <c r="NOA22" s="99"/>
      <c r="NOB22" s="99"/>
      <c r="NOC22" s="99"/>
      <c r="NOD22" s="99"/>
      <c r="NOE22" s="99"/>
      <c r="NOF22" s="99"/>
      <c r="NOG22" s="99"/>
      <c r="NOH22" s="99"/>
      <c r="NOI22" s="99"/>
      <c r="NOJ22" s="99"/>
      <c r="NOK22" s="99"/>
      <c r="NOL22" s="99"/>
      <c r="NOM22" s="99"/>
      <c r="NON22" s="99"/>
      <c r="NOO22" s="99"/>
      <c r="NOP22" s="99"/>
      <c r="NOQ22" s="99"/>
      <c r="NOR22" s="99"/>
      <c r="NOS22" s="99"/>
      <c r="NOT22" s="99"/>
      <c r="NOU22" s="99"/>
      <c r="NOV22" s="99"/>
      <c r="NOW22" s="99"/>
      <c r="NOX22" s="99"/>
      <c r="NOY22" s="99"/>
      <c r="NOZ22" s="99"/>
      <c r="NPA22" s="99"/>
      <c r="NPB22" s="99"/>
      <c r="NPC22" s="99"/>
      <c r="NPD22" s="99"/>
      <c r="NPE22" s="99"/>
      <c r="NPF22" s="99"/>
      <c r="NPG22" s="99"/>
      <c r="NPH22" s="99"/>
      <c r="NPI22" s="99"/>
      <c r="NPJ22" s="99"/>
      <c r="NPK22" s="99"/>
      <c r="NPL22" s="99"/>
      <c r="NPM22" s="99"/>
      <c r="NPN22" s="99"/>
      <c r="NPO22" s="99"/>
      <c r="NPP22" s="99"/>
      <c r="NPQ22" s="99"/>
      <c r="NPR22" s="99"/>
      <c r="NPS22" s="99"/>
      <c r="NPT22" s="99"/>
      <c r="NPU22" s="99"/>
      <c r="NPV22" s="99"/>
      <c r="NPW22" s="99"/>
      <c r="NPX22" s="99"/>
      <c r="NPY22" s="99"/>
      <c r="NPZ22" s="99"/>
      <c r="NQA22" s="99"/>
      <c r="NQB22" s="99"/>
      <c r="NQC22" s="99"/>
      <c r="NQD22" s="99"/>
      <c r="NQE22" s="99"/>
      <c r="NQF22" s="99"/>
      <c r="NQG22" s="99"/>
      <c r="NQH22" s="99"/>
      <c r="NQI22" s="99"/>
      <c r="NQJ22" s="99"/>
      <c r="NQK22" s="99"/>
      <c r="NQL22" s="99"/>
      <c r="NQM22" s="99"/>
      <c r="NQN22" s="99"/>
      <c r="NQO22" s="99"/>
      <c r="NQP22" s="99"/>
      <c r="NQQ22" s="99"/>
      <c r="NQR22" s="99"/>
      <c r="NQS22" s="99"/>
      <c r="NQT22" s="99"/>
      <c r="NQU22" s="99"/>
      <c r="NQV22" s="99"/>
      <c r="NQW22" s="99"/>
      <c r="NQX22" s="99"/>
      <c r="NQY22" s="99"/>
      <c r="NQZ22" s="99"/>
      <c r="NRA22" s="99"/>
      <c r="NRB22" s="99"/>
      <c r="NRC22" s="99"/>
      <c r="NRD22" s="99"/>
      <c r="NRE22" s="99"/>
      <c r="NRF22" s="99"/>
      <c r="NRG22" s="99"/>
      <c r="NRH22" s="99"/>
      <c r="NRI22" s="99"/>
      <c r="NRJ22" s="99"/>
      <c r="NRK22" s="99"/>
      <c r="NRL22" s="99"/>
      <c r="NRM22" s="99"/>
      <c r="NRN22" s="99"/>
      <c r="NRO22" s="99"/>
      <c r="NRP22" s="99"/>
      <c r="NRQ22" s="99"/>
      <c r="NRR22" s="99"/>
      <c r="NRS22" s="99"/>
      <c r="NRT22" s="99"/>
      <c r="NRU22" s="99"/>
      <c r="NRV22" s="99"/>
      <c r="NRW22" s="99"/>
      <c r="NRX22" s="99"/>
      <c r="NRY22" s="99"/>
      <c r="NRZ22" s="99"/>
      <c r="NSA22" s="99"/>
      <c r="NSB22" s="99"/>
      <c r="NSC22" s="99"/>
      <c r="NSD22" s="99"/>
      <c r="NSE22" s="99"/>
      <c r="NSF22" s="99"/>
      <c r="NSG22" s="99"/>
      <c r="NSH22" s="99"/>
      <c r="NSI22" s="99"/>
      <c r="NSJ22" s="99"/>
      <c r="NSK22" s="99"/>
      <c r="NSL22" s="99"/>
      <c r="NSM22" s="99"/>
      <c r="NSN22" s="99"/>
      <c r="NSO22" s="99"/>
      <c r="NSP22" s="99"/>
      <c r="NSQ22" s="99"/>
      <c r="NSR22" s="99"/>
      <c r="NSS22" s="99"/>
      <c r="NST22" s="99"/>
      <c r="NSU22" s="99"/>
      <c r="NSV22" s="99"/>
      <c r="NSW22" s="99"/>
      <c r="NSX22" s="99"/>
      <c r="NSY22" s="99"/>
      <c r="NSZ22" s="99"/>
      <c r="NTA22" s="99"/>
      <c r="NTB22" s="99"/>
      <c r="NTC22" s="99"/>
      <c r="NTD22" s="99"/>
      <c r="NTE22" s="99"/>
      <c r="NTF22" s="99"/>
      <c r="NTG22" s="99"/>
      <c r="NTH22" s="99"/>
      <c r="NTI22" s="99"/>
      <c r="NTJ22" s="99"/>
      <c r="NTK22" s="99"/>
      <c r="NTL22" s="99"/>
      <c r="NTM22" s="99"/>
      <c r="NTN22" s="99"/>
      <c r="NTO22" s="99"/>
      <c r="NTP22" s="99"/>
      <c r="NTQ22" s="99"/>
      <c r="NTR22" s="99"/>
      <c r="NTS22" s="99"/>
      <c r="NTT22" s="99"/>
      <c r="NTU22" s="99"/>
      <c r="NTV22" s="99"/>
      <c r="NTW22" s="99"/>
      <c r="NTX22" s="99"/>
      <c r="NTY22" s="99"/>
      <c r="NTZ22" s="99"/>
      <c r="NUA22" s="99"/>
      <c r="NUB22" s="99"/>
      <c r="NUC22" s="99"/>
      <c r="NUD22" s="99"/>
      <c r="NUE22" s="99"/>
      <c r="NUF22" s="99"/>
      <c r="NUG22" s="99"/>
      <c r="NUH22" s="99"/>
      <c r="NUI22" s="99"/>
      <c r="NUJ22" s="99"/>
      <c r="NUK22" s="99"/>
      <c r="NUL22" s="99"/>
      <c r="NUM22" s="99"/>
      <c r="NUN22" s="99"/>
      <c r="NUO22" s="99"/>
      <c r="NUP22" s="99"/>
      <c r="NUQ22" s="99"/>
      <c r="NUR22" s="99"/>
      <c r="NUS22" s="99"/>
      <c r="NUT22" s="99"/>
      <c r="NUU22" s="99"/>
      <c r="NUV22" s="99"/>
      <c r="NUW22" s="99"/>
      <c r="NUX22" s="99"/>
      <c r="NUY22" s="99"/>
      <c r="NUZ22" s="99"/>
      <c r="NVA22" s="99"/>
      <c r="NVB22" s="99"/>
      <c r="NVC22" s="99"/>
      <c r="NVD22" s="99"/>
      <c r="NVE22" s="99"/>
      <c r="NVF22" s="99"/>
      <c r="NVG22" s="99"/>
      <c r="NVH22" s="99"/>
      <c r="NVI22" s="99"/>
      <c r="NVJ22" s="99"/>
      <c r="NVK22" s="99"/>
      <c r="NVL22" s="99"/>
      <c r="NVM22" s="99"/>
      <c r="NVN22" s="99"/>
      <c r="NVO22" s="99"/>
      <c r="NVP22" s="99"/>
      <c r="NVQ22" s="99"/>
      <c r="NVR22" s="99"/>
      <c r="NVS22" s="99"/>
      <c r="NVT22" s="99"/>
      <c r="NVU22" s="99"/>
      <c r="NVV22" s="99"/>
      <c r="NVW22" s="99"/>
      <c r="NVX22" s="99"/>
      <c r="NVY22" s="99"/>
      <c r="NVZ22" s="99"/>
      <c r="NWA22" s="99"/>
      <c r="NWB22" s="99"/>
      <c r="NWC22" s="99"/>
      <c r="NWD22" s="99"/>
      <c r="NWE22" s="99"/>
      <c r="NWF22" s="99"/>
      <c r="NWG22" s="99"/>
      <c r="NWH22" s="99"/>
      <c r="NWI22" s="99"/>
      <c r="NWJ22" s="99"/>
      <c r="NWK22" s="99"/>
      <c r="NWL22" s="99"/>
      <c r="NWM22" s="99"/>
      <c r="NWN22" s="99"/>
      <c r="NWO22" s="99"/>
      <c r="NWP22" s="99"/>
      <c r="NWQ22" s="99"/>
      <c r="NWR22" s="99"/>
      <c r="NWS22" s="99"/>
      <c r="NWT22" s="99"/>
      <c r="NWU22" s="99"/>
      <c r="NWV22" s="99"/>
      <c r="NWW22" s="99"/>
      <c r="NWX22" s="99"/>
      <c r="NWY22" s="99"/>
      <c r="NWZ22" s="99"/>
      <c r="NXA22" s="99"/>
      <c r="NXB22" s="99"/>
      <c r="NXC22" s="99"/>
      <c r="NXD22" s="99"/>
      <c r="NXE22" s="99"/>
      <c r="NXF22" s="99"/>
      <c r="NXG22" s="99"/>
      <c r="NXH22" s="99"/>
      <c r="NXI22" s="99"/>
      <c r="NXJ22" s="99"/>
      <c r="NXK22" s="99"/>
      <c r="NXL22" s="99"/>
      <c r="NXM22" s="99"/>
      <c r="NXN22" s="99"/>
      <c r="NXO22" s="99"/>
      <c r="NXP22" s="99"/>
      <c r="NXQ22" s="99"/>
      <c r="NXR22" s="99"/>
      <c r="NXS22" s="99"/>
      <c r="NXT22" s="99"/>
      <c r="NXU22" s="99"/>
      <c r="NXV22" s="99"/>
      <c r="NXW22" s="99"/>
      <c r="NXX22" s="99"/>
      <c r="NXY22" s="99"/>
      <c r="NXZ22" s="99"/>
      <c r="NYA22" s="99"/>
      <c r="NYB22" s="99"/>
      <c r="NYC22" s="99"/>
      <c r="NYD22" s="99"/>
      <c r="NYE22" s="99"/>
      <c r="NYF22" s="99"/>
      <c r="NYG22" s="99"/>
      <c r="NYH22" s="99"/>
      <c r="NYI22" s="99"/>
      <c r="NYJ22" s="99"/>
      <c r="NYK22" s="99"/>
      <c r="NYL22" s="99"/>
      <c r="NYM22" s="99"/>
      <c r="NYN22" s="99"/>
      <c r="NYO22" s="99"/>
      <c r="NYP22" s="99"/>
      <c r="NYQ22" s="99"/>
      <c r="NYR22" s="99"/>
      <c r="NYS22" s="99"/>
      <c r="NYT22" s="99"/>
      <c r="NYU22" s="99"/>
      <c r="NYV22" s="99"/>
      <c r="NYW22" s="99"/>
      <c r="NYX22" s="99"/>
      <c r="NYY22" s="99"/>
      <c r="NYZ22" s="99"/>
      <c r="NZA22" s="99"/>
      <c r="NZB22" s="99"/>
      <c r="NZC22" s="99"/>
      <c r="NZD22" s="99"/>
      <c r="NZE22" s="99"/>
      <c r="NZF22" s="99"/>
      <c r="NZG22" s="99"/>
      <c r="NZH22" s="99"/>
      <c r="NZI22" s="99"/>
      <c r="NZJ22" s="99"/>
      <c r="NZK22" s="99"/>
      <c r="NZL22" s="99"/>
      <c r="NZM22" s="99"/>
      <c r="NZN22" s="99"/>
      <c r="NZO22" s="99"/>
      <c r="NZP22" s="99"/>
      <c r="NZQ22" s="99"/>
      <c r="NZR22" s="99"/>
      <c r="NZS22" s="99"/>
      <c r="NZT22" s="99"/>
      <c r="NZU22" s="99"/>
      <c r="NZV22" s="99"/>
      <c r="NZW22" s="99"/>
      <c r="NZX22" s="99"/>
      <c r="NZY22" s="99"/>
      <c r="NZZ22" s="99"/>
      <c r="OAA22" s="99"/>
      <c r="OAB22" s="99"/>
      <c r="OAC22" s="99"/>
      <c r="OAD22" s="99"/>
      <c r="OAE22" s="99"/>
      <c r="OAF22" s="99"/>
      <c r="OAG22" s="99"/>
      <c r="OAH22" s="99"/>
      <c r="OAI22" s="99"/>
      <c r="OAJ22" s="99"/>
      <c r="OAK22" s="99"/>
      <c r="OAL22" s="99"/>
      <c r="OAM22" s="99"/>
      <c r="OAN22" s="99"/>
      <c r="OAO22" s="99"/>
      <c r="OAP22" s="99"/>
      <c r="OAQ22" s="99"/>
      <c r="OAR22" s="99"/>
      <c r="OAS22" s="99"/>
      <c r="OAT22" s="99"/>
      <c r="OAU22" s="99"/>
      <c r="OAV22" s="99"/>
      <c r="OAW22" s="99"/>
      <c r="OAX22" s="99"/>
      <c r="OAY22" s="99"/>
      <c r="OAZ22" s="99"/>
      <c r="OBA22" s="99"/>
      <c r="OBB22" s="99"/>
      <c r="OBC22" s="99"/>
      <c r="OBD22" s="99"/>
      <c r="OBE22" s="99"/>
      <c r="OBF22" s="99"/>
      <c r="OBG22" s="99"/>
      <c r="OBH22" s="99"/>
      <c r="OBI22" s="99"/>
      <c r="OBJ22" s="99"/>
      <c r="OBK22" s="99"/>
      <c r="OBL22" s="99"/>
      <c r="OBM22" s="99"/>
      <c r="OBN22" s="99"/>
      <c r="OBO22" s="99"/>
      <c r="OBP22" s="99"/>
      <c r="OBQ22" s="99"/>
      <c r="OBR22" s="99"/>
      <c r="OBS22" s="99"/>
      <c r="OBT22" s="99"/>
      <c r="OBU22" s="99"/>
      <c r="OBV22" s="99"/>
      <c r="OBW22" s="99"/>
      <c r="OBX22" s="99"/>
      <c r="OBY22" s="99"/>
      <c r="OBZ22" s="99"/>
      <c r="OCA22" s="99"/>
      <c r="OCB22" s="99"/>
      <c r="OCC22" s="99"/>
      <c r="OCD22" s="99"/>
      <c r="OCE22" s="99"/>
      <c r="OCF22" s="99"/>
      <c r="OCG22" s="99"/>
      <c r="OCH22" s="99"/>
      <c r="OCI22" s="99"/>
      <c r="OCJ22" s="99"/>
      <c r="OCK22" s="99"/>
      <c r="OCL22" s="99"/>
      <c r="OCM22" s="99"/>
      <c r="OCN22" s="99"/>
      <c r="OCO22" s="99"/>
      <c r="OCP22" s="99"/>
      <c r="OCQ22" s="99"/>
      <c r="OCR22" s="99"/>
      <c r="OCS22" s="99"/>
      <c r="OCT22" s="99"/>
      <c r="OCU22" s="99"/>
      <c r="OCV22" s="99"/>
      <c r="OCW22" s="99"/>
      <c r="OCX22" s="99"/>
      <c r="OCY22" s="99"/>
      <c r="OCZ22" s="99"/>
      <c r="ODA22" s="99"/>
      <c r="ODB22" s="99"/>
      <c r="ODC22" s="99"/>
      <c r="ODD22" s="99"/>
      <c r="ODE22" s="99"/>
      <c r="ODF22" s="99"/>
      <c r="ODG22" s="99"/>
      <c r="ODH22" s="99"/>
      <c r="ODI22" s="99"/>
      <c r="ODJ22" s="99"/>
      <c r="ODK22" s="99"/>
      <c r="ODL22" s="99"/>
      <c r="ODM22" s="99"/>
      <c r="ODN22" s="99"/>
      <c r="ODO22" s="99"/>
      <c r="ODP22" s="99"/>
      <c r="ODQ22" s="99"/>
      <c r="ODR22" s="99"/>
      <c r="ODS22" s="99"/>
      <c r="ODT22" s="99"/>
      <c r="ODU22" s="99"/>
      <c r="ODV22" s="99"/>
      <c r="ODW22" s="99"/>
      <c r="ODX22" s="99"/>
      <c r="ODY22" s="99"/>
      <c r="ODZ22" s="99"/>
      <c r="OEA22" s="99"/>
      <c r="OEB22" s="99"/>
      <c r="OEC22" s="99"/>
      <c r="OED22" s="99"/>
      <c r="OEE22" s="99"/>
      <c r="OEF22" s="99"/>
      <c r="OEG22" s="99"/>
      <c r="OEH22" s="99"/>
      <c r="OEI22" s="99"/>
      <c r="OEJ22" s="99"/>
      <c r="OEK22" s="99"/>
      <c r="OEL22" s="99"/>
      <c r="OEM22" s="99"/>
      <c r="OEN22" s="99"/>
      <c r="OEO22" s="99"/>
      <c r="OEP22" s="99"/>
      <c r="OEQ22" s="99"/>
      <c r="OER22" s="99"/>
      <c r="OES22" s="99"/>
      <c r="OET22" s="99"/>
      <c r="OEU22" s="99"/>
      <c r="OEV22" s="99"/>
      <c r="OEW22" s="99"/>
      <c r="OEX22" s="99"/>
      <c r="OEY22" s="99"/>
      <c r="OEZ22" s="99"/>
      <c r="OFA22" s="99"/>
      <c r="OFB22" s="99"/>
      <c r="OFC22" s="99"/>
      <c r="OFD22" s="99"/>
      <c r="OFE22" s="99"/>
      <c r="OFF22" s="99"/>
      <c r="OFG22" s="99"/>
      <c r="OFH22" s="99"/>
      <c r="OFI22" s="99"/>
      <c r="OFJ22" s="99"/>
      <c r="OFK22" s="99"/>
      <c r="OFL22" s="99"/>
      <c r="OFM22" s="99"/>
      <c r="OFN22" s="99"/>
      <c r="OFO22" s="99"/>
      <c r="OFP22" s="99"/>
      <c r="OFQ22" s="99"/>
      <c r="OFR22" s="99"/>
      <c r="OFS22" s="99"/>
      <c r="OFT22" s="99"/>
      <c r="OFU22" s="99"/>
      <c r="OFV22" s="99"/>
      <c r="OFW22" s="99"/>
      <c r="OFX22" s="99"/>
      <c r="OFY22" s="99"/>
      <c r="OFZ22" s="99"/>
      <c r="OGA22" s="99"/>
      <c r="OGB22" s="99"/>
      <c r="OGC22" s="99"/>
      <c r="OGD22" s="99"/>
      <c r="OGE22" s="99"/>
      <c r="OGF22" s="99"/>
      <c r="OGG22" s="99"/>
      <c r="OGH22" s="99"/>
      <c r="OGI22" s="99"/>
      <c r="OGJ22" s="99"/>
      <c r="OGK22" s="99"/>
      <c r="OGL22" s="99"/>
      <c r="OGM22" s="99"/>
      <c r="OGN22" s="99"/>
      <c r="OGO22" s="99"/>
      <c r="OGP22" s="99"/>
      <c r="OGQ22" s="99"/>
      <c r="OGR22" s="99"/>
      <c r="OGS22" s="99"/>
      <c r="OGT22" s="99"/>
      <c r="OGU22" s="99"/>
      <c r="OGV22" s="99"/>
      <c r="OGW22" s="99"/>
      <c r="OGX22" s="99"/>
      <c r="OGY22" s="99"/>
      <c r="OGZ22" s="99"/>
      <c r="OHA22" s="99"/>
      <c r="OHB22" s="99"/>
      <c r="OHC22" s="99"/>
      <c r="OHD22" s="99"/>
      <c r="OHE22" s="99"/>
      <c r="OHF22" s="99"/>
      <c r="OHG22" s="99"/>
      <c r="OHH22" s="99"/>
      <c r="OHI22" s="99"/>
      <c r="OHJ22" s="99"/>
      <c r="OHK22" s="99"/>
      <c r="OHL22" s="99"/>
      <c r="OHM22" s="99"/>
      <c r="OHN22" s="99"/>
      <c r="OHO22" s="99"/>
      <c r="OHP22" s="99"/>
      <c r="OHQ22" s="99"/>
      <c r="OHR22" s="99"/>
      <c r="OHS22" s="99"/>
      <c r="OHT22" s="99"/>
      <c r="OHU22" s="99"/>
      <c r="OHV22" s="99"/>
      <c r="OHW22" s="99"/>
      <c r="OHX22" s="99"/>
      <c r="OHY22" s="99"/>
      <c r="OHZ22" s="99"/>
      <c r="OIA22" s="99"/>
      <c r="OIB22" s="99"/>
      <c r="OIC22" s="99"/>
      <c r="OID22" s="99"/>
      <c r="OIE22" s="99"/>
      <c r="OIF22" s="99"/>
      <c r="OIG22" s="99"/>
      <c r="OIH22" s="99"/>
      <c r="OII22" s="99"/>
      <c r="OIJ22" s="99"/>
      <c r="OIK22" s="99"/>
      <c r="OIL22" s="99"/>
      <c r="OIM22" s="99"/>
      <c r="OIN22" s="99"/>
      <c r="OIO22" s="99"/>
      <c r="OIP22" s="99"/>
      <c r="OIQ22" s="99"/>
      <c r="OIR22" s="99"/>
      <c r="OIS22" s="99"/>
      <c r="OIT22" s="99"/>
      <c r="OIU22" s="99"/>
      <c r="OIV22" s="99"/>
      <c r="OIW22" s="99"/>
      <c r="OIX22" s="99"/>
      <c r="OIY22" s="99"/>
      <c r="OIZ22" s="99"/>
      <c r="OJA22" s="99"/>
      <c r="OJB22" s="99"/>
      <c r="OJC22" s="99"/>
      <c r="OJD22" s="99"/>
      <c r="OJE22" s="99"/>
      <c r="OJF22" s="99"/>
      <c r="OJG22" s="99"/>
      <c r="OJH22" s="99"/>
      <c r="OJI22" s="99"/>
      <c r="OJJ22" s="99"/>
      <c r="OJK22" s="99"/>
      <c r="OJL22" s="99"/>
      <c r="OJM22" s="99"/>
      <c r="OJN22" s="99"/>
      <c r="OJO22" s="99"/>
      <c r="OJP22" s="99"/>
      <c r="OJQ22" s="99"/>
      <c r="OJR22" s="99"/>
      <c r="OJS22" s="99"/>
      <c r="OJT22" s="99"/>
      <c r="OJU22" s="99"/>
      <c r="OJV22" s="99"/>
      <c r="OJW22" s="99"/>
      <c r="OJX22" s="99"/>
      <c r="OJY22" s="99"/>
      <c r="OJZ22" s="99"/>
      <c r="OKA22" s="99"/>
      <c r="OKB22" s="99"/>
      <c r="OKC22" s="99"/>
      <c r="OKD22" s="99"/>
      <c r="OKE22" s="99"/>
      <c r="OKF22" s="99"/>
      <c r="OKG22" s="99"/>
      <c r="OKH22" s="99"/>
      <c r="OKI22" s="99"/>
      <c r="OKJ22" s="99"/>
      <c r="OKK22" s="99"/>
      <c r="OKL22" s="99"/>
      <c r="OKM22" s="99"/>
      <c r="OKN22" s="99"/>
      <c r="OKO22" s="99"/>
      <c r="OKP22" s="99"/>
      <c r="OKQ22" s="99"/>
      <c r="OKR22" s="99"/>
      <c r="OKS22" s="99"/>
      <c r="OKT22" s="99"/>
      <c r="OKU22" s="99"/>
      <c r="OKV22" s="99"/>
      <c r="OKW22" s="99"/>
      <c r="OKX22" s="99"/>
      <c r="OKY22" s="99"/>
      <c r="OKZ22" s="99"/>
      <c r="OLA22" s="99"/>
      <c r="OLB22" s="99"/>
      <c r="OLC22" s="99"/>
      <c r="OLD22" s="99"/>
      <c r="OLE22" s="99"/>
      <c r="OLF22" s="99"/>
      <c r="OLG22" s="99"/>
      <c r="OLH22" s="99"/>
      <c r="OLI22" s="99"/>
      <c r="OLJ22" s="99"/>
      <c r="OLK22" s="99"/>
      <c r="OLL22" s="99"/>
      <c r="OLM22" s="99"/>
      <c r="OLN22" s="99"/>
      <c r="OLO22" s="99"/>
      <c r="OLP22" s="99"/>
      <c r="OLQ22" s="99"/>
      <c r="OLR22" s="99"/>
      <c r="OLS22" s="99"/>
      <c r="OLT22" s="99"/>
      <c r="OLU22" s="99"/>
      <c r="OLV22" s="99"/>
      <c r="OLW22" s="99"/>
      <c r="OLX22" s="99"/>
      <c r="OLY22" s="99"/>
      <c r="OLZ22" s="99"/>
      <c r="OMA22" s="99"/>
      <c r="OMB22" s="99"/>
      <c r="OMC22" s="99"/>
      <c r="OMD22" s="99"/>
      <c r="OME22" s="99"/>
      <c r="OMF22" s="99"/>
      <c r="OMG22" s="99"/>
      <c r="OMH22" s="99"/>
      <c r="OMI22" s="99"/>
      <c r="OMJ22" s="99"/>
      <c r="OMK22" s="99"/>
      <c r="OML22" s="99"/>
      <c r="OMM22" s="99"/>
      <c r="OMN22" s="99"/>
      <c r="OMO22" s="99"/>
      <c r="OMP22" s="99"/>
      <c r="OMQ22" s="99"/>
      <c r="OMR22" s="99"/>
      <c r="OMS22" s="99"/>
      <c r="OMT22" s="99"/>
      <c r="OMU22" s="99"/>
      <c r="OMV22" s="99"/>
      <c r="OMW22" s="99"/>
      <c r="OMX22" s="99"/>
      <c r="OMY22" s="99"/>
      <c r="OMZ22" s="99"/>
      <c r="ONA22" s="99"/>
      <c r="ONB22" s="99"/>
      <c r="ONC22" s="99"/>
      <c r="OND22" s="99"/>
      <c r="ONE22" s="99"/>
      <c r="ONF22" s="99"/>
      <c r="ONG22" s="99"/>
      <c r="ONH22" s="99"/>
      <c r="ONI22" s="99"/>
      <c r="ONJ22" s="99"/>
      <c r="ONK22" s="99"/>
      <c r="ONL22" s="99"/>
      <c r="ONM22" s="99"/>
      <c r="ONN22" s="99"/>
      <c r="ONO22" s="99"/>
      <c r="ONP22" s="99"/>
      <c r="ONQ22" s="99"/>
      <c r="ONR22" s="99"/>
      <c r="ONS22" s="99"/>
      <c r="ONT22" s="99"/>
      <c r="ONU22" s="99"/>
      <c r="ONV22" s="99"/>
      <c r="ONW22" s="99"/>
      <c r="ONX22" s="99"/>
      <c r="ONY22" s="99"/>
      <c r="ONZ22" s="99"/>
      <c r="OOA22" s="99"/>
      <c r="OOB22" s="99"/>
      <c r="OOC22" s="99"/>
      <c r="OOD22" s="99"/>
      <c r="OOE22" s="99"/>
      <c r="OOF22" s="99"/>
      <c r="OOG22" s="99"/>
      <c r="OOH22" s="99"/>
      <c r="OOI22" s="99"/>
      <c r="OOJ22" s="99"/>
      <c r="OOK22" s="99"/>
      <c r="OOL22" s="99"/>
      <c r="OOM22" s="99"/>
      <c r="OON22" s="99"/>
      <c r="OOO22" s="99"/>
      <c r="OOP22" s="99"/>
      <c r="OOQ22" s="99"/>
      <c r="OOR22" s="99"/>
      <c r="OOS22" s="99"/>
      <c r="OOT22" s="99"/>
      <c r="OOU22" s="99"/>
      <c r="OOV22" s="99"/>
      <c r="OOW22" s="99"/>
      <c r="OOX22" s="99"/>
      <c r="OOY22" s="99"/>
      <c r="OOZ22" s="99"/>
      <c r="OPA22" s="99"/>
      <c r="OPB22" s="99"/>
      <c r="OPC22" s="99"/>
      <c r="OPD22" s="99"/>
      <c r="OPE22" s="99"/>
      <c r="OPF22" s="99"/>
      <c r="OPG22" s="99"/>
      <c r="OPH22" s="99"/>
      <c r="OPI22" s="99"/>
      <c r="OPJ22" s="99"/>
      <c r="OPK22" s="99"/>
      <c r="OPL22" s="99"/>
      <c r="OPM22" s="99"/>
      <c r="OPN22" s="99"/>
      <c r="OPO22" s="99"/>
      <c r="OPP22" s="99"/>
      <c r="OPQ22" s="99"/>
      <c r="OPR22" s="99"/>
      <c r="OPS22" s="99"/>
      <c r="OPT22" s="99"/>
      <c r="OPU22" s="99"/>
      <c r="OPV22" s="99"/>
      <c r="OPW22" s="99"/>
      <c r="OPX22" s="99"/>
      <c r="OPY22" s="99"/>
      <c r="OPZ22" s="99"/>
      <c r="OQA22" s="99"/>
      <c r="OQB22" s="99"/>
      <c r="OQC22" s="99"/>
      <c r="OQD22" s="99"/>
      <c r="OQE22" s="99"/>
      <c r="OQF22" s="99"/>
      <c r="OQG22" s="99"/>
      <c r="OQH22" s="99"/>
      <c r="OQI22" s="99"/>
      <c r="OQJ22" s="99"/>
      <c r="OQK22" s="99"/>
      <c r="OQL22" s="99"/>
      <c r="OQM22" s="99"/>
      <c r="OQN22" s="99"/>
      <c r="OQO22" s="99"/>
      <c r="OQP22" s="99"/>
      <c r="OQQ22" s="99"/>
      <c r="OQR22" s="99"/>
      <c r="OQS22" s="99"/>
      <c r="OQT22" s="99"/>
      <c r="OQU22" s="99"/>
      <c r="OQV22" s="99"/>
      <c r="OQW22" s="99"/>
      <c r="OQX22" s="99"/>
      <c r="OQY22" s="99"/>
      <c r="OQZ22" s="99"/>
      <c r="ORA22" s="99"/>
      <c r="ORB22" s="99"/>
      <c r="ORC22" s="99"/>
      <c r="ORD22" s="99"/>
      <c r="ORE22" s="99"/>
      <c r="ORF22" s="99"/>
      <c r="ORG22" s="99"/>
      <c r="ORH22" s="99"/>
      <c r="ORI22" s="99"/>
      <c r="ORJ22" s="99"/>
      <c r="ORK22" s="99"/>
      <c r="ORL22" s="99"/>
      <c r="ORM22" s="99"/>
      <c r="ORN22" s="99"/>
      <c r="ORO22" s="99"/>
      <c r="ORP22" s="99"/>
      <c r="ORQ22" s="99"/>
      <c r="ORR22" s="99"/>
      <c r="ORS22" s="99"/>
      <c r="ORT22" s="99"/>
      <c r="ORU22" s="99"/>
      <c r="ORV22" s="99"/>
      <c r="ORW22" s="99"/>
      <c r="ORX22" s="99"/>
      <c r="ORY22" s="99"/>
      <c r="ORZ22" s="99"/>
      <c r="OSA22" s="99"/>
      <c r="OSB22" s="99"/>
      <c r="OSC22" s="99"/>
      <c r="OSD22" s="99"/>
      <c r="OSE22" s="99"/>
      <c r="OSF22" s="99"/>
      <c r="OSG22" s="99"/>
      <c r="OSH22" s="99"/>
      <c r="OSI22" s="99"/>
      <c r="OSJ22" s="99"/>
      <c r="OSK22" s="99"/>
      <c r="OSL22" s="99"/>
      <c r="OSM22" s="99"/>
      <c r="OSN22" s="99"/>
      <c r="OSO22" s="99"/>
      <c r="OSP22" s="99"/>
      <c r="OSQ22" s="99"/>
      <c r="OSR22" s="99"/>
      <c r="OSS22" s="99"/>
      <c r="OST22" s="99"/>
      <c r="OSU22" s="99"/>
      <c r="OSV22" s="99"/>
      <c r="OSW22" s="99"/>
      <c r="OSX22" s="99"/>
      <c r="OSY22" s="99"/>
      <c r="OSZ22" s="99"/>
      <c r="OTA22" s="99"/>
      <c r="OTB22" s="99"/>
      <c r="OTC22" s="99"/>
      <c r="OTD22" s="99"/>
      <c r="OTE22" s="99"/>
      <c r="OTF22" s="99"/>
      <c r="OTG22" s="99"/>
      <c r="OTH22" s="99"/>
      <c r="OTI22" s="99"/>
      <c r="OTJ22" s="99"/>
      <c r="OTK22" s="99"/>
      <c r="OTL22" s="99"/>
      <c r="OTM22" s="99"/>
      <c r="OTN22" s="99"/>
      <c r="OTO22" s="99"/>
      <c r="OTP22" s="99"/>
      <c r="OTQ22" s="99"/>
      <c r="OTR22" s="99"/>
      <c r="OTS22" s="99"/>
      <c r="OTT22" s="99"/>
      <c r="OTU22" s="99"/>
      <c r="OTV22" s="99"/>
      <c r="OTW22" s="99"/>
      <c r="OTX22" s="99"/>
      <c r="OTY22" s="99"/>
      <c r="OTZ22" s="99"/>
      <c r="OUA22" s="99"/>
      <c r="OUB22" s="99"/>
      <c r="OUC22" s="99"/>
      <c r="OUD22" s="99"/>
      <c r="OUE22" s="99"/>
      <c r="OUF22" s="99"/>
      <c r="OUG22" s="99"/>
      <c r="OUH22" s="99"/>
      <c r="OUI22" s="99"/>
      <c r="OUJ22" s="99"/>
      <c r="OUK22" s="99"/>
      <c r="OUL22" s="99"/>
      <c r="OUM22" s="99"/>
      <c r="OUN22" s="99"/>
      <c r="OUO22" s="99"/>
      <c r="OUP22" s="99"/>
      <c r="OUQ22" s="99"/>
      <c r="OUR22" s="99"/>
      <c r="OUS22" s="99"/>
      <c r="OUT22" s="99"/>
      <c r="OUU22" s="99"/>
      <c r="OUV22" s="99"/>
      <c r="OUW22" s="99"/>
      <c r="OUX22" s="99"/>
      <c r="OUY22" s="99"/>
      <c r="OUZ22" s="99"/>
      <c r="OVA22" s="99"/>
      <c r="OVB22" s="99"/>
      <c r="OVC22" s="99"/>
      <c r="OVD22" s="99"/>
      <c r="OVE22" s="99"/>
      <c r="OVF22" s="99"/>
      <c r="OVG22" s="99"/>
      <c r="OVH22" s="99"/>
      <c r="OVI22" s="99"/>
      <c r="OVJ22" s="99"/>
      <c r="OVK22" s="99"/>
      <c r="OVL22" s="99"/>
      <c r="OVM22" s="99"/>
      <c r="OVN22" s="99"/>
      <c r="OVO22" s="99"/>
      <c r="OVP22" s="99"/>
      <c r="OVQ22" s="99"/>
      <c r="OVR22" s="99"/>
      <c r="OVS22" s="99"/>
      <c r="OVT22" s="99"/>
      <c r="OVU22" s="99"/>
      <c r="OVV22" s="99"/>
      <c r="OVW22" s="99"/>
      <c r="OVX22" s="99"/>
      <c r="OVY22" s="99"/>
      <c r="OVZ22" s="99"/>
      <c r="OWA22" s="99"/>
      <c r="OWB22" s="99"/>
      <c r="OWC22" s="99"/>
      <c r="OWD22" s="99"/>
      <c r="OWE22" s="99"/>
      <c r="OWF22" s="99"/>
      <c r="OWG22" s="99"/>
      <c r="OWH22" s="99"/>
      <c r="OWI22" s="99"/>
      <c r="OWJ22" s="99"/>
      <c r="OWK22" s="99"/>
      <c r="OWL22" s="99"/>
      <c r="OWM22" s="99"/>
      <c r="OWN22" s="99"/>
      <c r="OWO22" s="99"/>
      <c r="OWP22" s="99"/>
      <c r="OWQ22" s="99"/>
      <c r="OWR22" s="99"/>
      <c r="OWS22" s="99"/>
      <c r="OWT22" s="99"/>
      <c r="OWU22" s="99"/>
      <c r="OWV22" s="99"/>
      <c r="OWW22" s="99"/>
      <c r="OWX22" s="99"/>
      <c r="OWY22" s="99"/>
      <c r="OWZ22" s="99"/>
      <c r="OXA22" s="99"/>
      <c r="OXB22" s="99"/>
      <c r="OXC22" s="99"/>
      <c r="OXD22" s="99"/>
      <c r="OXE22" s="99"/>
      <c r="OXF22" s="99"/>
      <c r="OXG22" s="99"/>
      <c r="OXH22" s="99"/>
      <c r="OXI22" s="99"/>
      <c r="OXJ22" s="99"/>
      <c r="OXK22" s="99"/>
      <c r="OXL22" s="99"/>
      <c r="OXM22" s="99"/>
      <c r="OXN22" s="99"/>
      <c r="OXO22" s="99"/>
      <c r="OXP22" s="99"/>
      <c r="OXQ22" s="99"/>
      <c r="OXR22" s="99"/>
      <c r="OXS22" s="99"/>
      <c r="OXT22" s="99"/>
      <c r="OXU22" s="99"/>
      <c r="OXV22" s="99"/>
      <c r="OXW22" s="99"/>
      <c r="OXX22" s="99"/>
      <c r="OXY22" s="99"/>
      <c r="OXZ22" s="99"/>
      <c r="OYA22" s="99"/>
      <c r="OYB22" s="99"/>
      <c r="OYC22" s="99"/>
      <c r="OYD22" s="99"/>
      <c r="OYE22" s="99"/>
      <c r="OYF22" s="99"/>
      <c r="OYG22" s="99"/>
      <c r="OYH22" s="99"/>
      <c r="OYI22" s="99"/>
      <c r="OYJ22" s="99"/>
      <c r="OYK22" s="99"/>
      <c r="OYL22" s="99"/>
      <c r="OYM22" s="99"/>
      <c r="OYN22" s="99"/>
      <c r="OYO22" s="99"/>
      <c r="OYP22" s="99"/>
      <c r="OYQ22" s="99"/>
      <c r="OYR22" s="99"/>
      <c r="OYS22" s="99"/>
      <c r="OYT22" s="99"/>
      <c r="OYU22" s="99"/>
      <c r="OYV22" s="99"/>
      <c r="OYW22" s="99"/>
      <c r="OYX22" s="99"/>
      <c r="OYY22" s="99"/>
      <c r="OYZ22" s="99"/>
      <c r="OZA22" s="99"/>
      <c r="OZB22" s="99"/>
      <c r="OZC22" s="99"/>
      <c r="OZD22" s="99"/>
      <c r="OZE22" s="99"/>
      <c r="OZF22" s="99"/>
      <c r="OZG22" s="99"/>
      <c r="OZH22" s="99"/>
      <c r="OZI22" s="99"/>
      <c r="OZJ22" s="99"/>
      <c r="OZK22" s="99"/>
      <c r="OZL22" s="99"/>
      <c r="OZM22" s="99"/>
      <c r="OZN22" s="99"/>
      <c r="OZO22" s="99"/>
      <c r="OZP22" s="99"/>
      <c r="OZQ22" s="99"/>
      <c r="OZR22" s="99"/>
      <c r="OZS22" s="99"/>
      <c r="OZT22" s="99"/>
      <c r="OZU22" s="99"/>
      <c r="OZV22" s="99"/>
      <c r="OZW22" s="99"/>
      <c r="OZX22" s="99"/>
      <c r="OZY22" s="99"/>
      <c r="OZZ22" s="99"/>
      <c r="PAA22" s="99"/>
      <c r="PAB22" s="99"/>
      <c r="PAC22" s="99"/>
      <c r="PAD22" s="99"/>
      <c r="PAE22" s="99"/>
      <c r="PAF22" s="99"/>
      <c r="PAG22" s="99"/>
      <c r="PAH22" s="99"/>
      <c r="PAI22" s="99"/>
      <c r="PAJ22" s="99"/>
      <c r="PAK22" s="99"/>
      <c r="PAL22" s="99"/>
      <c r="PAM22" s="99"/>
      <c r="PAN22" s="99"/>
      <c r="PAO22" s="99"/>
      <c r="PAP22" s="99"/>
      <c r="PAQ22" s="99"/>
      <c r="PAR22" s="99"/>
      <c r="PAS22" s="99"/>
      <c r="PAT22" s="99"/>
      <c r="PAU22" s="99"/>
      <c r="PAV22" s="99"/>
      <c r="PAW22" s="99"/>
      <c r="PAX22" s="99"/>
      <c r="PAY22" s="99"/>
      <c r="PAZ22" s="99"/>
      <c r="PBA22" s="99"/>
      <c r="PBB22" s="99"/>
      <c r="PBC22" s="99"/>
      <c r="PBD22" s="99"/>
      <c r="PBE22" s="99"/>
      <c r="PBF22" s="99"/>
      <c r="PBG22" s="99"/>
      <c r="PBH22" s="99"/>
      <c r="PBI22" s="99"/>
      <c r="PBJ22" s="99"/>
      <c r="PBK22" s="99"/>
      <c r="PBL22" s="99"/>
      <c r="PBM22" s="99"/>
      <c r="PBN22" s="99"/>
      <c r="PBO22" s="99"/>
      <c r="PBP22" s="99"/>
      <c r="PBQ22" s="99"/>
      <c r="PBR22" s="99"/>
      <c r="PBS22" s="99"/>
      <c r="PBT22" s="99"/>
      <c r="PBU22" s="99"/>
      <c r="PBV22" s="99"/>
      <c r="PBW22" s="99"/>
      <c r="PBX22" s="99"/>
      <c r="PBY22" s="99"/>
      <c r="PBZ22" s="99"/>
      <c r="PCA22" s="99"/>
      <c r="PCB22" s="99"/>
      <c r="PCC22" s="99"/>
      <c r="PCD22" s="99"/>
      <c r="PCE22" s="99"/>
      <c r="PCF22" s="99"/>
      <c r="PCG22" s="99"/>
      <c r="PCH22" s="99"/>
      <c r="PCI22" s="99"/>
      <c r="PCJ22" s="99"/>
      <c r="PCK22" s="99"/>
      <c r="PCL22" s="99"/>
      <c r="PCM22" s="99"/>
      <c r="PCN22" s="99"/>
      <c r="PCO22" s="99"/>
      <c r="PCP22" s="99"/>
      <c r="PCQ22" s="99"/>
      <c r="PCR22" s="99"/>
      <c r="PCS22" s="99"/>
      <c r="PCT22" s="99"/>
      <c r="PCU22" s="99"/>
      <c r="PCV22" s="99"/>
      <c r="PCW22" s="99"/>
      <c r="PCX22" s="99"/>
      <c r="PCY22" s="99"/>
      <c r="PCZ22" s="99"/>
      <c r="PDA22" s="99"/>
      <c r="PDB22" s="99"/>
      <c r="PDC22" s="99"/>
      <c r="PDD22" s="99"/>
      <c r="PDE22" s="99"/>
      <c r="PDF22" s="99"/>
      <c r="PDG22" s="99"/>
      <c r="PDH22" s="99"/>
      <c r="PDI22" s="99"/>
      <c r="PDJ22" s="99"/>
      <c r="PDK22" s="99"/>
      <c r="PDL22" s="99"/>
      <c r="PDM22" s="99"/>
      <c r="PDN22" s="99"/>
      <c r="PDO22" s="99"/>
      <c r="PDP22" s="99"/>
      <c r="PDQ22" s="99"/>
      <c r="PDR22" s="99"/>
      <c r="PDS22" s="99"/>
      <c r="PDT22" s="99"/>
      <c r="PDU22" s="99"/>
      <c r="PDV22" s="99"/>
      <c r="PDW22" s="99"/>
      <c r="PDX22" s="99"/>
      <c r="PDY22" s="99"/>
      <c r="PDZ22" s="99"/>
      <c r="PEA22" s="99"/>
      <c r="PEB22" s="99"/>
      <c r="PEC22" s="99"/>
      <c r="PED22" s="99"/>
      <c r="PEE22" s="99"/>
      <c r="PEF22" s="99"/>
      <c r="PEG22" s="99"/>
      <c r="PEH22" s="99"/>
      <c r="PEI22" s="99"/>
      <c r="PEJ22" s="99"/>
      <c r="PEK22" s="99"/>
      <c r="PEL22" s="99"/>
      <c r="PEM22" s="99"/>
      <c r="PEN22" s="99"/>
      <c r="PEO22" s="99"/>
      <c r="PEP22" s="99"/>
      <c r="PEQ22" s="99"/>
      <c r="PER22" s="99"/>
      <c r="PES22" s="99"/>
      <c r="PET22" s="99"/>
      <c r="PEU22" s="99"/>
      <c r="PEV22" s="99"/>
      <c r="PEW22" s="99"/>
      <c r="PEX22" s="99"/>
      <c r="PEY22" s="99"/>
      <c r="PEZ22" s="99"/>
      <c r="PFA22" s="99"/>
      <c r="PFB22" s="99"/>
      <c r="PFC22" s="99"/>
      <c r="PFD22" s="99"/>
      <c r="PFE22" s="99"/>
      <c r="PFF22" s="99"/>
      <c r="PFG22" s="99"/>
      <c r="PFH22" s="99"/>
      <c r="PFI22" s="99"/>
      <c r="PFJ22" s="99"/>
      <c r="PFK22" s="99"/>
      <c r="PFL22" s="99"/>
      <c r="PFM22" s="99"/>
      <c r="PFN22" s="99"/>
      <c r="PFO22" s="99"/>
      <c r="PFP22" s="99"/>
      <c r="PFQ22" s="99"/>
      <c r="PFR22" s="99"/>
      <c r="PFS22" s="99"/>
      <c r="PFT22" s="99"/>
      <c r="PFU22" s="99"/>
      <c r="PFV22" s="99"/>
      <c r="PFW22" s="99"/>
      <c r="PFX22" s="99"/>
      <c r="PFY22" s="99"/>
      <c r="PFZ22" s="99"/>
      <c r="PGA22" s="99"/>
      <c r="PGB22" s="99"/>
      <c r="PGC22" s="99"/>
      <c r="PGD22" s="99"/>
      <c r="PGE22" s="99"/>
      <c r="PGF22" s="99"/>
      <c r="PGG22" s="99"/>
      <c r="PGH22" s="99"/>
      <c r="PGI22" s="99"/>
      <c r="PGJ22" s="99"/>
      <c r="PGK22" s="99"/>
      <c r="PGL22" s="99"/>
      <c r="PGM22" s="99"/>
      <c r="PGN22" s="99"/>
      <c r="PGO22" s="99"/>
      <c r="PGP22" s="99"/>
      <c r="PGQ22" s="99"/>
      <c r="PGR22" s="99"/>
      <c r="PGS22" s="99"/>
      <c r="PGT22" s="99"/>
      <c r="PGU22" s="99"/>
      <c r="PGV22" s="99"/>
      <c r="PGW22" s="99"/>
      <c r="PGX22" s="99"/>
      <c r="PGY22" s="99"/>
      <c r="PGZ22" s="99"/>
      <c r="PHA22" s="99"/>
      <c r="PHB22" s="99"/>
      <c r="PHC22" s="99"/>
      <c r="PHD22" s="99"/>
      <c r="PHE22" s="99"/>
      <c r="PHF22" s="99"/>
      <c r="PHG22" s="99"/>
      <c r="PHH22" s="99"/>
      <c r="PHI22" s="99"/>
      <c r="PHJ22" s="99"/>
      <c r="PHK22" s="99"/>
      <c r="PHL22" s="99"/>
      <c r="PHM22" s="99"/>
      <c r="PHN22" s="99"/>
      <c r="PHO22" s="99"/>
      <c r="PHP22" s="99"/>
      <c r="PHQ22" s="99"/>
      <c r="PHR22" s="99"/>
      <c r="PHS22" s="99"/>
      <c r="PHT22" s="99"/>
      <c r="PHU22" s="99"/>
      <c r="PHV22" s="99"/>
      <c r="PHW22" s="99"/>
      <c r="PHX22" s="99"/>
      <c r="PHY22" s="99"/>
      <c r="PHZ22" s="99"/>
      <c r="PIA22" s="99"/>
      <c r="PIB22" s="99"/>
      <c r="PIC22" s="99"/>
      <c r="PID22" s="99"/>
      <c r="PIE22" s="99"/>
      <c r="PIF22" s="99"/>
      <c r="PIG22" s="99"/>
      <c r="PIH22" s="99"/>
      <c r="PII22" s="99"/>
      <c r="PIJ22" s="99"/>
      <c r="PIK22" s="99"/>
      <c r="PIL22" s="99"/>
      <c r="PIM22" s="99"/>
      <c r="PIN22" s="99"/>
      <c r="PIO22" s="99"/>
      <c r="PIP22" s="99"/>
      <c r="PIQ22" s="99"/>
      <c r="PIR22" s="99"/>
      <c r="PIS22" s="99"/>
      <c r="PIT22" s="99"/>
      <c r="PIU22" s="99"/>
      <c r="PIV22" s="99"/>
      <c r="PIW22" s="99"/>
      <c r="PIX22" s="99"/>
      <c r="PIY22" s="99"/>
      <c r="PIZ22" s="99"/>
      <c r="PJA22" s="99"/>
      <c r="PJB22" s="99"/>
      <c r="PJC22" s="99"/>
      <c r="PJD22" s="99"/>
      <c r="PJE22" s="99"/>
      <c r="PJF22" s="99"/>
      <c r="PJG22" s="99"/>
      <c r="PJH22" s="99"/>
      <c r="PJI22" s="99"/>
      <c r="PJJ22" s="99"/>
      <c r="PJK22" s="99"/>
      <c r="PJL22" s="99"/>
      <c r="PJM22" s="99"/>
      <c r="PJN22" s="99"/>
      <c r="PJO22" s="99"/>
      <c r="PJP22" s="99"/>
      <c r="PJQ22" s="99"/>
      <c r="PJR22" s="99"/>
      <c r="PJS22" s="99"/>
      <c r="PJT22" s="99"/>
      <c r="PJU22" s="99"/>
      <c r="PJV22" s="99"/>
      <c r="PJW22" s="99"/>
      <c r="PJX22" s="99"/>
      <c r="PJY22" s="99"/>
      <c r="PJZ22" s="99"/>
      <c r="PKA22" s="99"/>
      <c r="PKB22" s="99"/>
      <c r="PKC22" s="99"/>
      <c r="PKD22" s="99"/>
      <c r="PKE22" s="99"/>
      <c r="PKF22" s="99"/>
      <c r="PKG22" s="99"/>
      <c r="PKH22" s="99"/>
      <c r="PKI22" s="99"/>
      <c r="PKJ22" s="99"/>
      <c r="PKK22" s="99"/>
      <c r="PKL22" s="99"/>
      <c r="PKM22" s="99"/>
      <c r="PKN22" s="99"/>
      <c r="PKO22" s="99"/>
      <c r="PKP22" s="99"/>
      <c r="PKQ22" s="99"/>
      <c r="PKR22" s="99"/>
      <c r="PKS22" s="99"/>
      <c r="PKT22" s="99"/>
      <c r="PKU22" s="99"/>
      <c r="PKV22" s="99"/>
      <c r="PKW22" s="99"/>
      <c r="PKX22" s="99"/>
      <c r="PKY22" s="99"/>
      <c r="PKZ22" s="99"/>
      <c r="PLA22" s="99"/>
      <c r="PLB22" s="99"/>
      <c r="PLC22" s="99"/>
      <c r="PLD22" s="99"/>
      <c r="PLE22" s="99"/>
      <c r="PLF22" s="99"/>
      <c r="PLG22" s="99"/>
      <c r="PLH22" s="99"/>
      <c r="PLI22" s="99"/>
      <c r="PLJ22" s="99"/>
      <c r="PLK22" s="99"/>
      <c r="PLL22" s="99"/>
      <c r="PLM22" s="99"/>
      <c r="PLN22" s="99"/>
      <c r="PLO22" s="99"/>
      <c r="PLP22" s="99"/>
      <c r="PLQ22" s="99"/>
      <c r="PLR22" s="99"/>
      <c r="PLS22" s="99"/>
      <c r="PLT22" s="99"/>
      <c r="PLU22" s="99"/>
      <c r="PLV22" s="99"/>
      <c r="PLW22" s="99"/>
      <c r="PLX22" s="99"/>
      <c r="PLY22" s="99"/>
      <c r="PLZ22" s="99"/>
      <c r="PMA22" s="99"/>
      <c r="PMB22" s="99"/>
      <c r="PMC22" s="99"/>
      <c r="PMD22" s="99"/>
      <c r="PME22" s="99"/>
      <c r="PMF22" s="99"/>
      <c r="PMG22" s="99"/>
      <c r="PMH22" s="99"/>
      <c r="PMI22" s="99"/>
      <c r="PMJ22" s="99"/>
      <c r="PMK22" s="99"/>
      <c r="PML22" s="99"/>
      <c r="PMM22" s="99"/>
      <c r="PMN22" s="99"/>
      <c r="PMO22" s="99"/>
      <c r="PMP22" s="99"/>
      <c r="PMQ22" s="99"/>
      <c r="PMR22" s="99"/>
      <c r="PMS22" s="99"/>
      <c r="PMT22" s="99"/>
      <c r="PMU22" s="99"/>
      <c r="PMV22" s="99"/>
      <c r="PMW22" s="99"/>
      <c r="PMX22" s="99"/>
      <c r="PMY22" s="99"/>
      <c r="PMZ22" s="99"/>
      <c r="PNA22" s="99"/>
      <c r="PNB22" s="99"/>
      <c r="PNC22" s="99"/>
      <c r="PND22" s="99"/>
      <c r="PNE22" s="99"/>
      <c r="PNF22" s="99"/>
      <c r="PNG22" s="99"/>
      <c r="PNH22" s="99"/>
      <c r="PNI22" s="99"/>
      <c r="PNJ22" s="99"/>
      <c r="PNK22" s="99"/>
      <c r="PNL22" s="99"/>
      <c r="PNM22" s="99"/>
      <c r="PNN22" s="99"/>
      <c r="PNO22" s="99"/>
      <c r="PNP22" s="99"/>
      <c r="PNQ22" s="99"/>
      <c r="PNR22" s="99"/>
      <c r="PNS22" s="99"/>
      <c r="PNT22" s="99"/>
      <c r="PNU22" s="99"/>
      <c r="PNV22" s="99"/>
      <c r="PNW22" s="99"/>
      <c r="PNX22" s="99"/>
      <c r="PNY22" s="99"/>
      <c r="PNZ22" s="99"/>
      <c r="POA22" s="99"/>
      <c r="POB22" s="99"/>
      <c r="POC22" s="99"/>
      <c r="POD22" s="99"/>
      <c r="POE22" s="99"/>
      <c r="POF22" s="99"/>
      <c r="POG22" s="99"/>
      <c r="POH22" s="99"/>
      <c r="POI22" s="99"/>
      <c r="POJ22" s="99"/>
      <c r="POK22" s="99"/>
      <c r="POL22" s="99"/>
      <c r="POM22" s="99"/>
      <c r="PON22" s="99"/>
      <c r="POO22" s="99"/>
      <c r="POP22" s="99"/>
      <c r="POQ22" s="99"/>
      <c r="POR22" s="99"/>
      <c r="POS22" s="99"/>
      <c r="POT22" s="99"/>
      <c r="POU22" s="99"/>
      <c r="POV22" s="99"/>
      <c r="POW22" s="99"/>
      <c r="POX22" s="99"/>
      <c r="POY22" s="99"/>
      <c r="POZ22" s="99"/>
      <c r="PPA22" s="99"/>
      <c r="PPB22" s="99"/>
      <c r="PPC22" s="99"/>
      <c r="PPD22" s="99"/>
      <c r="PPE22" s="99"/>
      <c r="PPF22" s="99"/>
      <c r="PPG22" s="99"/>
      <c r="PPH22" s="99"/>
      <c r="PPI22" s="99"/>
      <c r="PPJ22" s="99"/>
      <c r="PPK22" s="99"/>
      <c r="PPL22" s="99"/>
      <c r="PPM22" s="99"/>
      <c r="PPN22" s="99"/>
      <c r="PPO22" s="99"/>
      <c r="PPP22" s="99"/>
      <c r="PPQ22" s="99"/>
      <c r="PPR22" s="99"/>
      <c r="PPS22" s="99"/>
      <c r="PPT22" s="99"/>
      <c r="PPU22" s="99"/>
      <c r="PPV22" s="99"/>
      <c r="PPW22" s="99"/>
      <c r="PPX22" s="99"/>
      <c r="PPY22" s="99"/>
      <c r="PPZ22" s="99"/>
      <c r="PQA22" s="99"/>
      <c r="PQB22" s="99"/>
      <c r="PQC22" s="99"/>
      <c r="PQD22" s="99"/>
      <c r="PQE22" s="99"/>
      <c r="PQF22" s="99"/>
      <c r="PQG22" s="99"/>
      <c r="PQH22" s="99"/>
      <c r="PQI22" s="99"/>
      <c r="PQJ22" s="99"/>
      <c r="PQK22" s="99"/>
      <c r="PQL22" s="99"/>
      <c r="PQM22" s="99"/>
      <c r="PQN22" s="99"/>
      <c r="PQO22" s="99"/>
      <c r="PQP22" s="99"/>
      <c r="PQQ22" s="99"/>
      <c r="PQR22" s="99"/>
      <c r="PQS22" s="99"/>
      <c r="PQT22" s="99"/>
      <c r="PQU22" s="99"/>
      <c r="PQV22" s="99"/>
      <c r="PQW22" s="99"/>
      <c r="PQX22" s="99"/>
      <c r="PQY22" s="99"/>
      <c r="PQZ22" s="99"/>
      <c r="PRA22" s="99"/>
      <c r="PRB22" s="99"/>
      <c r="PRC22" s="99"/>
      <c r="PRD22" s="99"/>
      <c r="PRE22" s="99"/>
      <c r="PRF22" s="99"/>
      <c r="PRG22" s="99"/>
      <c r="PRH22" s="99"/>
      <c r="PRI22" s="99"/>
      <c r="PRJ22" s="99"/>
      <c r="PRK22" s="99"/>
      <c r="PRL22" s="99"/>
      <c r="PRM22" s="99"/>
      <c r="PRN22" s="99"/>
      <c r="PRO22" s="99"/>
      <c r="PRP22" s="99"/>
      <c r="PRQ22" s="99"/>
      <c r="PRR22" s="99"/>
      <c r="PRS22" s="99"/>
      <c r="PRT22" s="99"/>
      <c r="PRU22" s="99"/>
      <c r="PRV22" s="99"/>
      <c r="PRW22" s="99"/>
      <c r="PRX22" s="99"/>
      <c r="PRY22" s="99"/>
      <c r="PRZ22" s="99"/>
      <c r="PSA22" s="99"/>
      <c r="PSB22" s="99"/>
      <c r="PSC22" s="99"/>
      <c r="PSD22" s="99"/>
      <c r="PSE22" s="99"/>
      <c r="PSF22" s="99"/>
      <c r="PSG22" s="99"/>
      <c r="PSH22" s="99"/>
      <c r="PSI22" s="99"/>
      <c r="PSJ22" s="99"/>
      <c r="PSK22" s="99"/>
      <c r="PSL22" s="99"/>
      <c r="PSM22" s="99"/>
      <c r="PSN22" s="99"/>
      <c r="PSO22" s="99"/>
      <c r="PSP22" s="99"/>
      <c r="PSQ22" s="99"/>
      <c r="PSR22" s="99"/>
      <c r="PSS22" s="99"/>
      <c r="PST22" s="99"/>
      <c r="PSU22" s="99"/>
      <c r="PSV22" s="99"/>
      <c r="PSW22" s="99"/>
      <c r="PSX22" s="99"/>
      <c r="PSY22" s="99"/>
      <c r="PSZ22" s="99"/>
      <c r="PTA22" s="99"/>
      <c r="PTB22" s="99"/>
      <c r="PTC22" s="99"/>
      <c r="PTD22" s="99"/>
      <c r="PTE22" s="99"/>
      <c r="PTF22" s="99"/>
      <c r="PTG22" s="99"/>
      <c r="PTH22" s="99"/>
      <c r="PTI22" s="99"/>
      <c r="PTJ22" s="99"/>
      <c r="PTK22" s="99"/>
      <c r="PTL22" s="99"/>
      <c r="PTM22" s="99"/>
      <c r="PTN22" s="99"/>
      <c r="PTO22" s="99"/>
      <c r="PTP22" s="99"/>
      <c r="PTQ22" s="99"/>
      <c r="PTR22" s="99"/>
      <c r="PTS22" s="99"/>
      <c r="PTT22" s="99"/>
      <c r="PTU22" s="99"/>
      <c r="PTV22" s="99"/>
      <c r="PTW22" s="99"/>
      <c r="PTX22" s="99"/>
      <c r="PTY22" s="99"/>
      <c r="PTZ22" s="99"/>
      <c r="PUA22" s="99"/>
      <c r="PUB22" s="99"/>
      <c r="PUC22" s="99"/>
      <c r="PUD22" s="99"/>
      <c r="PUE22" s="99"/>
      <c r="PUF22" s="99"/>
      <c r="PUG22" s="99"/>
      <c r="PUH22" s="99"/>
      <c r="PUI22" s="99"/>
      <c r="PUJ22" s="99"/>
      <c r="PUK22" s="99"/>
      <c r="PUL22" s="99"/>
      <c r="PUM22" s="99"/>
      <c r="PUN22" s="99"/>
      <c r="PUO22" s="99"/>
      <c r="PUP22" s="99"/>
      <c r="PUQ22" s="99"/>
      <c r="PUR22" s="99"/>
      <c r="PUS22" s="99"/>
      <c r="PUT22" s="99"/>
      <c r="PUU22" s="99"/>
      <c r="PUV22" s="99"/>
      <c r="PUW22" s="99"/>
      <c r="PUX22" s="99"/>
      <c r="PUY22" s="99"/>
      <c r="PUZ22" s="99"/>
      <c r="PVA22" s="99"/>
      <c r="PVB22" s="99"/>
      <c r="PVC22" s="99"/>
      <c r="PVD22" s="99"/>
      <c r="PVE22" s="99"/>
      <c r="PVF22" s="99"/>
      <c r="PVG22" s="99"/>
      <c r="PVH22" s="99"/>
      <c r="PVI22" s="99"/>
      <c r="PVJ22" s="99"/>
      <c r="PVK22" s="99"/>
      <c r="PVL22" s="99"/>
      <c r="PVM22" s="99"/>
      <c r="PVN22" s="99"/>
      <c r="PVO22" s="99"/>
      <c r="PVP22" s="99"/>
      <c r="PVQ22" s="99"/>
      <c r="PVR22" s="99"/>
      <c r="PVS22" s="99"/>
      <c r="PVT22" s="99"/>
      <c r="PVU22" s="99"/>
      <c r="PVV22" s="99"/>
      <c r="PVW22" s="99"/>
      <c r="PVX22" s="99"/>
      <c r="PVY22" s="99"/>
      <c r="PVZ22" s="99"/>
      <c r="PWA22" s="99"/>
      <c r="PWB22" s="99"/>
      <c r="PWC22" s="99"/>
      <c r="PWD22" s="99"/>
      <c r="PWE22" s="99"/>
      <c r="PWF22" s="99"/>
      <c r="PWG22" s="99"/>
      <c r="PWH22" s="99"/>
      <c r="PWI22" s="99"/>
      <c r="PWJ22" s="99"/>
      <c r="PWK22" s="99"/>
      <c r="PWL22" s="99"/>
      <c r="PWM22" s="99"/>
      <c r="PWN22" s="99"/>
      <c r="PWO22" s="99"/>
      <c r="PWP22" s="99"/>
      <c r="PWQ22" s="99"/>
      <c r="PWR22" s="99"/>
      <c r="PWS22" s="99"/>
      <c r="PWT22" s="99"/>
      <c r="PWU22" s="99"/>
      <c r="PWV22" s="99"/>
      <c r="PWW22" s="99"/>
      <c r="PWX22" s="99"/>
      <c r="PWY22" s="99"/>
      <c r="PWZ22" s="99"/>
      <c r="PXA22" s="99"/>
      <c r="PXB22" s="99"/>
      <c r="PXC22" s="99"/>
      <c r="PXD22" s="99"/>
      <c r="PXE22" s="99"/>
      <c r="PXF22" s="99"/>
      <c r="PXG22" s="99"/>
      <c r="PXH22" s="99"/>
      <c r="PXI22" s="99"/>
      <c r="PXJ22" s="99"/>
      <c r="PXK22" s="99"/>
      <c r="PXL22" s="99"/>
      <c r="PXM22" s="99"/>
      <c r="PXN22" s="99"/>
      <c r="PXO22" s="99"/>
      <c r="PXP22" s="99"/>
      <c r="PXQ22" s="99"/>
      <c r="PXR22" s="99"/>
      <c r="PXS22" s="99"/>
      <c r="PXT22" s="99"/>
      <c r="PXU22" s="99"/>
      <c r="PXV22" s="99"/>
      <c r="PXW22" s="99"/>
      <c r="PXX22" s="99"/>
      <c r="PXY22" s="99"/>
      <c r="PXZ22" s="99"/>
      <c r="PYA22" s="99"/>
      <c r="PYB22" s="99"/>
      <c r="PYC22" s="99"/>
      <c r="PYD22" s="99"/>
      <c r="PYE22" s="99"/>
      <c r="PYF22" s="99"/>
      <c r="PYG22" s="99"/>
      <c r="PYH22" s="99"/>
      <c r="PYI22" s="99"/>
      <c r="PYJ22" s="99"/>
      <c r="PYK22" s="99"/>
      <c r="PYL22" s="99"/>
      <c r="PYM22" s="99"/>
      <c r="PYN22" s="99"/>
      <c r="PYO22" s="99"/>
      <c r="PYP22" s="99"/>
      <c r="PYQ22" s="99"/>
      <c r="PYR22" s="99"/>
      <c r="PYS22" s="99"/>
      <c r="PYT22" s="99"/>
      <c r="PYU22" s="99"/>
      <c r="PYV22" s="99"/>
      <c r="PYW22" s="99"/>
      <c r="PYX22" s="99"/>
      <c r="PYY22" s="99"/>
      <c r="PYZ22" s="99"/>
      <c r="PZA22" s="99"/>
      <c r="PZB22" s="99"/>
      <c r="PZC22" s="99"/>
      <c r="PZD22" s="99"/>
      <c r="PZE22" s="99"/>
      <c r="PZF22" s="99"/>
      <c r="PZG22" s="99"/>
      <c r="PZH22" s="99"/>
      <c r="PZI22" s="99"/>
      <c r="PZJ22" s="99"/>
      <c r="PZK22" s="99"/>
      <c r="PZL22" s="99"/>
      <c r="PZM22" s="99"/>
      <c r="PZN22" s="99"/>
      <c r="PZO22" s="99"/>
      <c r="PZP22" s="99"/>
      <c r="PZQ22" s="99"/>
      <c r="PZR22" s="99"/>
      <c r="PZS22" s="99"/>
      <c r="PZT22" s="99"/>
      <c r="PZU22" s="99"/>
      <c r="PZV22" s="99"/>
      <c r="PZW22" s="99"/>
      <c r="PZX22" s="99"/>
      <c r="PZY22" s="99"/>
      <c r="PZZ22" s="99"/>
      <c r="QAA22" s="99"/>
      <c r="QAB22" s="99"/>
      <c r="QAC22" s="99"/>
      <c r="QAD22" s="99"/>
      <c r="QAE22" s="99"/>
      <c r="QAF22" s="99"/>
      <c r="QAG22" s="99"/>
      <c r="QAH22" s="99"/>
      <c r="QAI22" s="99"/>
      <c r="QAJ22" s="99"/>
      <c r="QAK22" s="99"/>
      <c r="QAL22" s="99"/>
      <c r="QAM22" s="99"/>
      <c r="QAN22" s="99"/>
      <c r="QAO22" s="99"/>
      <c r="QAP22" s="99"/>
      <c r="QAQ22" s="99"/>
      <c r="QAR22" s="99"/>
      <c r="QAS22" s="99"/>
      <c r="QAT22" s="99"/>
      <c r="QAU22" s="99"/>
      <c r="QAV22" s="99"/>
      <c r="QAW22" s="99"/>
      <c r="QAX22" s="99"/>
      <c r="QAY22" s="99"/>
      <c r="QAZ22" s="99"/>
      <c r="QBA22" s="99"/>
      <c r="QBB22" s="99"/>
      <c r="QBC22" s="99"/>
      <c r="QBD22" s="99"/>
      <c r="QBE22" s="99"/>
      <c r="QBF22" s="99"/>
      <c r="QBG22" s="99"/>
      <c r="QBH22" s="99"/>
      <c r="QBI22" s="99"/>
      <c r="QBJ22" s="99"/>
      <c r="QBK22" s="99"/>
      <c r="QBL22" s="99"/>
      <c r="QBM22" s="99"/>
      <c r="QBN22" s="99"/>
      <c r="QBO22" s="99"/>
      <c r="QBP22" s="99"/>
      <c r="QBQ22" s="99"/>
      <c r="QBR22" s="99"/>
      <c r="QBS22" s="99"/>
      <c r="QBT22" s="99"/>
      <c r="QBU22" s="99"/>
      <c r="QBV22" s="99"/>
      <c r="QBW22" s="99"/>
      <c r="QBX22" s="99"/>
      <c r="QBY22" s="99"/>
      <c r="QBZ22" s="99"/>
      <c r="QCA22" s="99"/>
      <c r="QCB22" s="99"/>
      <c r="QCC22" s="99"/>
      <c r="QCD22" s="99"/>
      <c r="QCE22" s="99"/>
      <c r="QCF22" s="99"/>
      <c r="QCG22" s="99"/>
      <c r="QCH22" s="99"/>
      <c r="QCI22" s="99"/>
      <c r="QCJ22" s="99"/>
      <c r="QCK22" s="99"/>
      <c r="QCL22" s="99"/>
      <c r="QCM22" s="99"/>
      <c r="QCN22" s="99"/>
      <c r="QCO22" s="99"/>
      <c r="QCP22" s="99"/>
      <c r="QCQ22" s="99"/>
      <c r="QCR22" s="99"/>
      <c r="QCS22" s="99"/>
      <c r="QCT22" s="99"/>
      <c r="QCU22" s="99"/>
      <c r="QCV22" s="99"/>
      <c r="QCW22" s="99"/>
      <c r="QCX22" s="99"/>
      <c r="QCY22" s="99"/>
      <c r="QCZ22" s="99"/>
      <c r="QDA22" s="99"/>
      <c r="QDB22" s="99"/>
      <c r="QDC22" s="99"/>
      <c r="QDD22" s="99"/>
      <c r="QDE22" s="99"/>
      <c r="QDF22" s="99"/>
      <c r="QDG22" s="99"/>
      <c r="QDH22" s="99"/>
      <c r="QDI22" s="99"/>
      <c r="QDJ22" s="99"/>
      <c r="QDK22" s="99"/>
      <c r="QDL22" s="99"/>
      <c r="QDM22" s="99"/>
      <c r="QDN22" s="99"/>
      <c r="QDO22" s="99"/>
      <c r="QDP22" s="99"/>
      <c r="QDQ22" s="99"/>
      <c r="QDR22" s="99"/>
      <c r="QDS22" s="99"/>
      <c r="QDT22" s="99"/>
      <c r="QDU22" s="99"/>
      <c r="QDV22" s="99"/>
      <c r="QDW22" s="99"/>
      <c r="QDX22" s="99"/>
      <c r="QDY22" s="99"/>
      <c r="QDZ22" s="99"/>
      <c r="QEA22" s="99"/>
      <c r="QEB22" s="99"/>
      <c r="QEC22" s="99"/>
      <c r="QED22" s="99"/>
      <c r="QEE22" s="99"/>
      <c r="QEF22" s="99"/>
      <c r="QEG22" s="99"/>
      <c r="QEH22" s="99"/>
      <c r="QEI22" s="99"/>
      <c r="QEJ22" s="99"/>
      <c r="QEK22" s="99"/>
      <c r="QEL22" s="99"/>
      <c r="QEM22" s="99"/>
      <c r="QEN22" s="99"/>
      <c r="QEO22" s="99"/>
      <c r="QEP22" s="99"/>
      <c r="QEQ22" s="99"/>
      <c r="QER22" s="99"/>
      <c r="QES22" s="99"/>
      <c r="QET22" s="99"/>
      <c r="QEU22" s="99"/>
      <c r="QEV22" s="99"/>
      <c r="QEW22" s="99"/>
      <c r="QEX22" s="99"/>
      <c r="QEY22" s="99"/>
      <c r="QEZ22" s="99"/>
      <c r="QFA22" s="99"/>
      <c r="QFB22" s="99"/>
      <c r="QFC22" s="99"/>
      <c r="QFD22" s="99"/>
      <c r="QFE22" s="99"/>
      <c r="QFF22" s="99"/>
      <c r="QFG22" s="99"/>
      <c r="QFH22" s="99"/>
      <c r="QFI22" s="99"/>
      <c r="QFJ22" s="99"/>
      <c r="QFK22" s="99"/>
      <c r="QFL22" s="99"/>
      <c r="QFM22" s="99"/>
      <c r="QFN22" s="99"/>
      <c r="QFO22" s="99"/>
      <c r="QFP22" s="99"/>
      <c r="QFQ22" s="99"/>
      <c r="QFR22" s="99"/>
      <c r="QFS22" s="99"/>
      <c r="QFT22" s="99"/>
      <c r="QFU22" s="99"/>
      <c r="QFV22" s="99"/>
      <c r="QFW22" s="99"/>
      <c r="QFX22" s="99"/>
      <c r="QFY22" s="99"/>
      <c r="QFZ22" s="99"/>
      <c r="QGA22" s="99"/>
      <c r="QGB22" s="99"/>
      <c r="QGC22" s="99"/>
      <c r="QGD22" s="99"/>
      <c r="QGE22" s="99"/>
      <c r="QGF22" s="99"/>
      <c r="QGG22" s="99"/>
      <c r="QGH22" s="99"/>
      <c r="QGI22" s="99"/>
      <c r="QGJ22" s="99"/>
      <c r="QGK22" s="99"/>
      <c r="QGL22" s="99"/>
      <c r="QGM22" s="99"/>
      <c r="QGN22" s="99"/>
      <c r="QGO22" s="99"/>
      <c r="QGP22" s="99"/>
      <c r="QGQ22" s="99"/>
      <c r="QGR22" s="99"/>
      <c r="QGS22" s="99"/>
      <c r="QGT22" s="99"/>
      <c r="QGU22" s="99"/>
      <c r="QGV22" s="99"/>
      <c r="QGW22" s="99"/>
      <c r="QGX22" s="99"/>
      <c r="QGY22" s="99"/>
      <c r="QGZ22" s="99"/>
      <c r="QHA22" s="99"/>
      <c r="QHB22" s="99"/>
      <c r="QHC22" s="99"/>
      <c r="QHD22" s="99"/>
      <c r="QHE22" s="99"/>
      <c r="QHF22" s="99"/>
      <c r="QHG22" s="99"/>
      <c r="QHH22" s="99"/>
      <c r="QHI22" s="99"/>
      <c r="QHJ22" s="99"/>
      <c r="QHK22" s="99"/>
      <c r="QHL22" s="99"/>
      <c r="QHM22" s="99"/>
      <c r="QHN22" s="99"/>
      <c r="QHO22" s="99"/>
      <c r="QHP22" s="99"/>
      <c r="QHQ22" s="99"/>
      <c r="QHR22" s="99"/>
      <c r="QHS22" s="99"/>
      <c r="QHT22" s="99"/>
      <c r="QHU22" s="99"/>
      <c r="QHV22" s="99"/>
      <c r="QHW22" s="99"/>
      <c r="QHX22" s="99"/>
      <c r="QHY22" s="99"/>
      <c r="QHZ22" s="99"/>
      <c r="QIA22" s="99"/>
      <c r="QIB22" s="99"/>
      <c r="QIC22" s="99"/>
      <c r="QID22" s="99"/>
      <c r="QIE22" s="99"/>
      <c r="QIF22" s="99"/>
      <c r="QIG22" s="99"/>
      <c r="QIH22" s="99"/>
      <c r="QII22" s="99"/>
      <c r="QIJ22" s="99"/>
      <c r="QIK22" s="99"/>
      <c r="QIL22" s="99"/>
      <c r="QIM22" s="99"/>
      <c r="QIN22" s="99"/>
      <c r="QIO22" s="99"/>
      <c r="QIP22" s="99"/>
      <c r="QIQ22" s="99"/>
      <c r="QIR22" s="99"/>
      <c r="QIS22" s="99"/>
      <c r="QIT22" s="99"/>
      <c r="QIU22" s="99"/>
      <c r="QIV22" s="99"/>
      <c r="QIW22" s="99"/>
      <c r="QIX22" s="99"/>
      <c r="QIY22" s="99"/>
      <c r="QIZ22" s="99"/>
      <c r="QJA22" s="99"/>
      <c r="QJB22" s="99"/>
      <c r="QJC22" s="99"/>
      <c r="QJD22" s="99"/>
      <c r="QJE22" s="99"/>
      <c r="QJF22" s="99"/>
      <c r="QJG22" s="99"/>
      <c r="QJH22" s="99"/>
      <c r="QJI22" s="99"/>
      <c r="QJJ22" s="99"/>
      <c r="QJK22" s="99"/>
      <c r="QJL22" s="99"/>
      <c r="QJM22" s="99"/>
      <c r="QJN22" s="99"/>
      <c r="QJO22" s="99"/>
      <c r="QJP22" s="99"/>
      <c r="QJQ22" s="99"/>
      <c r="QJR22" s="99"/>
      <c r="QJS22" s="99"/>
      <c r="QJT22" s="99"/>
      <c r="QJU22" s="99"/>
      <c r="QJV22" s="99"/>
      <c r="QJW22" s="99"/>
      <c r="QJX22" s="99"/>
      <c r="QJY22" s="99"/>
      <c r="QJZ22" s="99"/>
      <c r="QKA22" s="99"/>
      <c r="QKB22" s="99"/>
      <c r="QKC22" s="99"/>
      <c r="QKD22" s="99"/>
      <c r="QKE22" s="99"/>
      <c r="QKF22" s="99"/>
      <c r="QKG22" s="99"/>
      <c r="QKH22" s="99"/>
      <c r="QKI22" s="99"/>
      <c r="QKJ22" s="99"/>
      <c r="QKK22" s="99"/>
      <c r="QKL22" s="99"/>
      <c r="QKM22" s="99"/>
      <c r="QKN22" s="99"/>
      <c r="QKO22" s="99"/>
      <c r="QKP22" s="99"/>
      <c r="QKQ22" s="99"/>
      <c r="QKR22" s="99"/>
      <c r="QKS22" s="99"/>
      <c r="QKT22" s="99"/>
      <c r="QKU22" s="99"/>
      <c r="QKV22" s="99"/>
      <c r="QKW22" s="99"/>
      <c r="QKX22" s="99"/>
      <c r="QKY22" s="99"/>
      <c r="QKZ22" s="99"/>
      <c r="QLA22" s="99"/>
      <c r="QLB22" s="99"/>
      <c r="QLC22" s="99"/>
      <c r="QLD22" s="99"/>
      <c r="QLE22" s="99"/>
      <c r="QLF22" s="99"/>
      <c r="QLG22" s="99"/>
      <c r="QLH22" s="99"/>
      <c r="QLI22" s="99"/>
      <c r="QLJ22" s="99"/>
      <c r="QLK22" s="99"/>
      <c r="QLL22" s="99"/>
      <c r="QLM22" s="99"/>
      <c r="QLN22" s="99"/>
      <c r="QLO22" s="99"/>
      <c r="QLP22" s="99"/>
      <c r="QLQ22" s="99"/>
      <c r="QLR22" s="99"/>
      <c r="QLS22" s="99"/>
      <c r="QLT22" s="99"/>
      <c r="QLU22" s="99"/>
      <c r="QLV22" s="99"/>
      <c r="QLW22" s="99"/>
      <c r="QLX22" s="99"/>
      <c r="QLY22" s="99"/>
      <c r="QLZ22" s="99"/>
      <c r="QMA22" s="99"/>
      <c r="QMB22" s="99"/>
      <c r="QMC22" s="99"/>
      <c r="QMD22" s="99"/>
      <c r="QME22" s="99"/>
      <c r="QMF22" s="99"/>
      <c r="QMG22" s="99"/>
      <c r="QMH22" s="99"/>
      <c r="QMI22" s="99"/>
      <c r="QMJ22" s="99"/>
      <c r="QMK22" s="99"/>
      <c r="QML22" s="99"/>
      <c r="QMM22" s="99"/>
      <c r="QMN22" s="99"/>
      <c r="QMO22" s="99"/>
      <c r="QMP22" s="99"/>
      <c r="QMQ22" s="99"/>
      <c r="QMR22" s="99"/>
      <c r="QMS22" s="99"/>
      <c r="QMT22" s="99"/>
      <c r="QMU22" s="99"/>
      <c r="QMV22" s="99"/>
      <c r="QMW22" s="99"/>
      <c r="QMX22" s="99"/>
      <c r="QMY22" s="99"/>
      <c r="QMZ22" s="99"/>
      <c r="QNA22" s="99"/>
      <c r="QNB22" s="99"/>
      <c r="QNC22" s="99"/>
      <c r="QND22" s="99"/>
      <c r="QNE22" s="99"/>
      <c r="QNF22" s="99"/>
      <c r="QNG22" s="99"/>
      <c r="QNH22" s="99"/>
      <c r="QNI22" s="99"/>
      <c r="QNJ22" s="99"/>
      <c r="QNK22" s="99"/>
      <c r="QNL22" s="99"/>
      <c r="QNM22" s="99"/>
      <c r="QNN22" s="99"/>
      <c r="QNO22" s="99"/>
      <c r="QNP22" s="99"/>
      <c r="QNQ22" s="99"/>
      <c r="QNR22" s="99"/>
      <c r="QNS22" s="99"/>
      <c r="QNT22" s="99"/>
      <c r="QNU22" s="99"/>
      <c r="QNV22" s="99"/>
      <c r="QNW22" s="99"/>
      <c r="QNX22" s="99"/>
      <c r="QNY22" s="99"/>
      <c r="QNZ22" s="99"/>
      <c r="QOA22" s="99"/>
      <c r="QOB22" s="99"/>
      <c r="QOC22" s="99"/>
      <c r="QOD22" s="99"/>
      <c r="QOE22" s="99"/>
      <c r="QOF22" s="99"/>
      <c r="QOG22" s="99"/>
      <c r="QOH22" s="99"/>
      <c r="QOI22" s="99"/>
      <c r="QOJ22" s="99"/>
      <c r="QOK22" s="99"/>
      <c r="QOL22" s="99"/>
      <c r="QOM22" s="99"/>
      <c r="QON22" s="99"/>
      <c r="QOO22" s="99"/>
      <c r="QOP22" s="99"/>
      <c r="QOQ22" s="99"/>
      <c r="QOR22" s="99"/>
      <c r="QOS22" s="99"/>
      <c r="QOT22" s="99"/>
      <c r="QOU22" s="99"/>
      <c r="QOV22" s="99"/>
      <c r="QOW22" s="99"/>
      <c r="QOX22" s="99"/>
      <c r="QOY22" s="99"/>
      <c r="QOZ22" s="99"/>
      <c r="QPA22" s="99"/>
      <c r="QPB22" s="99"/>
      <c r="QPC22" s="99"/>
      <c r="QPD22" s="99"/>
      <c r="QPE22" s="99"/>
      <c r="QPF22" s="99"/>
      <c r="QPG22" s="99"/>
      <c r="QPH22" s="99"/>
      <c r="QPI22" s="99"/>
      <c r="QPJ22" s="99"/>
      <c r="QPK22" s="99"/>
      <c r="QPL22" s="99"/>
      <c r="QPM22" s="99"/>
      <c r="QPN22" s="99"/>
      <c r="QPO22" s="99"/>
      <c r="QPP22" s="99"/>
      <c r="QPQ22" s="99"/>
      <c r="QPR22" s="99"/>
      <c r="QPS22" s="99"/>
      <c r="QPT22" s="99"/>
      <c r="QPU22" s="99"/>
      <c r="QPV22" s="99"/>
      <c r="QPW22" s="99"/>
      <c r="QPX22" s="99"/>
      <c r="QPY22" s="99"/>
      <c r="QPZ22" s="99"/>
      <c r="QQA22" s="99"/>
      <c r="QQB22" s="99"/>
      <c r="QQC22" s="99"/>
      <c r="QQD22" s="99"/>
      <c r="QQE22" s="99"/>
      <c r="QQF22" s="99"/>
      <c r="QQG22" s="99"/>
      <c r="QQH22" s="99"/>
      <c r="QQI22" s="99"/>
      <c r="QQJ22" s="99"/>
      <c r="QQK22" s="99"/>
      <c r="QQL22" s="99"/>
      <c r="QQM22" s="99"/>
      <c r="QQN22" s="99"/>
      <c r="QQO22" s="99"/>
      <c r="QQP22" s="99"/>
      <c r="QQQ22" s="99"/>
      <c r="QQR22" s="99"/>
      <c r="QQS22" s="99"/>
      <c r="QQT22" s="99"/>
      <c r="QQU22" s="99"/>
      <c r="QQV22" s="99"/>
      <c r="QQW22" s="99"/>
      <c r="QQX22" s="99"/>
      <c r="QQY22" s="99"/>
      <c r="QQZ22" s="99"/>
      <c r="QRA22" s="99"/>
      <c r="QRB22" s="99"/>
      <c r="QRC22" s="99"/>
      <c r="QRD22" s="99"/>
      <c r="QRE22" s="99"/>
      <c r="QRF22" s="99"/>
      <c r="QRG22" s="99"/>
      <c r="QRH22" s="99"/>
      <c r="QRI22" s="99"/>
      <c r="QRJ22" s="99"/>
      <c r="QRK22" s="99"/>
      <c r="QRL22" s="99"/>
      <c r="QRM22" s="99"/>
      <c r="QRN22" s="99"/>
      <c r="QRO22" s="99"/>
      <c r="QRP22" s="99"/>
      <c r="QRQ22" s="99"/>
      <c r="QRR22" s="99"/>
      <c r="QRS22" s="99"/>
      <c r="QRT22" s="99"/>
      <c r="QRU22" s="99"/>
      <c r="QRV22" s="99"/>
      <c r="QRW22" s="99"/>
      <c r="QRX22" s="99"/>
      <c r="QRY22" s="99"/>
      <c r="QRZ22" s="99"/>
      <c r="QSA22" s="99"/>
      <c r="QSB22" s="99"/>
      <c r="QSC22" s="99"/>
      <c r="QSD22" s="99"/>
      <c r="QSE22" s="99"/>
      <c r="QSF22" s="99"/>
      <c r="QSG22" s="99"/>
      <c r="QSH22" s="99"/>
      <c r="QSI22" s="99"/>
      <c r="QSJ22" s="99"/>
      <c r="QSK22" s="99"/>
      <c r="QSL22" s="99"/>
      <c r="QSM22" s="99"/>
      <c r="QSN22" s="99"/>
      <c r="QSO22" s="99"/>
      <c r="QSP22" s="99"/>
      <c r="QSQ22" s="99"/>
      <c r="QSR22" s="99"/>
      <c r="QSS22" s="99"/>
      <c r="QST22" s="99"/>
      <c r="QSU22" s="99"/>
      <c r="QSV22" s="99"/>
      <c r="QSW22" s="99"/>
      <c r="QSX22" s="99"/>
      <c r="QSY22" s="99"/>
      <c r="QSZ22" s="99"/>
      <c r="QTA22" s="99"/>
      <c r="QTB22" s="99"/>
      <c r="QTC22" s="99"/>
      <c r="QTD22" s="99"/>
      <c r="QTE22" s="99"/>
      <c r="QTF22" s="99"/>
      <c r="QTG22" s="99"/>
      <c r="QTH22" s="99"/>
      <c r="QTI22" s="99"/>
      <c r="QTJ22" s="99"/>
      <c r="QTK22" s="99"/>
      <c r="QTL22" s="99"/>
      <c r="QTM22" s="99"/>
      <c r="QTN22" s="99"/>
      <c r="QTO22" s="99"/>
      <c r="QTP22" s="99"/>
      <c r="QTQ22" s="99"/>
      <c r="QTR22" s="99"/>
      <c r="QTS22" s="99"/>
      <c r="QTT22" s="99"/>
      <c r="QTU22" s="99"/>
      <c r="QTV22" s="99"/>
      <c r="QTW22" s="99"/>
      <c r="QTX22" s="99"/>
      <c r="QTY22" s="99"/>
      <c r="QTZ22" s="99"/>
      <c r="QUA22" s="99"/>
      <c r="QUB22" s="99"/>
      <c r="QUC22" s="99"/>
      <c r="QUD22" s="99"/>
      <c r="QUE22" s="99"/>
      <c r="QUF22" s="99"/>
      <c r="QUG22" s="99"/>
      <c r="QUH22" s="99"/>
      <c r="QUI22" s="99"/>
      <c r="QUJ22" s="99"/>
      <c r="QUK22" s="99"/>
      <c r="QUL22" s="99"/>
      <c r="QUM22" s="99"/>
      <c r="QUN22" s="99"/>
      <c r="QUO22" s="99"/>
      <c r="QUP22" s="99"/>
      <c r="QUQ22" s="99"/>
      <c r="QUR22" s="99"/>
      <c r="QUS22" s="99"/>
      <c r="QUT22" s="99"/>
      <c r="QUU22" s="99"/>
      <c r="QUV22" s="99"/>
      <c r="QUW22" s="99"/>
      <c r="QUX22" s="99"/>
      <c r="QUY22" s="99"/>
      <c r="QUZ22" s="99"/>
      <c r="QVA22" s="99"/>
      <c r="QVB22" s="99"/>
      <c r="QVC22" s="99"/>
      <c r="QVD22" s="99"/>
      <c r="QVE22" s="99"/>
      <c r="QVF22" s="99"/>
      <c r="QVG22" s="99"/>
      <c r="QVH22" s="99"/>
      <c r="QVI22" s="99"/>
      <c r="QVJ22" s="99"/>
      <c r="QVK22" s="99"/>
      <c r="QVL22" s="99"/>
      <c r="QVM22" s="99"/>
      <c r="QVN22" s="99"/>
      <c r="QVO22" s="99"/>
      <c r="QVP22" s="99"/>
      <c r="QVQ22" s="99"/>
      <c r="QVR22" s="99"/>
      <c r="QVS22" s="99"/>
      <c r="QVT22" s="99"/>
      <c r="QVU22" s="99"/>
      <c r="QVV22" s="99"/>
      <c r="QVW22" s="99"/>
      <c r="QVX22" s="99"/>
      <c r="QVY22" s="99"/>
      <c r="QVZ22" s="99"/>
      <c r="QWA22" s="99"/>
      <c r="QWB22" s="99"/>
      <c r="QWC22" s="99"/>
      <c r="QWD22" s="99"/>
      <c r="QWE22" s="99"/>
      <c r="QWF22" s="99"/>
      <c r="QWG22" s="99"/>
      <c r="QWH22" s="99"/>
      <c r="QWI22" s="99"/>
      <c r="QWJ22" s="99"/>
      <c r="QWK22" s="99"/>
      <c r="QWL22" s="99"/>
      <c r="QWM22" s="99"/>
      <c r="QWN22" s="99"/>
      <c r="QWO22" s="99"/>
      <c r="QWP22" s="99"/>
      <c r="QWQ22" s="99"/>
      <c r="QWR22" s="99"/>
      <c r="QWS22" s="99"/>
      <c r="QWT22" s="99"/>
      <c r="QWU22" s="99"/>
      <c r="QWV22" s="99"/>
      <c r="QWW22" s="99"/>
      <c r="QWX22" s="99"/>
      <c r="QWY22" s="99"/>
      <c r="QWZ22" s="99"/>
      <c r="QXA22" s="99"/>
      <c r="QXB22" s="99"/>
      <c r="QXC22" s="99"/>
      <c r="QXD22" s="99"/>
      <c r="QXE22" s="99"/>
      <c r="QXF22" s="99"/>
      <c r="QXG22" s="99"/>
      <c r="QXH22" s="99"/>
      <c r="QXI22" s="99"/>
      <c r="QXJ22" s="99"/>
      <c r="QXK22" s="99"/>
      <c r="QXL22" s="99"/>
      <c r="QXM22" s="99"/>
      <c r="QXN22" s="99"/>
      <c r="QXO22" s="99"/>
      <c r="QXP22" s="99"/>
      <c r="QXQ22" s="99"/>
      <c r="QXR22" s="99"/>
      <c r="QXS22" s="99"/>
      <c r="QXT22" s="99"/>
      <c r="QXU22" s="99"/>
      <c r="QXV22" s="99"/>
      <c r="QXW22" s="99"/>
      <c r="QXX22" s="99"/>
      <c r="QXY22" s="99"/>
      <c r="QXZ22" s="99"/>
      <c r="QYA22" s="99"/>
      <c r="QYB22" s="99"/>
      <c r="QYC22" s="99"/>
      <c r="QYD22" s="99"/>
      <c r="QYE22" s="99"/>
      <c r="QYF22" s="99"/>
      <c r="QYG22" s="99"/>
      <c r="QYH22" s="99"/>
      <c r="QYI22" s="99"/>
      <c r="QYJ22" s="99"/>
      <c r="QYK22" s="99"/>
      <c r="QYL22" s="99"/>
      <c r="QYM22" s="99"/>
      <c r="QYN22" s="99"/>
      <c r="QYO22" s="99"/>
      <c r="QYP22" s="99"/>
      <c r="QYQ22" s="99"/>
      <c r="QYR22" s="99"/>
      <c r="QYS22" s="99"/>
      <c r="QYT22" s="99"/>
      <c r="QYU22" s="99"/>
      <c r="QYV22" s="99"/>
      <c r="QYW22" s="99"/>
      <c r="QYX22" s="99"/>
      <c r="QYY22" s="99"/>
      <c r="QYZ22" s="99"/>
      <c r="QZA22" s="99"/>
      <c r="QZB22" s="99"/>
      <c r="QZC22" s="99"/>
      <c r="QZD22" s="99"/>
      <c r="QZE22" s="99"/>
      <c r="QZF22" s="99"/>
      <c r="QZG22" s="99"/>
      <c r="QZH22" s="99"/>
      <c r="QZI22" s="99"/>
      <c r="QZJ22" s="99"/>
      <c r="QZK22" s="99"/>
      <c r="QZL22" s="99"/>
      <c r="QZM22" s="99"/>
      <c r="QZN22" s="99"/>
      <c r="QZO22" s="99"/>
      <c r="QZP22" s="99"/>
      <c r="QZQ22" s="99"/>
      <c r="QZR22" s="99"/>
      <c r="QZS22" s="99"/>
      <c r="QZT22" s="99"/>
      <c r="QZU22" s="99"/>
      <c r="QZV22" s="99"/>
      <c r="QZW22" s="99"/>
      <c r="QZX22" s="99"/>
      <c r="QZY22" s="99"/>
      <c r="QZZ22" s="99"/>
      <c r="RAA22" s="99"/>
      <c r="RAB22" s="99"/>
      <c r="RAC22" s="99"/>
      <c r="RAD22" s="99"/>
      <c r="RAE22" s="99"/>
      <c r="RAF22" s="99"/>
      <c r="RAG22" s="99"/>
      <c r="RAH22" s="99"/>
      <c r="RAI22" s="99"/>
      <c r="RAJ22" s="99"/>
      <c r="RAK22" s="99"/>
      <c r="RAL22" s="99"/>
      <c r="RAM22" s="99"/>
      <c r="RAN22" s="99"/>
      <c r="RAO22" s="99"/>
      <c r="RAP22" s="99"/>
      <c r="RAQ22" s="99"/>
      <c r="RAR22" s="99"/>
      <c r="RAS22" s="99"/>
      <c r="RAT22" s="99"/>
      <c r="RAU22" s="99"/>
      <c r="RAV22" s="99"/>
      <c r="RAW22" s="99"/>
      <c r="RAX22" s="99"/>
      <c r="RAY22" s="99"/>
      <c r="RAZ22" s="99"/>
      <c r="RBA22" s="99"/>
      <c r="RBB22" s="99"/>
      <c r="RBC22" s="99"/>
      <c r="RBD22" s="99"/>
      <c r="RBE22" s="99"/>
      <c r="RBF22" s="99"/>
      <c r="RBG22" s="99"/>
      <c r="RBH22" s="99"/>
      <c r="RBI22" s="99"/>
      <c r="RBJ22" s="99"/>
      <c r="RBK22" s="99"/>
      <c r="RBL22" s="99"/>
      <c r="RBM22" s="99"/>
      <c r="RBN22" s="99"/>
      <c r="RBO22" s="99"/>
      <c r="RBP22" s="99"/>
      <c r="RBQ22" s="99"/>
      <c r="RBR22" s="99"/>
      <c r="RBS22" s="99"/>
      <c r="RBT22" s="99"/>
      <c r="RBU22" s="99"/>
      <c r="RBV22" s="99"/>
      <c r="RBW22" s="99"/>
      <c r="RBX22" s="99"/>
      <c r="RBY22" s="99"/>
      <c r="RBZ22" s="99"/>
      <c r="RCA22" s="99"/>
      <c r="RCB22" s="99"/>
      <c r="RCC22" s="99"/>
      <c r="RCD22" s="99"/>
      <c r="RCE22" s="99"/>
      <c r="RCF22" s="99"/>
      <c r="RCG22" s="99"/>
      <c r="RCH22" s="99"/>
      <c r="RCI22" s="99"/>
      <c r="RCJ22" s="99"/>
      <c r="RCK22" s="99"/>
      <c r="RCL22" s="99"/>
      <c r="RCM22" s="99"/>
      <c r="RCN22" s="99"/>
      <c r="RCO22" s="99"/>
      <c r="RCP22" s="99"/>
      <c r="RCQ22" s="99"/>
      <c r="RCR22" s="99"/>
      <c r="RCS22" s="99"/>
      <c r="RCT22" s="99"/>
      <c r="RCU22" s="99"/>
      <c r="RCV22" s="99"/>
      <c r="RCW22" s="99"/>
      <c r="RCX22" s="99"/>
      <c r="RCY22" s="99"/>
      <c r="RCZ22" s="99"/>
      <c r="RDA22" s="99"/>
      <c r="RDB22" s="99"/>
      <c r="RDC22" s="99"/>
      <c r="RDD22" s="99"/>
      <c r="RDE22" s="99"/>
      <c r="RDF22" s="99"/>
      <c r="RDG22" s="99"/>
      <c r="RDH22" s="99"/>
      <c r="RDI22" s="99"/>
      <c r="RDJ22" s="99"/>
      <c r="RDK22" s="99"/>
      <c r="RDL22" s="99"/>
      <c r="RDM22" s="99"/>
      <c r="RDN22" s="99"/>
      <c r="RDO22" s="99"/>
      <c r="RDP22" s="99"/>
      <c r="RDQ22" s="99"/>
      <c r="RDR22" s="99"/>
      <c r="RDS22" s="99"/>
      <c r="RDT22" s="99"/>
      <c r="RDU22" s="99"/>
      <c r="RDV22" s="99"/>
      <c r="RDW22" s="99"/>
      <c r="RDX22" s="99"/>
      <c r="RDY22" s="99"/>
      <c r="RDZ22" s="99"/>
      <c r="REA22" s="99"/>
      <c r="REB22" s="99"/>
      <c r="REC22" s="99"/>
      <c r="RED22" s="99"/>
      <c r="REE22" s="99"/>
      <c r="REF22" s="99"/>
      <c r="REG22" s="99"/>
      <c r="REH22" s="99"/>
      <c r="REI22" s="99"/>
      <c r="REJ22" s="99"/>
      <c r="REK22" s="99"/>
      <c r="REL22" s="99"/>
      <c r="REM22" s="99"/>
      <c r="REN22" s="99"/>
      <c r="REO22" s="99"/>
      <c r="REP22" s="99"/>
      <c r="REQ22" s="99"/>
      <c r="RER22" s="99"/>
      <c r="RES22" s="99"/>
      <c r="RET22" s="99"/>
      <c r="REU22" s="99"/>
      <c r="REV22" s="99"/>
      <c r="REW22" s="99"/>
      <c r="REX22" s="99"/>
      <c r="REY22" s="99"/>
      <c r="REZ22" s="99"/>
      <c r="RFA22" s="99"/>
      <c r="RFB22" s="99"/>
      <c r="RFC22" s="99"/>
      <c r="RFD22" s="99"/>
      <c r="RFE22" s="99"/>
      <c r="RFF22" s="99"/>
      <c r="RFG22" s="99"/>
      <c r="RFH22" s="99"/>
      <c r="RFI22" s="99"/>
      <c r="RFJ22" s="99"/>
      <c r="RFK22" s="99"/>
      <c r="RFL22" s="99"/>
      <c r="RFM22" s="99"/>
      <c r="RFN22" s="99"/>
      <c r="RFO22" s="99"/>
      <c r="RFP22" s="99"/>
      <c r="RFQ22" s="99"/>
      <c r="RFR22" s="99"/>
      <c r="RFS22" s="99"/>
      <c r="RFT22" s="99"/>
      <c r="RFU22" s="99"/>
      <c r="RFV22" s="99"/>
      <c r="RFW22" s="99"/>
      <c r="RFX22" s="99"/>
      <c r="RFY22" s="99"/>
      <c r="RFZ22" s="99"/>
      <c r="RGA22" s="99"/>
      <c r="RGB22" s="99"/>
      <c r="RGC22" s="99"/>
      <c r="RGD22" s="99"/>
      <c r="RGE22" s="99"/>
      <c r="RGF22" s="99"/>
      <c r="RGG22" s="99"/>
      <c r="RGH22" s="99"/>
      <c r="RGI22" s="99"/>
      <c r="RGJ22" s="99"/>
      <c r="RGK22" s="99"/>
      <c r="RGL22" s="99"/>
      <c r="RGM22" s="99"/>
      <c r="RGN22" s="99"/>
      <c r="RGO22" s="99"/>
      <c r="RGP22" s="99"/>
      <c r="RGQ22" s="99"/>
      <c r="RGR22" s="99"/>
      <c r="RGS22" s="99"/>
      <c r="RGT22" s="99"/>
      <c r="RGU22" s="99"/>
      <c r="RGV22" s="99"/>
      <c r="RGW22" s="99"/>
      <c r="RGX22" s="99"/>
      <c r="RGY22" s="99"/>
      <c r="RGZ22" s="99"/>
      <c r="RHA22" s="99"/>
      <c r="RHB22" s="99"/>
      <c r="RHC22" s="99"/>
      <c r="RHD22" s="99"/>
      <c r="RHE22" s="99"/>
      <c r="RHF22" s="99"/>
      <c r="RHG22" s="99"/>
      <c r="RHH22" s="99"/>
      <c r="RHI22" s="99"/>
      <c r="RHJ22" s="99"/>
      <c r="RHK22" s="99"/>
      <c r="RHL22" s="99"/>
      <c r="RHM22" s="99"/>
      <c r="RHN22" s="99"/>
      <c r="RHO22" s="99"/>
      <c r="RHP22" s="99"/>
      <c r="RHQ22" s="99"/>
      <c r="RHR22" s="99"/>
      <c r="RHS22" s="99"/>
      <c r="RHT22" s="99"/>
      <c r="RHU22" s="99"/>
      <c r="RHV22" s="99"/>
      <c r="RHW22" s="99"/>
      <c r="RHX22" s="99"/>
      <c r="RHY22" s="99"/>
      <c r="RHZ22" s="99"/>
      <c r="RIA22" s="99"/>
      <c r="RIB22" s="99"/>
      <c r="RIC22" s="99"/>
      <c r="RID22" s="99"/>
      <c r="RIE22" s="99"/>
      <c r="RIF22" s="99"/>
      <c r="RIG22" s="99"/>
      <c r="RIH22" s="99"/>
      <c r="RII22" s="99"/>
      <c r="RIJ22" s="99"/>
      <c r="RIK22" s="99"/>
      <c r="RIL22" s="99"/>
      <c r="RIM22" s="99"/>
      <c r="RIN22" s="99"/>
      <c r="RIO22" s="99"/>
      <c r="RIP22" s="99"/>
      <c r="RIQ22" s="99"/>
      <c r="RIR22" s="99"/>
      <c r="RIS22" s="99"/>
      <c r="RIT22" s="99"/>
      <c r="RIU22" s="99"/>
      <c r="RIV22" s="99"/>
      <c r="RIW22" s="99"/>
      <c r="RIX22" s="99"/>
      <c r="RIY22" s="99"/>
      <c r="RIZ22" s="99"/>
      <c r="RJA22" s="99"/>
      <c r="RJB22" s="99"/>
      <c r="RJC22" s="99"/>
      <c r="RJD22" s="99"/>
      <c r="RJE22" s="99"/>
      <c r="RJF22" s="99"/>
      <c r="RJG22" s="99"/>
      <c r="RJH22" s="99"/>
      <c r="RJI22" s="99"/>
      <c r="RJJ22" s="99"/>
      <c r="RJK22" s="99"/>
      <c r="RJL22" s="99"/>
      <c r="RJM22" s="99"/>
      <c r="RJN22" s="99"/>
      <c r="RJO22" s="99"/>
      <c r="RJP22" s="99"/>
      <c r="RJQ22" s="99"/>
      <c r="RJR22" s="99"/>
      <c r="RJS22" s="99"/>
      <c r="RJT22" s="99"/>
      <c r="RJU22" s="99"/>
      <c r="RJV22" s="99"/>
      <c r="RJW22" s="99"/>
      <c r="RJX22" s="99"/>
      <c r="RJY22" s="99"/>
      <c r="RJZ22" s="99"/>
      <c r="RKA22" s="99"/>
      <c r="RKB22" s="99"/>
      <c r="RKC22" s="99"/>
      <c r="RKD22" s="99"/>
      <c r="RKE22" s="99"/>
      <c r="RKF22" s="99"/>
      <c r="RKG22" s="99"/>
      <c r="RKH22" s="99"/>
      <c r="RKI22" s="99"/>
      <c r="RKJ22" s="99"/>
      <c r="RKK22" s="99"/>
      <c r="RKL22" s="99"/>
      <c r="RKM22" s="99"/>
      <c r="RKN22" s="99"/>
      <c r="RKO22" s="99"/>
      <c r="RKP22" s="99"/>
      <c r="RKQ22" s="99"/>
      <c r="RKR22" s="99"/>
      <c r="RKS22" s="99"/>
      <c r="RKT22" s="99"/>
      <c r="RKU22" s="99"/>
      <c r="RKV22" s="99"/>
      <c r="RKW22" s="99"/>
      <c r="RKX22" s="99"/>
      <c r="RKY22" s="99"/>
      <c r="RKZ22" s="99"/>
      <c r="RLA22" s="99"/>
      <c r="RLB22" s="99"/>
      <c r="RLC22" s="99"/>
      <c r="RLD22" s="99"/>
      <c r="RLE22" s="99"/>
      <c r="RLF22" s="99"/>
      <c r="RLG22" s="99"/>
      <c r="RLH22" s="99"/>
      <c r="RLI22" s="99"/>
      <c r="RLJ22" s="99"/>
      <c r="RLK22" s="99"/>
      <c r="RLL22" s="99"/>
      <c r="RLM22" s="99"/>
      <c r="RLN22" s="99"/>
      <c r="RLO22" s="99"/>
      <c r="RLP22" s="99"/>
      <c r="RLQ22" s="99"/>
      <c r="RLR22" s="99"/>
      <c r="RLS22" s="99"/>
      <c r="RLT22" s="99"/>
      <c r="RLU22" s="99"/>
      <c r="RLV22" s="99"/>
      <c r="RLW22" s="99"/>
      <c r="RLX22" s="99"/>
      <c r="RLY22" s="99"/>
      <c r="RLZ22" s="99"/>
      <c r="RMA22" s="99"/>
      <c r="RMB22" s="99"/>
      <c r="RMC22" s="99"/>
      <c r="RMD22" s="99"/>
      <c r="RME22" s="99"/>
      <c r="RMF22" s="99"/>
      <c r="RMG22" s="99"/>
      <c r="RMH22" s="99"/>
      <c r="RMI22" s="99"/>
      <c r="RMJ22" s="99"/>
      <c r="RMK22" s="99"/>
      <c r="RML22" s="99"/>
      <c r="RMM22" s="99"/>
      <c r="RMN22" s="99"/>
      <c r="RMO22" s="99"/>
      <c r="RMP22" s="99"/>
      <c r="RMQ22" s="99"/>
      <c r="RMR22" s="99"/>
      <c r="RMS22" s="99"/>
      <c r="RMT22" s="99"/>
      <c r="RMU22" s="99"/>
      <c r="RMV22" s="99"/>
      <c r="RMW22" s="99"/>
      <c r="RMX22" s="99"/>
      <c r="RMY22" s="99"/>
      <c r="RMZ22" s="99"/>
      <c r="RNA22" s="99"/>
      <c r="RNB22" s="99"/>
      <c r="RNC22" s="99"/>
      <c r="RND22" s="99"/>
      <c r="RNE22" s="99"/>
      <c r="RNF22" s="99"/>
      <c r="RNG22" s="99"/>
      <c r="RNH22" s="99"/>
      <c r="RNI22" s="99"/>
      <c r="RNJ22" s="99"/>
      <c r="RNK22" s="99"/>
      <c r="RNL22" s="99"/>
      <c r="RNM22" s="99"/>
      <c r="RNN22" s="99"/>
      <c r="RNO22" s="99"/>
      <c r="RNP22" s="99"/>
      <c r="RNQ22" s="99"/>
      <c r="RNR22" s="99"/>
      <c r="RNS22" s="99"/>
      <c r="RNT22" s="99"/>
      <c r="RNU22" s="99"/>
      <c r="RNV22" s="99"/>
      <c r="RNW22" s="99"/>
      <c r="RNX22" s="99"/>
      <c r="RNY22" s="99"/>
      <c r="RNZ22" s="99"/>
      <c r="ROA22" s="99"/>
      <c r="ROB22" s="99"/>
      <c r="ROC22" s="99"/>
      <c r="ROD22" s="99"/>
      <c r="ROE22" s="99"/>
      <c r="ROF22" s="99"/>
      <c r="ROG22" s="99"/>
      <c r="ROH22" s="99"/>
      <c r="ROI22" s="99"/>
      <c r="ROJ22" s="99"/>
      <c r="ROK22" s="99"/>
      <c r="ROL22" s="99"/>
      <c r="ROM22" s="99"/>
      <c r="RON22" s="99"/>
      <c r="ROO22" s="99"/>
      <c r="ROP22" s="99"/>
      <c r="ROQ22" s="99"/>
      <c r="ROR22" s="99"/>
      <c r="ROS22" s="99"/>
      <c r="ROT22" s="99"/>
      <c r="ROU22" s="99"/>
      <c r="ROV22" s="99"/>
      <c r="ROW22" s="99"/>
      <c r="ROX22" s="99"/>
      <c r="ROY22" s="99"/>
      <c r="ROZ22" s="99"/>
      <c r="RPA22" s="99"/>
      <c r="RPB22" s="99"/>
      <c r="RPC22" s="99"/>
      <c r="RPD22" s="99"/>
      <c r="RPE22" s="99"/>
      <c r="RPF22" s="99"/>
      <c r="RPG22" s="99"/>
      <c r="RPH22" s="99"/>
      <c r="RPI22" s="99"/>
      <c r="RPJ22" s="99"/>
      <c r="RPK22" s="99"/>
      <c r="RPL22" s="99"/>
      <c r="RPM22" s="99"/>
      <c r="RPN22" s="99"/>
      <c r="RPO22" s="99"/>
      <c r="RPP22" s="99"/>
      <c r="RPQ22" s="99"/>
      <c r="RPR22" s="99"/>
      <c r="RPS22" s="99"/>
      <c r="RPT22" s="99"/>
      <c r="RPU22" s="99"/>
      <c r="RPV22" s="99"/>
      <c r="RPW22" s="99"/>
      <c r="RPX22" s="99"/>
      <c r="RPY22" s="99"/>
      <c r="RPZ22" s="99"/>
      <c r="RQA22" s="99"/>
      <c r="RQB22" s="99"/>
      <c r="RQC22" s="99"/>
      <c r="RQD22" s="99"/>
      <c r="RQE22" s="99"/>
      <c r="RQF22" s="99"/>
      <c r="RQG22" s="99"/>
      <c r="RQH22" s="99"/>
      <c r="RQI22" s="99"/>
      <c r="RQJ22" s="99"/>
      <c r="RQK22" s="99"/>
      <c r="RQL22" s="99"/>
      <c r="RQM22" s="99"/>
      <c r="RQN22" s="99"/>
      <c r="RQO22" s="99"/>
      <c r="RQP22" s="99"/>
      <c r="RQQ22" s="99"/>
      <c r="RQR22" s="99"/>
      <c r="RQS22" s="99"/>
      <c r="RQT22" s="99"/>
      <c r="RQU22" s="99"/>
      <c r="RQV22" s="99"/>
      <c r="RQW22" s="99"/>
      <c r="RQX22" s="99"/>
      <c r="RQY22" s="99"/>
      <c r="RQZ22" s="99"/>
      <c r="RRA22" s="99"/>
      <c r="RRB22" s="99"/>
      <c r="RRC22" s="99"/>
      <c r="RRD22" s="99"/>
      <c r="RRE22" s="99"/>
      <c r="RRF22" s="99"/>
      <c r="RRG22" s="99"/>
      <c r="RRH22" s="99"/>
      <c r="RRI22" s="99"/>
      <c r="RRJ22" s="99"/>
      <c r="RRK22" s="99"/>
      <c r="RRL22" s="99"/>
      <c r="RRM22" s="99"/>
      <c r="RRN22" s="99"/>
      <c r="RRO22" s="99"/>
      <c r="RRP22" s="99"/>
      <c r="RRQ22" s="99"/>
      <c r="RRR22" s="99"/>
      <c r="RRS22" s="99"/>
      <c r="RRT22" s="99"/>
      <c r="RRU22" s="99"/>
      <c r="RRV22" s="99"/>
      <c r="RRW22" s="99"/>
      <c r="RRX22" s="99"/>
      <c r="RRY22" s="99"/>
      <c r="RRZ22" s="99"/>
      <c r="RSA22" s="99"/>
      <c r="RSB22" s="99"/>
      <c r="RSC22" s="99"/>
      <c r="RSD22" s="99"/>
      <c r="RSE22" s="99"/>
      <c r="RSF22" s="99"/>
      <c r="RSG22" s="99"/>
      <c r="RSH22" s="99"/>
      <c r="RSI22" s="99"/>
      <c r="RSJ22" s="99"/>
      <c r="RSK22" s="99"/>
      <c r="RSL22" s="99"/>
      <c r="RSM22" s="99"/>
      <c r="RSN22" s="99"/>
      <c r="RSO22" s="99"/>
      <c r="RSP22" s="99"/>
      <c r="RSQ22" s="99"/>
      <c r="RSR22" s="99"/>
      <c r="RSS22" s="99"/>
      <c r="RST22" s="99"/>
      <c r="RSU22" s="99"/>
      <c r="RSV22" s="99"/>
      <c r="RSW22" s="99"/>
      <c r="RSX22" s="99"/>
      <c r="RSY22" s="99"/>
      <c r="RSZ22" s="99"/>
      <c r="RTA22" s="99"/>
      <c r="RTB22" s="99"/>
      <c r="RTC22" s="99"/>
      <c r="RTD22" s="99"/>
      <c r="RTE22" s="99"/>
      <c r="RTF22" s="99"/>
      <c r="RTG22" s="99"/>
      <c r="RTH22" s="99"/>
      <c r="RTI22" s="99"/>
      <c r="RTJ22" s="99"/>
      <c r="RTK22" s="99"/>
      <c r="RTL22" s="99"/>
      <c r="RTM22" s="99"/>
      <c r="RTN22" s="99"/>
      <c r="RTO22" s="99"/>
      <c r="RTP22" s="99"/>
      <c r="RTQ22" s="99"/>
      <c r="RTR22" s="99"/>
      <c r="RTS22" s="99"/>
      <c r="RTT22" s="99"/>
      <c r="RTU22" s="99"/>
      <c r="RTV22" s="99"/>
      <c r="RTW22" s="99"/>
      <c r="RTX22" s="99"/>
      <c r="RTY22" s="99"/>
      <c r="RTZ22" s="99"/>
      <c r="RUA22" s="99"/>
      <c r="RUB22" s="99"/>
      <c r="RUC22" s="99"/>
      <c r="RUD22" s="99"/>
      <c r="RUE22" s="99"/>
      <c r="RUF22" s="99"/>
      <c r="RUG22" s="99"/>
      <c r="RUH22" s="99"/>
      <c r="RUI22" s="99"/>
      <c r="RUJ22" s="99"/>
      <c r="RUK22" s="99"/>
      <c r="RUL22" s="99"/>
      <c r="RUM22" s="99"/>
      <c r="RUN22" s="99"/>
      <c r="RUO22" s="99"/>
      <c r="RUP22" s="99"/>
      <c r="RUQ22" s="99"/>
      <c r="RUR22" s="99"/>
      <c r="RUS22" s="99"/>
      <c r="RUT22" s="99"/>
      <c r="RUU22" s="99"/>
      <c r="RUV22" s="99"/>
      <c r="RUW22" s="99"/>
      <c r="RUX22" s="99"/>
      <c r="RUY22" s="99"/>
      <c r="RUZ22" s="99"/>
      <c r="RVA22" s="99"/>
      <c r="RVB22" s="99"/>
      <c r="RVC22" s="99"/>
      <c r="RVD22" s="99"/>
      <c r="RVE22" s="99"/>
      <c r="RVF22" s="99"/>
      <c r="RVG22" s="99"/>
      <c r="RVH22" s="99"/>
      <c r="RVI22" s="99"/>
      <c r="RVJ22" s="99"/>
      <c r="RVK22" s="99"/>
      <c r="RVL22" s="99"/>
      <c r="RVM22" s="99"/>
      <c r="RVN22" s="99"/>
      <c r="RVO22" s="99"/>
      <c r="RVP22" s="99"/>
      <c r="RVQ22" s="99"/>
      <c r="RVR22" s="99"/>
      <c r="RVS22" s="99"/>
      <c r="RVT22" s="99"/>
      <c r="RVU22" s="99"/>
      <c r="RVV22" s="99"/>
      <c r="RVW22" s="99"/>
      <c r="RVX22" s="99"/>
      <c r="RVY22" s="99"/>
      <c r="RVZ22" s="99"/>
      <c r="RWA22" s="99"/>
      <c r="RWB22" s="99"/>
      <c r="RWC22" s="99"/>
      <c r="RWD22" s="99"/>
      <c r="RWE22" s="99"/>
      <c r="RWF22" s="99"/>
      <c r="RWG22" s="99"/>
      <c r="RWH22" s="99"/>
      <c r="RWI22" s="99"/>
      <c r="RWJ22" s="99"/>
      <c r="RWK22" s="99"/>
      <c r="RWL22" s="99"/>
      <c r="RWM22" s="99"/>
      <c r="RWN22" s="99"/>
      <c r="RWO22" s="99"/>
      <c r="RWP22" s="99"/>
      <c r="RWQ22" s="99"/>
      <c r="RWR22" s="99"/>
      <c r="RWS22" s="99"/>
      <c r="RWT22" s="99"/>
      <c r="RWU22" s="99"/>
      <c r="RWV22" s="99"/>
      <c r="RWW22" s="99"/>
      <c r="RWX22" s="99"/>
      <c r="RWY22" s="99"/>
      <c r="RWZ22" s="99"/>
      <c r="RXA22" s="99"/>
      <c r="RXB22" s="99"/>
      <c r="RXC22" s="99"/>
      <c r="RXD22" s="99"/>
      <c r="RXE22" s="99"/>
      <c r="RXF22" s="99"/>
      <c r="RXG22" s="99"/>
      <c r="RXH22" s="99"/>
      <c r="RXI22" s="99"/>
      <c r="RXJ22" s="99"/>
      <c r="RXK22" s="99"/>
      <c r="RXL22" s="99"/>
      <c r="RXM22" s="99"/>
      <c r="RXN22" s="99"/>
      <c r="RXO22" s="99"/>
      <c r="RXP22" s="99"/>
      <c r="RXQ22" s="99"/>
      <c r="RXR22" s="99"/>
      <c r="RXS22" s="99"/>
      <c r="RXT22" s="99"/>
      <c r="RXU22" s="99"/>
      <c r="RXV22" s="99"/>
      <c r="RXW22" s="99"/>
      <c r="RXX22" s="99"/>
      <c r="RXY22" s="99"/>
      <c r="RXZ22" s="99"/>
      <c r="RYA22" s="99"/>
      <c r="RYB22" s="99"/>
      <c r="RYC22" s="99"/>
      <c r="RYD22" s="99"/>
      <c r="RYE22" s="99"/>
      <c r="RYF22" s="99"/>
      <c r="RYG22" s="99"/>
      <c r="RYH22" s="99"/>
      <c r="RYI22" s="99"/>
      <c r="RYJ22" s="99"/>
      <c r="RYK22" s="99"/>
      <c r="RYL22" s="99"/>
      <c r="RYM22" s="99"/>
      <c r="RYN22" s="99"/>
      <c r="RYO22" s="99"/>
      <c r="RYP22" s="99"/>
      <c r="RYQ22" s="99"/>
      <c r="RYR22" s="99"/>
      <c r="RYS22" s="99"/>
      <c r="RYT22" s="99"/>
      <c r="RYU22" s="99"/>
      <c r="RYV22" s="99"/>
      <c r="RYW22" s="99"/>
      <c r="RYX22" s="99"/>
      <c r="RYY22" s="99"/>
      <c r="RYZ22" s="99"/>
      <c r="RZA22" s="99"/>
      <c r="RZB22" s="99"/>
      <c r="RZC22" s="99"/>
      <c r="RZD22" s="99"/>
      <c r="RZE22" s="99"/>
      <c r="RZF22" s="99"/>
      <c r="RZG22" s="99"/>
      <c r="RZH22" s="99"/>
      <c r="RZI22" s="99"/>
      <c r="RZJ22" s="99"/>
      <c r="RZK22" s="99"/>
      <c r="RZL22" s="99"/>
      <c r="RZM22" s="99"/>
      <c r="RZN22" s="99"/>
      <c r="RZO22" s="99"/>
      <c r="RZP22" s="99"/>
      <c r="RZQ22" s="99"/>
      <c r="RZR22" s="99"/>
      <c r="RZS22" s="99"/>
      <c r="RZT22" s="99"/>
      <c r="RZU22" s="99"/>
      <c r="RZV22" s="99"/>
      <c r="RZW22" s="99"/>
      <c r="RZX22" s="99"/>
      <c r="RZY22" s="99"/>
      <c r="RZZ22" s="99"/>
      <c r="SAA22" s="99"/>
      <c r="SAB22" s="99"/>
      <c r="SAC22" s="99"/>
      <c r="SAD22" s="99"/>
      <c r="SAE22" s="99"/>
      <c r="SAF22" s="99"/>
      <c r="SAG22" s="99"/>
      <c r="SAH22" s="99"/>
      <c r="SAI22" s="99"/>
      <c r="SAJ22" s="99"/>
      <c r="SAK22" s="99"/>
      <c r="SAL22" s="99"/>
      <c r="SAM22" s="99"/>
      <c r="SAN22" s="99"/>
      <c r="SAO22" s="99"/>
      <c r="SAP22" s="99"/>
      <c r="SAQ22" s="99"/>
      <c r="SAR22" s="99"/>
      <c r="SAS22" s="99"/>
      <c r="SAT22" s="99"/>
      <c r="SAU22" s="99"/>
      <c r="SAV22" s="99"/>
      <c r="SAW22" s="99"/>
      <c r="SAX22" s="99"/>
      <c r="SAY22" s="99"/>
      <c r="SAZ22" s="99"/>
      <c r="SBA22" s="99"/>
      <c r="SBB22" s="99"/>
      <c r="SBC22" s="99"/>
      <c r="SBD22" s="99"/>
      <c r="SBE22" s="99"/>
      <c r="SBF22" s="99"/>
      <c r="SBG22" s="99"/>
      <c r="SBH22" s="99"/>
      <c r="SBI22" s="99"/>
      <c r="SBJ22" s="99"/>
      <c r="SBK22" s="99"/>
      <c r="SBL22" s="99"/>
      <c r="SBM22" s="99"/>
      <c r="SBN22" s="99"/>
      <c r="SBO22" s="99"/>
      <c r="SBP22" s="99"/>
      <c r="SBQ22" s="99"/>
      <c r="SBR22" s="99"/>
      <c r="SBS22" s="99"/>
      <c r="SBT22" s="99"/>
      <c r="SBU22" s="99"/>
      <c r="SBV22" s="99"/>
      <c r="SBW22" s="99"/>
      <c r="SBX22" s="99"/>
      <c r="SBY22" s="99"/>
      <c r="SBZ22" s="99"/>
      <c r="SCA22" s="99"/>
      <c r="SCB22" s="99"/>
      <c r="SCC22" s="99"/>
      <c r="SCD22" s="99"/>
      <c r="SCE22" s="99"/>
      <c r="SCF22" s="99"/>
      <c r="SCG22" s="99"/>
      <c r="SCH22" s="99"/>
      <c r="SCI22" s="99"/>
      <c r="SCJ22" s="99"/>
      <c r="SCK22" s="99"/>
      <c r="SCL22" s="99"/>
      <c r="SCM22" s="99"/>
      <c r="SCN22" s="99"/>
      <c r="SCO22" s="99"/>
      <c r="SCP22" s="99"/>
      <c r="SCQ22" s="99"/>
      <c r="SCR22" s="99"/>
      <c r="SCS22" s="99"/>
      <c r="SCT22" s="99"/>
      <c r="SCU22" s="99"/>
      <c r="SCV22" s="99"/>
      <c r="SCW22" s="99"/>
      <c r="SCX22" s="99"/>
      <c r="SCY22" s="99"/>
      <c r="SCZ22" s="99"/>
      <c r="SDA22" s="99"/>
      <c r="SDB22" s="99"/>
      <c r="SDC22" s="99"/>
      <c r="SDD22" s="99"/>
      <c r="SDE22" s="99"/>
      <c r="SDF22" s="99"/>
      <c r="SDG22" s="99"/>
      <c r="SDH22" s="99"/>
      <c r="SDI22" s="99"/>
      <c r="SDJ22" s="99"/>
      <c r="SDK22" s="99"/>
      <c r="SDL22" s="99"/>
      <c r="SDM22" s="99"/>
      <c r="SDN22" s="99"/>
      <c r="SDO22" s="99"/>
      <c r="SDP22" s="99"/>
      <c r="SDQ22" s="99"/>
      <c r="SDR22" s="99"/>
      <c r="SDS22" s="99"/>
      <c r="SDT22" s="99"/>
      <c r="SDU22" s="99"/>
      <c r="SDV22" s="99"/>
      <c r="SDW22" s="99"/>
      <c r="SDX22" s="99"/>
      <c r="SDY22" s="99"/>
      <c r="SDZ22" s="99"/>
      <c r="SEA22" s="99"/>
      <c r="SEB22" s="99"/>
      <c r="SEC22" s="99"/>
      <c r="SED22" s="99"/>
      <c r="SEE22" s="99"/>
      <c r="SEF22" s="99"/>
      <c r="SEG22" s="99"/>
      <c r="SEH22" s="99"/>
      <c r="SEI22" s="99"/>
      <c r="SEJ22" s="99"/>
      <c r="SEK22" s="99"/>
      <c r="SEL22" s="99"/>
      <c r="SEM22" s="99"/>
      <c r="SEN22" s="99"/>
      <c r="SEO22" s="99"/>
      <c r="SEP22" s="99"/>
      <c r="SEQ22" s="99"/>
      <c r="SER22" s="99"/>
      <c r="SES22" s="99"/>
      <c r="SET22" s="99"/>
      <c r="SEU22" s="99"/>
      <c r="SEV22" s="99"/>
      <c r="SEW22" s="99"/>
      <c r="SEX22" s="99"/>
      <c r="SEY22" s="99"/>
      <c r="SEZ22" s="99"/>
      <c r="SFA22" s="99"/>
      <c r="SFB22" s="99"/>
      <c r="SFC22" s="99"/>
      <c r="SFD22" s="99"/>
      <c r="SFE22" s="99"/>
      <c r="SFF22" s="99"/>
      <c r="SFG22" s="99"/>
      <c r="SFH22" s="99"/>
      <c r="SFI22" s="99"/>
      <c r="SFJ22" s="99"/>
      <c r="SFK22" s="99"/>
      <c r="SFL22" s="99"/>
      <c r="SFM22" s="99"/>
      <c r="SFN22" s="99"/>
      <c r="SFO22" s="99"/>
      <c r="SFP22" s="99"/>
      <c r="SFQ22" s="99"/>
      <c r="SFR22" s="99"/>
      <c r="SFS22" s="99"/>
      <c r="SFT22" s="99"/>
      <c r="SFU22" s="99"/>
      <c r="SFV22" s="99"/>
      <c r="SFW22" s="99"/>
      <c r="SFX22" s="99"/>
      <c r="SFY22" s="99"/>
      <c r="SFZ22" s="99"/>
      <c r="SGA22" s="99"/>
      <c r="SGB22" s="99"/>
      <c r="SGC22" s="99"/>
      <c r="SGD22" s="99"/>
      <c r="SGE22" s="99"/>
      <c r="SGF22" s="99"/>
      <c r="SGG22" s="99"/>
      <c r="SGH22" s="99"/>
      <c r="SGI22" s="99"/>
      <c r="SGJ22" s="99"/>
      <c r="SGK22" s="99"/>
      <c r="SGL22" s="99"/>
      <c r="SGM22" s="99"/>
      <c r="SGN22" s="99"/>
      <c r="SGO22" s="99"/>
      <c r="SGP22" s="99"/>
      <c r="SGQ22" s="99"/>
      <c r="SGR22" s="99"/>
      <c r="SGS22" s="99"/>
      <c r="SGT22" s="99"/>
      <c r="SGU22" s="99"/>
      <c r="SGV22" s="99"/>
      <c r="SGW22" s="99"/>
      <c r="SGX22" s="99"/>
      <c r="SGY22" s="99"/>
      <c r="SGZ22" s="99"/>
      <c r="SHA22" s="99"/>
      <c r="SHB22" s="99"/>
      <c r="SHC22" s="99"/>
      <c r="SHD22" s="99"/>
      <c r="SHE22" s="99"/>
      <c r="SHF22" s="99"/>
      <c r="SHG22" s="99"/>
      <c r="SHH22" s="99"/>
      <c r="SHI22" s="99"/>
      <c r="SHJ22" s="99"/>
      <c r="SHK22" s="99"/>
      <c r="SHL22" s="99"/>
      <c r="SHM22" s="99"/>
      <c r="SHN22" s="99"/>
      <c r="SHO22" s="99"/>
      <c r="SHP22" s="99"/>
      <c r="SHQ22" s="99"/>
      <c r="SHR22" s="99"/>
      <c r="SHS22" s="99"/>
      <c r="SHT22" s="99"/>
      <c r="SHU22" s="99"/>
      <c r="SHV22" s="99"/>
      <c r="SHW22" s="99"/>
      <c r="SHX22" s="99"/>
      <c r="SHY22" s="99"/>
      <c r="SHZ22" s="99"/>
      <c r="SIA22" s="99"/>
      <c r="SIB22" s="99"/>
      <c r="SIC22" s="99"/>
      <c r="SID22" s="99"/>
      <c r="SIE22" s="99"/>
      <c r="SIF22" s="99"/>
      <c r="SIG22" s="99"/>
      <c r="SIH22" s="99"/>
      <c r="SII22" s="99"/>
      <c r="SIJ22" s="99"/>
      <c r="SIK22" s="99"/>
      <c r="SIL22" s="99"/>
      <c r="SIM22" s="99"/>
      <c r="SIN22" s="99"/>
      <c r="SIO22" s="99"/>
      <c r="SIP22" s="99"/>
      <c r="SIQ22" s="99"/>
      <c r="SIR22" s="99"/>
      <c r="SIS22" s="99"/>
      <c r="SIT22" s="99"/>
      <c r="SIU22" s="99"/>
      <c r="SIV22" s="99"/>
      <c r="SIW22" s="99"/>
      <c r="SIX22" s="99"/>
      <c r="SIY22" s="99"/>
      <c r="SIZ22" s="99"/>
      <c r="SJA22" s="99"/>
      <c r="SJB22" s="99"/>
      <c r="SJC22" s="99"/>
      <c r="SJD22" s="99"/>
      <c r="SJE22" s="99"/>
      <c r="SJF22" s="99"/>
      <c r="SJG22" s="99"/>
      <c r="SJH22" s="99"/>
      <c r="SJI22" s="99"/>
      <c r="SJJ22" s="99"/>
      <c r="SJK22" s="99"/>
      <c r="SJL22" s="99"/>
      <c r="SJM22" s="99"/>
      <c r="SJN22" s="99"/>
      <c r="SJO22" s="99"/>
      <c r="SJP22" s="99"/>
      <c r="SJQ22" s="99"/>
      <c r="SJR22" s="99"/>
      <c r="SJS22" s="99"/>
      <c r="SJT22" s="99"/>
      <c r="SJU22" s="99"/>
      <c r="SJV22" s="99"/>
      <c r="SJW22" s="99"/>
      <c r="SJX22" s="99"/>
      <c r="SJY22" s="99"/>
      <c r="SJZ22" s="99"/>
      <c r="SKA22" s="99"/>
      <c r="SKB22" s="99"/>
      <c r="SKC22" s="99"/>
      <c r="SKD22" s="99"/>
      <c r="SKE22" s="99"/>
      <c r="SKF22" s="99"/>
      <c r="SKG22" s="99"/>
      <c r="SKH22" s="99"/>
      <c r="SKI22" s="99"/>
      <c r="SKJ22" s="99"/>
      <c r="SKK22" s="99"/>
      <c r="SKL22" s="99"/>
      <c r="SKM22" s="99"/>
      <c r="SKN22" s="99"/>
      <c r="SKO22" s="99"/>
      <c r="SKP22" s="99"/>
      <c r="SKQ22" s="99"/>
      <c r="SKR22" s="99"/>
      <c r="SKS22" s="99"/>
      <c r="SKT22" s="99"/>
      <c r="SKU22" s="99"/>
      <c r="SKV22" s="99"/>
      <c r="SKW22" s="99"/>
      <c r="SKX22" s="99"/>
      <c r="SKY22" s="99"/>
      <c r="SKZ22" s="99"/>
      <c r="SLA22" s="99"/>
      <c r="SLB22" s="99"/>
      <c r="SLC22" s="99"/>
      <c r="SLD22" s="99"/>
      <c r="SLE22" s="99"/>
      <c r="SLF22" s="99"/>
      <c r="SLG22" s="99"/>
      <c r="SLH22" s="99"/>
      <c r="SLI22" s="99"/>
      <c r="SLJ22" s="99"/>
      <c r="SLK22" s="99"/>
      <c r="SLL22" s="99"/>
      <c r="SLM22" s="99"/>
      <c r="SLN22" s="99"/>
      <c r="SLO22" s="99"/>
      <c r="SLP22" s="99"/>
      <c r="SLQ22" s="99"/>
      <c r="SLR22" s="99"/>
      <c r="SLS22" s="99"/>
      <c r="SLT22" s="99"/>
      <c r="SLU22" s="99"/>
      <c r="SLV22" s="99"/>
      <c r="SLW22" s="99"/>
      <c r="SLX22" s="99"/>
      <c r="SLY22" s="99"/>
      <c r="SLZ22" s="99"/>
      <c r="SMA22" s="99"/>
      <c r="SMB22" s="99"/>
      <c r="SMC22" s="99"/>
      <c r="SMD22" s="99"/>
      <c r="SME22" s="99"/>
      <c r="SMF22" s="99"/>
      <c r="SMG22" s="99"/>
      <c r="SMH22" s="99"/>
      <c r="SMI22" s="99"/>
      <c r="SMJ22" s="99"/>
      <c r="SMK22" s="99"/>
      <c r="SML22" s="99"/>
      <c r="SMM22" s="99"/>
      <c r="SMN22" s="99"/>
      <c r="SMO22" s="99"/>
      <c r="SMP22" s="99"/>
      <c r="SMQ22" s="99"/>
      <c r="SMR22" s="99"/>
      <c r="SMS22" s="99"/>
      <c r="SMT22" s="99"/>
      <c r="SMU22" s="99"/>
      <c r="SMV22" s="99"/>
      <c r="SMW22" s="99"/>
      <c r="SMX22" s="99"/>
      <c r="SMY22" s="99"/>
      <c r="SMZ22" s="99"/>
      <c r="SNA22" s="99"/>
      <c r="SNB22" s="99"/>
      <c r="SNC22" s="99"/>
      <c r="SND22" s="99"/>
      <c r="SNE22" s="99"/>
      <c r="SNF22" s="99"/>
      <c r="SNG22" s="99"/>
      <c r="SNH22" s="99"/>
      <c r="SNI22" s="99"/>
      <c r="SNJ22" s="99"/>
      <c r="SNK22" s="99"/>
      <c r="SNL22" s="99"/>
      <c r="SNM22" s="99"/>
      <c r="SNN22" s="99"/>
      <c r="SNO22" s="99"/>
      <c r="SNP22" s="99"/>
      <c r="SNQ22" s="99"/>
      <c r="SNR22" s="99"/>
      <c r="SNS22" s="99"/>
      <c r="SNT22" s="99"/>
      <c r="SNU22" s="99"/>
      <c r="SNV22" s="99"/>
      <c r="SNW22" s="99"/>
      <c r="SNX22" s="99"/>
      <c r="SNY22" s="99"/>
      <c r="SNZ22" s="99"/>
      <c r="SOA22" s="99"/>
      <c r="SOB22" s="99"/>
      <c r="SOC22" s="99"/>
      <c r="SOD22" s="99"/>
      <c r="SOE22" s="99"/>
      <c r="SOF22" s="99"/>
      <c r="SOG22" s="99"/>
      <c r="SOH22" s="99"/>
      <c r="SOI22" s="99"/>
      <c r="SOJ22" s="99"/>
      <c r="SOK22" s="99"/>
      <c r="SOL22" s="99"/>
      <c r="SOM22" s="99"/>
      <c r="SON22" s="99"/>
      <c r="SOO22" s="99"/>
      <c r="SOP22" s="99"/>
      <c r="SOQ22" s="99"/>
      <c r="SOR22" s="99"/>
      <c r="SOS22" s="99"/>
      <c r="SOT22" s="99"/>
      <c r="SOU22" s="99"/>
      <c r="SOV22" s="99"/>
      <c r="SOW22" s="99"/>
      <c r="SOX22" s="99"/>
      <c r="SOY22" s="99"/>
      <c r="SOZ22" s="99"/>
      <c r="SPA22" s="99"/>
      <c r="SPB22" s="99"/>
      <c r="SPC22" s="99"/>
      <c r="SPD22" s="99"/>
      <c r="SPE22" s="99"/>
      <c r="SPF22" s="99"/>
      <c r="SPG22" s="99"/>
      <c r="SPH22" s="99"/>
      <c r="SPI22" s="99"/>
      <c r="SPJ22" s="99"/>
      <c r="SPK22" s="99"/>
      <c r="SPL22" s="99"/>
      <c r="SPM22" s="99"/>
      <c r="SPN22" s="99"/>
      <c r="SPO22" s="99"/>
      <c r="SPP22" s="99"/>
      <c r="SPQ22" s="99"/>
      <c r="SPR22" s="99"/>
      <c r="SPS22" s="99"/>
      <c r="SPT22" s="99"/>
      <c r="SPU22" s="99"/>
      <c r="SPV22" s="99"/>
      <c r="SPW22" s="99"/>
      <c r="SPX22" s="99"/>
      <c r="SPY22" s="99"/>
      <c r="SPZ22" s="99"/>
      <c r="SQA22" s="99"/>
      <c r="SQB22" s="99"/>
      <c r="SQC22" s="99"/>
      <c r="SQD22" s="99"/>
      <c r="SQE22" s="99"/>
      <c r="SQF22" s="99"/>
      <c r="SQG22" s="99"/>
      <c r="SQH22" s="99"/>
      <c r="SQI22" s="99"/>
      <c r="SQJ22" s="99"/>
      <c r="SQK22" s="99"/>
      <c r="SQL22" s="99"/>
      <c r="SQM22" s="99"/>
      <c r="SQN22" s="99"/>
      <c r="SQO22" s="99"/>
      <c r="SQP22" s="99"/>
      <c r="SQQ22" s="99"/>
      <c r="SQR22" s="99"/>
      <c r="SQS22" s="99"/>
      <c r="SQT22" s="99"/>
      <c r="SQU22" s="99"/>
      <c r="SQV22" s="99"/>
      <c r="SQW22" s="99"/>
      <c r="SQX22" s="99"/>
      <c r="SQY22" s="99"/>
      <c r="SQZ22" s="99"/>
      <c r="SRA22" s="99"/>
      <c r="SRB22" s="99"/>
      <c r="SRC22" s="99"/>
      <c r="SRD22" s="99"/>
      <c r="SRE22" s="99"/>
      <c r="SRF22" s="99"/>
      <c r="SRG22" s="99"/>
      <c r="SRH22" s="99"/>
      <c r="SRI22" s="99"/>
      <c r="SRJ22" s="99"/>
      <c r="SRK22" s="99"/>
      <c r="SRL22" s="99"/>
      <c r="SRM22" s="99"/>
      <c r="SRN22" s="99"/>
      <c r="SRO22" s="99"/>
      <c r="SRP22" s="99"/>
      <c r="SRQ22" s="99"/>
      <c r="SRR22" s="99"/>
      <c r="SRS22" s="99"/>
      <c r="SRT22" s="99"/>
      <c r="SRU22" s="99"/>
      <c r="SRV22" s="99"/>
      <c r="SRW22" s="99"/>
      <c r="SRX22" s="99"/>
      <c r="SRY22" s="99"/>
      <c r="SRZ22" s="99"/>
      <c r="SSA22" s="99"/>
      <c r="SSB22" s="99"/>
      <c r="SSC22" s="99"/>
      <c r="SSD22" s="99"/>
      <c r="SSE22" s="99"/>
      <c r="SSF22" s="99"/>
      <c r="SSG22" s="99"/>
      <c r="SSH22" s="99"/>
      <c r="SSI22" s="99"/>
      <c r="SSJ22" s="99"/>
      <c r="SSK22" s="99"/>
      <c r="SSL22" s="99"/>
      <c r="SSM22" s="99"/>
      <c r="SSN22" s="99"/>
      <c r="SSO22" s="99"/>
      <c r="SSP22" s="99"/>
      <c r="SSQ22" s="99"/>
      <c r="SSR22" s="99"/>
      <c r="SSS22" s="99"/>
      <c r="SST22" s="99"/>
      <c r="SSU22" s="99"/>
      <c r="SSV22" s="99"/>
      <c r="SSW22" s="99"/>
      <c r="SSX22" s="99"/>
      <c r="SSY22" s="99"/>
      <c r="SSZ22" s="99"/>
      <c r="STA22" s="99"/>
      <c r="STB22" s="99"/>
      <c r="STC22" s="99"/>
      <c r="STD22" s="99"/>
      <c r="STE22" s="99"/>
      <c r="STF22" s="99"/>
      <c r="STG22" s="99"/>
      <c r="STH22" s="99"/>
      <c r="STI22" s="99"/>
      <c r="STJ22" s="99"/>
      <c r="STK22" s="99"/>
      <c r="STL22" s="99"/>
      <c r="STM22" s="99"/>
      <c r="STN22" s="99"/>
      <c r="STO22" s="99"/>
      <c r="STP22" s="99"/>
      <c r="STQ22" s="99"/>
      <c r="STR22" s="99"/>
      <c r="STS22" s="99"/>
      <c r="STT22" s="99"/>
      <c r="STU22" s="99"/>
      <c r="STV22" s="99"/>
      <c r="STW22" s="99"/>
      <c r="STX22" s="99"/>
      <c r="STY22" s="99"/>
      <c r="STZ22" s="99"/>
      <c r="SUA22" s="99"/>
      <c r="SUB22" s="99"/>
      <c r="SUC22" s="99"/>
      <c r="SUD22" s="99"/>
      <c r="SUE22" s="99"/>
      <c r="SUF22" s="99"/>
      <c r="SUG22" s="99"/>
      <c r="SUH22" s="99"/>
      <c r="SUI22" s="99"/>
      <c r="SUJ22" s="99"/>
      <c r="SUK22" s="99"/>
      <c r="SUL22" s="99"/>
      <c r="SUM22" s="99"/>
      <c r="SUN22" s="99"/>
      <c r="SUO22" s="99"/>
      <c r="SUP22" s="99"/>
      <c r="SUQ22" s="99"/>
      <c r="SUR22" s="99"/>
      <c r="SUS22" s="99"/>
      <c r="SUT22" s="99"/>
      <c r="SUU22" s="99"/>
      <c r="SUV22" s="99"/>
      <c r="SUW22" s="99"/>
      <c r="SUX22" s="99"/>
      <c r="SUY22" s="99"/>
      <c r="SUZ22" s="99"/>
      <c r="SVA22" s="99"/>
      <c r="SVB22" s="99"/>
      <c r="SVC22" s="99"/>
      <c r="SVD22" s="99"/>
      <c r="SVE22" s="99"/>
      <c r="SVF22" s="99"/>
      <c r="SVG22" s="99"/>
      <c r="SVH22" s="99"/>
      <c r="SVI22" s="99"/>
      <c r="SVJ22" s="99"/>
      <c r="SVK22" s="99"/>
      <c r="SVL22" s="99"/>
      <c r="SVM22" s="99"/>
      <c r="SVN22" s="99"/>
      <c r="SVO22" s="99"/>
      <c r="SVP22" s="99"/>
      <c r="SVQ22" s="99"/>
      <c r="SVR22" s="99"/>
      <c r="SVS22" s="99"/>
      <c r="SVT22" s="99"/>
      <c r="SVU22" s="99"/>
      <c r="SVV22" s="99"/>
      <c r="SVW22" s="99"/>
      <c r="SVX22" s="99"/>
      <c r="SVY22" s="99"/>
      <c r="SVZ22" s="99"/>
      <c r="SWA22" s="99"/>
      <c r="SWB22" s="99"/>
      <c r="SWC22" s="99"/>
      <c r="SWD22" s="99"/>
      <c r="SWE22" s="99"/>
      <c r="SWF22" s="99"/>
      <c r="SWG22" s="99"/>
      <c r="SWH22" s="99"/>
      <c r="SWI22" s="99"/>
      <c r="SWJ22" s="99"/>
      <c r="SWK22" s="99"/>
      <c r="SWL22" s="99"/>
      <c r="SWM22" s="99"/>
      <c r="SWN22" s="99"/>
      <c r="SWO22" s="99"/>
      <c r="SWP22" s="99"/>
      <c r="SWQ22" s="99"/>
      <c r="SWR22" s="99"/>
      <c r="SWS22" s="99"/>
      <c r="SWT22" s="99"/>
      <c r="SWU22" s="99"/>
      <c r="SWV22" s="99"/>
      <c r="SWW22" s="99"/>
      <c r="SWX22" s="99"/>
      <c r="SWY22" s="99"/>
      <c r="SWZ22" s="99"/>
      <c r="SXA22" s="99"/>
      <c r="SXB22" s="99"/>
      <c r="SXC22" s="99"/>
      <c r="SXD22" s="99"/>
      <c r="SXE22" s="99"/>
      <c r="SXF22" s="99"/>
      <c r="SXG22" s="99"/>
      <c r="SXH22" s="99"/>
      <c r="SXI22" s="99"/>
      <c r="SXJ22" s="99"/>
      <c r="SXK22" s="99"/>
      <c r="SXL22" s="99"/>
      <c r="SXM22" s="99"/>
      <c r="SXN22" s="99"/>
      <c r="SXO22" s="99"/>
      <c r="SXP22" s="99"/>
      <c r="SXQ22" s="99"/>
      <c r="SXR22" s="99"/>
      <c r="SXS22" s="99"/>
      <c r="SXT22" s="99"/>
      <c r="SXU22" s="99"/>
      <c r="SXV22" s="99"/>
      <c r="SXW22" s="99"/>
      <c r="SXX22" s="99"/>
      <c r="SXY22" s="99"/>
      <c r="SXZ22" s="99"/>
      <c r="SYA22" s="99"/>
      <c r="SYB22" s="99"/>
      <c r="SYC22" s="99"/>
      <c r="SYD22" s="99"/>
      <c r="SYE22" s="99"/>
      <c r="SYF22" s="99"/>
      <c r="SYG22" s="99"/>
      <c r="SYH22" s="99"/>
      <c r="SYI22" s="99"/>
      <c r="SYJ22" s="99"/>
      <c r="SYK22" s="99"/>
      <c r="SYL22" s="99"/>
      <c r="SYM22" s="99"/>
      <c r="SYN22" s="99"/>
      <c r="SYO22" s="99"/>
      <c r="SYP22" s="99"/>
      <c r="SYQ22" s="99"/>
      <c r="SYR22" s="99"/>
      <c r="SYS22" s="99"/>
      <c r="SYT22" s="99"/>
      <c r="SYU22" s="99"/>
      <c r="SYV22" s="99"/>
      <c r="SYW22" s="99"/>
      <c r="SYX22" s="99"/>
      <c r="SYY22" s="99"/>
      <c r="SYZ22" s="99"/>
      <c r="SZA22" s="99"/>
      <c r="SZB22" s="99"/>
      <c r="SZC22" s="99"/>
      <c r="SZD22" s="99"/>
      <c r="SZE22" s="99"/>
      <c r="SZF22" s="99"/>
      <c r="SZG22" s="99"/>
      <c r="SZH22" s="99"/>
      <c r="SZI22" s="99"/>
      <c r="SZJ22" s="99"/>
      <c r="SZK22" s="99"/>
      <c r="SZL22" s="99"/>
      <c r="SZM22" s="99"/>
      <c r="SZN22" s="99"/>
      <c r="SZO22" s="99"/>
      <c r="SZP22" s="99"/>
      <c r="SZQ22" s="99"/>
      <c r="SZR22" s="99"/>
      <c r="SZS22" s="99"/>
      <c r="SZT22" s="99"/>
      <c r="SZU22" s="99"/>
      <c r="SZV22" s="99"/>
      <c r="SZW22" s="99"/>
      <c r="SZX22" s="99"/>
      <c r="SZY22" s="99"/>
      <c r="SZZ22" s="99"/>
      <c r="TAA22" s="99"/>
      <c r="TAB22" s="99"/>
      <c r="TAC22" s="99"/>
      <c r="TAD22" s="99"/>
      <c r="TAE22" s="99"/>
      <c r="TAF22" s="99"/>
      <c r="TAG22" s="99"/>
      <c r="TAH22" s="99"/>
      <c r="TAI22" s="99"/>
      <c r="TAJ22" s="99"/>
      <c r="TAK22" s="99"/>
      <c r="TAL22" s="99"/>
      <c r="TAM22" s="99"/>
      <c r="TAN22" s="99"/>
      <c r="TAO22" s="99"/>
      <c r="TAP22" s="99"/>
      <c r="TAQ22" s="99"/>
      <c r="TAR22" s="99"/>
      <c r="TAS22" s="99"/>
      <c r="TAT22" s="99"/>
      <c r="TAU22" s="99"/>
      <c r="TAV22" s="99"/>
      <c r="TAW22" s="99"/>
      <c r="TAX22" s="99"/>
      <c r="TAY22" s="99"/>
      <c r="TAZ22" s="99"/>
      <c r="TBA22" s="99"/>
      <c r="TBB22" s="99"/>
      <c r="TBC22" s="99"/>
      <c r="TBD22" s="99"/>
      <c r="TBE22" s="99"/>
      <c r="TBF22" s="99"/>
      <c r="TBG22" s="99"/>
      <c r="TBH22" s="99"/>
      <c r="TBI22" s="99"/>
      <c r="TBJ22" s="99"/>
      <c r="TBK22" s="99"/>
      <c r="TBL22" s="99"/>
      <c r="TBM22" s="99"/>
      <c r="TBN22" s="99"/>
      <c r="TBO22" s="99"/>
      <c r="TBP22" s="99"/>
      <c r="TBQ22" s="99"/>
      <c r="TBR22" s="99"/>
      <c r="TBS22" s="99"/>
      <c r="TBT22" s="99"/>
      <c r="TBU22" s="99"/>
      <c r="TBV22" s="99"/>
      <c r="TBW22" s="99"/>
      <c r="TBX22" s="99"/>
      <c r="TBY22" s="99"/>
      <c r="TBZ22" s="99"/>
      <c r="TCA22" s="99"/>
      <c r="TCB22" s="99"/>
      <c r="TCC22" s="99"/>
      <c r="TCD22" s="99"/>
      <c r="TCE22" s="99"/>
      <c r="TCF22" s="99"/>
      <c r="TCG22" s="99"/>
      <c r="TCH22" s="99"/>
      <c r="TCI22" s="99"/>
      <c r="TCJ22" s="99"/>
      <c r="TCK22" s="99"/>
      <c r="TCL22" s="99"/>
      <c r="TCM22" s="99"/>
      <c r="TCN22" s="99"/>
      <c r="TCO22" s="99"/>
      <c r="TCP22" s="99"/>
      <c r="TCQ22" s="99"/>
      <c r="TCR22" s="99"/>
      <c r="TCS22" s="99"/>
      <c r="TCT22" s="99"/>
      <c r="TCU22" s="99"/>
      <c r="TCV22" s="99"/>
      <c r="TCW22" s="99"/>
      <c r="TCX22" s="99"/>
      <c r="TCY22" s="99"/>
      <c r="TCZ22" s="99"/>
      <c r="TDA22" s="99"/>
      <c r="TDB22" s="99"/>
      <c r="TDC22" s="99"/>
      <c r="TDD22" s="99"/>
      <c r="TDE22" s="99"/>
      <c r="TDF22" s="99"/>
      <c r="TDG22" s="99"/>
      <c r="TDH22" s="99"/>
      <c r="TDI22" s="99"/>
      <c r="TDJ22" s="99"/>
      <c r="TDK22" s="99"/>
      <c r="TDL22" s="99"/>
      <c r="TDM22" s="99"/>
      <c r="TDN22" s="99"/>
      <c r="TDO22" s="99"/>
      <c r="TDP22" s="99"/>
      <c r="TDQ22" s="99"/>
      <c r="TDR22" s="99"/>
      <c r="TDS22" s="99"/>
      <c r="TDT22" s="99"/>
      <c r="TDU22" s="99"/>
      <c r="TDV22" s="99"/>
      <c r="TDW22" s="99"/>
      <c r="TDX22" s="99"/>
      <c r="TDY22" s="99"/>
      <c r="TDZ22" s="99"/>
      <c r="TEA22" s="99"/>
      <c r="TEB22" s="99"/>
      <c r="TEC22" s="99"/>
      <c r="TED22" s="99"/>
      <c r="TEE22" s="99"/>
      <c r="TEF22" s="99"/>
      <c r="TEG22" s="99"/>
      <c r="TEH22" s="99"/>
      <c r="TEI22" s="99"/>
      <c r="TEJ22" s="99"/>
      <c r="TEK22" s="99"/>
      <c r="TEL22" s="99"/>
      <c r="TEM22" s="99"/>
      <c r="TEN22" s="99"/>
      <c r="TEO22" s="99"/>
      <c r="TEP22" s="99"/>
      <c r="TEQ22" s="99"/>
      <c r="TER22" s="99"/>
      <c r="TES22" s="99"/>
      <c r="TET22" s="99"/>
      <c r="TEU22" s="99"/>
      <c r="TEV22" s="99"/>
      <c r="TEW22" s="99"/>
      <c r="TEX22" s="99"/>
      <c r="TEY22" s="99"/>
      <c r="TEZ22" s="99"/>
      <c r="TFA22" s="99"/>
      <c r="TFB22" s="99"/>
      <c r="TFC22" s="99"/>
      <c r="TFD22" s="99"/>
      <c r="TFE22" s="99"/>
      <c r="TFF22" s="99"/>
      <c r="TFG22" s="99"/>
      <c r="TFH22" s="99"/>
      <c r="TFI22" s="99"/>
      <c r="TFJ22" s="99"/>
      <c r="TFK22" s="99"/>
      <c r="TFL22" s="99"/>
      <c r="TFM22" s="99"/>
      <c r="TFN22" s="99"/>
      <c r="TFO22" s="99"/>
      <c r="TFP22" s="99"/>
      <c r="TFQ22" s="99"/>
      <c r="TFR22" s="99"/>
      <c r="TFS22" s="99"/>
      <c r="TFT22" s="99"/>
      <c r="TFU22" s="99"/>
      <c r="TFV22" s="99"/>
      <c r="TFW22" s="99"/>
      <c r="TFX22" s="99"/>
      <c r="TFY22" s="99"/>
      <c r="TFZ22" s="99"/>
      <c r="TGA22" s="99"/>
      <c r="TGB22" s="99"/>
      <c r="TGC22" s="99"/>
      <c r="TGD22" s="99"/>
      <c r="TGE22" s="99"/>
      <c r="TGF22" s="99"/>
      <c r="TGG22" s="99"/>
      <c r="TGH22" s="99"/>
      <c r="TGI22" s="99"/>
      <c r="TGJ22" s="99"/>
      <c r="TGK22" s="99"/>
      <c r="TGL22" s="99"/>
      <c r="TGM22" s="99"/>
      <c r="TGN22" s="99"/>
      <c r="TGO22" s="99"/>
      <c r="TGP22" s="99"/>
      <c r="TGQ22" s="99"/>
      <c r="TGR22" s="99"/>
      <c r="TGS22" s="99"/>
      <c r="TGT22" s="99"/>
      <c r="TGU22" s="99"/>
      <c r="TGV22" s="99"/>
      <c r="TGW22" s="99"/>
      <c r="TGX22" s="99"/>
      <c r="TGY22" s="99"/>
      <c r="TGZ22" s="99"/>
      <c r="THA22" s="99"/>
      <c r="THB22" s="99"/>
      <c r="THC22" s="99"/>
      <c r="THD22" s="99"/>
      <c r="THE22" s="99"/>
      <c r="THF22" s="99"/>
      <c r="THG22" s="99"/>
      <c r="THH22" s="99"/>
      <c r="THI22" s="99"/>
      <c r="THJ22" s="99"/>
      <c r="THK22" s="99"/>
      <c r="THL22" s="99"/>
      <c r="THM22" s="99"/>
      <c r="THN22" s="99"/>
      <c r="THO22" s="99"/>
      <c r="THP22" s="99"/>
      <c r="THQ22" s="99"/>
      <c r="THR22" s="99"/>
      <c r="THS22" s="99"/>
      <c r="THT22" s="99"/>
      <c r="THU22" s="99"/>
      <c r="THV22" s="99"/>
      <c r="THW22" s="99"/>
      <c r="THX22" s="99"/>
      <c r="THY22" s="99"/>
      <c r="THZ22" s="99"/>
      <c r="TIA22" s="99"/>
      <c r="TIB22" s="99"/>
      <c r="TIC22" s="99"/>
      <c r="TID22" s="99"/>
      <c r="TIE22" s="99"/>
      <c r="TIF22" s="99"/>
      <c r="TIG22" s="99"/>
      <c r="TIH22" s="99"/>
      <c r="TII22" s="99"/>
      <c r="TIJ22" s="99"/>
      <c r="TIK22" s="99"/>
      <c r="TIL22" s="99"/>
      <c r="TIM22" s="99"/>
      <c r="TIN22" s="99"/>
      <c r="TIO22" s="99"/>
      <c r="TIP22" s="99"/>
      <c r="TIQ22" s="99"/>
      <c r="TIR22" s="99"/>
      <c r="TIS22" s="99"/>
      <c r="TIT22" s="99"/>
      <c r="TIU22" s="99"/>
      <c r="TIV22" s="99"/>
      <c r="TIW22" s="99"/>
      <c r="TIX22" s="99"/>
      <c r="TIY22" s="99"/>
      <c r="TIZ22" s="99"/>
      <c r="TJA22" s="99"/>
      <c r="TJB22" s="99"/>
      <c r="TJC22" s="99"/>
      <c r="TJD22" s="99"/>
      <c r="TJE22" s="99"/>
      <c r="TJF22" s="99"/>
      <c r="TJG22" s="99"/>
      <c r="TJH22" s="99"/>
      <c r="TJI22" s="99"/>
      <c r="TJJ22" s="99"/>
      <c r="TJK22" s="99"/>
      <c r="TJL22" s="99"/>
      <c r="TJM22" s="99"/>
      <c r="TJN22" s="99"/>
      <c r="TJO22" s="99"/>
      <c r="TJP22" s="99"/>
      <c r="TJQ22" s="99"/>
      <c r="TJR22" s="99"/>
      <c r="TJS22" s="99"/>
      <c r="TJT22" s="99"/>
      <c r="TJU22" s="99"/>
      <c r="TJV22" s="99"/>
      <c r="TJW22" s="99"/>
      <c r="TJX22" s="99"/>
      <c r="TJY22" s="99"/>
      <c r="TJZ22" s="99"/>
      <c r="TKA22" s="99"/>
      <c r="TKB22" s="99"/>
      <c r="TKC22" s="99"/>
      <c r="TKD22" s="99"/>
      <c r="TKE22" s="99"/>
      <c r="TKF22" s="99"/>
      <c r="TKG22" s="99"/>
      <c r="TKH22" s="99"/>
      <c r="TKI22" s="99"/>
      <c r="TKJ22" s="99"/>
      <c r="TKK22" s="99"/>
      <c r="TKL22" s="99"/>
      <c r="TKM22" s="99"/>
      <c r="TKN22" s="99"/>
      <c r="TKO22" s="99"/>
      <c r="TKP22" s="99"/>
      <c r="TKQ22" s="99"/>
      <c r="TKR22" s="99"/>
      <c r="TKS22" s="99"/>
      <c r="TKT22" s="99"/>
      <c r="TKU22" s="99"/>
      <c r="TKV22" s="99"/>
      <c r="TKW22" s="99"/>
      <c r="TKX22" s="99"/>
      <c r="TKY22" s="99"/>
      <c r="TKZ22" s="99"/>
      <c r="TLA22" s="99"/>
      <c r="TLB22" s="99"/>
      <c r="TLC22" s="99"/>
      <c r="TLD22" s="99"/>
      <c r="TLE22" s="99"/>
      <c r="TLF22" s="99"/>
      <c r="TLG22" s="99"/>
      <c r="TLH22" s="99"/>
      <c r="TLI22" s="99"/>
      <c r="TLJ22" s="99"/>
      <c r="TLK22" s="99"/>
      <c r="TLL22" s="99"/>
      <c r="TLM22" s="99"/>
      <c r="TLN22" s="99"/>
      <c r="TLO22" s="99"/>
      <c r="TLP22" s="99"/>
      <c r="TLQ22" s="99"/>
      <c r="TLR22" s="99"/>
      <c r="TLS22" s="99"/>
      <c r="TLT22" s="99"/>
      <c r="TLU22" s="99"/>
      <c r="TLV22" s="99"/>
      <c r="TLW22" s="99"/>
      <c r="TLX22" s="99"/>
      <c r="TLY22" s="99"/>
      <c r="TLZ22" s="99"/>
      <c r="TMA22" s="99"/>
      <c r="TMB22" s="99"/>
      <c r="TMC22" s="99"/>
      <c r="TMD22" s="99"/>
      <c r="TME22" s="99"/>
      <c r="TMF22" s="99"/>
      <c r="TMG22" s="99"/>
      <c r="TMH22" s="99"/>
      <c r="TMI22" s="99"/>
      <c r="TMJ22" s="99"/>
      <c r="TMK22" s="99"/>
      <c r="TML22" s="99"/>
      <c r="TMM22" s="99"/>
      <c r="TMN22" s="99"/>
      <c r="TMO22" s="99"/>
      <c r="TMP22" s="99"/>
      <c r="TMQ22" s="99"/>
      <c r="TMR22" s="99"/>
      <c r="TMS22" s="99"/>
      <c r="TMT22" s="99"/>
      <c r="TMU22" s="99"/>
      <c r="TMV22" s="99"/>
      <c r="TMW22" s="99"/>
      <c r="TMX22" s="99"/>
      <c r="TMY22" s="99"/>
      <c r="TMZ22" s="99"/>
      <c r="TNA22" s="99"/>
      <c r="TNB22" s="99"/>
      <c r="TNC22" s="99"/>
      <c r="TND22" s="99"/>
      <c r="TNE22" s="99"/>
      <c r="TNF22" s="99"/>
      <c r="TNG22" s="99"/>
      <c r="TNH22" s="99"/>
      <c r="TNI22" s="99"/>
      <c r="TNJ22" s="99"/>
      <c r="TNK22" s="99"/>
      <c r="TNL22" s="99"/>
      <c r="TNM22" s="99"/>
      <c r="TNN22" s="99"/>
      <c r="TNO22" s="99"/>
      <c r="TNP22" s="99"/>
      <c r="TNQ22" s="99"/>
      <c r="TNR22" s="99"/>
      <c r="TNS22" s="99"/>
      <c r="TNT22" s="99"/>
      <c r="TNU22" s="99"/>
      <c r="TNV22" s="99"/>
      <c r="TNW22" s="99"/>
      <c r="TNX22" s="99"/>
      <c r="TNY22" s="99"/>
      <c r="TNZ22" s="99"/>
      <c r="TOA22" s="99"/>
      <c r="TOB22" s="99"/>
      <c r="TOC22" s="99"/>
      <c r="TOD22" s="99"/>
      <c r="TOE22" s="99"/>
      <c r="TOF22" s="99"/>
      <c r="TOG22" s="99"/>
      <c r="TOH22" s="99"/>
      <c r="TOI22" s="99"/>
      <c r="TOJ22" s="99"/>
      <c r="TOK22" s="99"/>
      <c r="TOL22" s="99"/>
      <c r="TOM22" s="99"/>
      <c r="TON22" s="99"/>
      <c r="TOO22" s="99"/>
      <c r="TOP22" s="99"/>
      <c r="TOQ22" s="99"/>
      <c r="TOR22" s="99"/>
      <c r="TOS22" s="99"/>
      <c r="TOT22" s="99"/>
      <c r="TOU22" s="99"/>
      <c r="TOV22" s="99"/>
      <c r="TOW22" s="99"/>
      <c r="TOX22" s="99"/>
      <c r="TOY22" s="99"/>
      <c r="TOZ22" s="99"/>
      <c r="TPA22" s="99"/>
      <c r="TPB22" s="99"/>
      <c r="TPC22" s="99"/>
      <c r="TPD22" s="99"/>
      <c r="TPE22" s="99"/>
      <c r="TPF22" s="99"/>
      <c r="TPG22" s="99"/>
      <c r="TPH22" s="99"/>
      <c r="TPI22" s="99"/>
      <c r="TPJ22" s="99"/>
      <c r="TPK22" s="99"/>
      <c r="TPL22" s="99"/>
      <c r="TPM22" s="99"/>
      <c r="TPN22" s="99"/>
      <c r="TPO22" s="99"/>
      <c r="TPP22" s="99"/>
      <c r="TPQ22" s="99"/>
      <c r="TPR22" s="99"/>
      <c r="TPS22" s="99"/>
      <c r="TPT22" s="99"/>
      <c r="TPU22" s="99"/>
      <c r="TPV22" s="99"/>
      <c r="TPW22" s="99"/>
      <c r="TPX22" s="99"/>
      <c r="TPY22" s="99"/>
      <c r="TPZ22" s="99"/>
      <c r="TQA22" s="99"/>
      <c r="TQB22" s="99"/>
      <c r="TQC22" s="99"/>
      <c r="TQD22" s="99"/>
      <c r="TQE22" s="99"/>
      <c r="TQF22" s="99"/>
      <c r="TQG22" s="99"/>
      <c r="TQH22" s="99"/>
      <c r="TQI22" s="99"/>
      <c r="TQJ22" s="99"/>
      <c r="TQK22" s="99"/>
      <c r="TQL22" s="99"/>
      <c r="TQM22" s="99"/>
      <c r="TQN22" s="99"/>
      <c r="TQO22" s="99"/>
      <c r="TQP22" s="99"/>
      <c r="TQQ22" s="99"/>
      <c r="TQR22" s="99"/>
      <c r="TQS22" s="99"/>
      <c r="TQT22" s="99"/>
      <c r="TQU22" s="99"/>
      <c r="TQV22" s="99"/>
      <c r="TQW22" s="99"/>
      <c r="TQX22" s="99"/>
      <c r="TQY22" s="99"/>
      <c r="TQZ22" s="99"/>
      <c r="TRA22" s="99"/>
      <c r="TRB22" s="99"/>
      <c r="TRC22" s="99"/>
      <c r="TRD22" s="99"/>
      <c r="TRE22" s="99"/>
      <c r="TRF22" s="99"/>
      <c r="TRG22" s="99"/>
      <c r="TRH22" s="99"/>
      <c r="TRI22" s="99"/>
      <c r="TRJ22" s="99"/>
      <c r="TRK22" s="99"/>
      <c r="TRL22" s="99"/>
      <c r="TRM22" s="99"/>
      <c r="TRN22" s="99"/>
      <c r="TRO22" s="99"/>
      <c r="TRP22" s="99"/>
      <c r="TRQ22" s="99"/>
      <c r="TRR22" s="99"/>
      <c r="TRS22" s="99"/>
      <c r="TRT22" s="99"/>
      <c r="TRU22" s="99"/>
      <c r="TRV22" s="99"/>
      <c r="TRW22" s="99"/>
      <c r="TRX22" s="99"/>
      <c r="TRY22" s="99"/>
      <c r="TRZ22" s="99"/>
      <c r="TSA22" s="99"/>
      <c r="TSB22" s="99"/>
      <c r="TSC22" s="99"/>
      <c r="TSD22" s="99"/>
      <c r="TSE22" s="99"/>
      <c r="TSF22" s="99"/>
      <c r="TSG22" s="99"/>
      <c r="TSH22" s="99"/>
      <c r="TSI22" s="99"/>
      <c r="TSJ22" s="99"/>
      <c r="TSK22" s="99"/>
      <c r="TSL22" s="99"/>
      <c r="TSM22" s="99"/>
      <c r="TSN22" s="99"/>
      <c r="TSO22" s="99"/>
      <c r="TSP22" s="99"/>
      <c r="TSQ22" s="99"/>
      <c r="TSR22" s="99"/>
      <c r="TSS22" s="99"/>
      <c r="TST22" s="99"/>
      <c r="TSU22" s="99"/>
      <c r="TSV22" s="99"/>
      <c r="TSW22" s="99"/>
      <c r="TSX22" s="99"/>
      <c r="TSY22" s="99"/>
      <c r="TSZ22" s="99"/>
      <c r="TTA22" s="99"/>
      <c r="TTB22" s="99"/>
      <c r="TTC22" s="99"/>
      <c r="TTD22" s="99"/>
      <c r="TTE22" s="99"/>
      <c r="TTF22" s="99"/>
      <c r="TTG22" s="99"/>
      <c r="TTH22" s="99"/>
      <c r="TTI22" s="99"/>
      <c r="TTJ22" s="99"/>
      <c r="TTK22" s="99"/>
      <c r="TTL22" s="99"/>
      <c r="TTM22" s="99"/>
      <c r="TTN22" s="99"/>
      <c r="TTO22" s="99"/>
      <c r="TTP22" s="99"/>
      <c r="TTQ22" s="99"/>
      <c r="TTR22" s="99"/>
      <c r="TTS22" s="99"/>
      <c r="TTT22" s="99"/>
      <c r="TTU22" s="99"/>
      <c r="TTV22" s="99"/>
      <c r="TTW22" s="99"/>
      <c r="TTX22" s="99"/>
      <c r="TTY22" s="99"/>
      <c r="TTZ22" s="99"/>
      <c r="TUA22" s="99"/>
      <c r="TUB22" s="99"/>
      <c r="TUC22" s="99"/>
      <c r="TUD22" s="99"/>
      <c r="TUE22" s="99"/>
      <c r="TUF22" s="99"/>
      <c r="TUG22" s="99"/>
      <c r="TUH22" s="99"/>
      <c r="TUI22" s="99"/>
      <c r="TUJ22" s="99"/>
      <c r="TUK22" s="99"/>
      <c r="TUL22" s="99"/>
      <c r="TUM22" s="99"/>
      <c r="TUN22" s="99"/>
      <c r="TUO22" s="99"/>
      <c r="TUP22" s="99"/>
      <c r="TUQ22" s="99"/>
      <c r="TUR22" s="99"/>
      <c r="TUS22" s="99"/>
      <c r="TUT22" s="99"/>
      <c r="TUU22" s="99"/>
      <c r="TUV22" s="99"/>
      <c r="TUW22" s="99"/>
      <c r="TUX22" s="99"/>
      <c r="TUY22" s="99"/>
      <c r="TUZ22" s="99"/>
      <c r="TVA22" s="99"/>
      <c r="TVB22" s="99"/>
      <c r="TVC22" s="99"/>
      <c r="TVD22" s="99"/>
      <c r="TVE22" s="99"/>
      <c r="TVF22" s="99"/>
      <c r="TVG22" s="99"/>
      <c r="TVH22" s="99"/>
      <c r="TVI22" s="99"/>
      <c r="TVJ22" s="99"/>
      <c r="TVK22" s="99"/>
      <c r="TVL22" s="99"/>
      <c r="TVM22" s="99"/>
      <c r="TVN22" s="99"/>
      <c r="TVO22" s="99"/>
      <c r="TVP22" s="99"/>
      <c r="TVQ22" s="99"/>
      <c r="TVR22" s="99"/>
      <c r="TVS22" s="99"/>
      <c r="TVT22" s="99"/>
      <c r="TVU22" s="99"/>
      <c r="TVV22" s="99"/>
      <c r="TVW22" s="99"/>
      <c r="TVX22" s="99"/>
      <c r="TVY22" s="99"/>
      <c r="TVZ22" s="99"/>
      <c r="TWA22" s="99"/>
      <c r="TWB22" s="99"/>
      <c r="TWC22" s="99"/>
      <c r="TWD22" s="99"/>
      <c r="TWE22" s="99"/>
      <c r="TWF22" s="99"/>
      <c r="TWG22" s="99"/>
      <c r="TWH22" s="99"/>
      <c r="TWI22" s="99"/>
      <c r="TWJ22" s="99"/>
      <c r="TWK22" s="99"/>
      <c r="TWL22" s="99"/>
      <c r="TWM22" s="99"/>
      <c r="TWN22" s="99"/>
      <c r="TWO22" s="99"/>
      <c r="TWP22" s="99"/>
      <c r="TWQ22" s="99"/>
      <c r="TWR22" s="99"/>
      <c r="TWS22" s="99"/>
      <c r="TWT22" s="99"/>
      <c r="TWU22" s="99"/>
      <c r="TWV22" s="99"/>
      <c r="TWW22" s="99"/>
      <c r="TWX22" s="99"/>
      <c r="TWY22" s="99"/>
      <c r="TWZ22" s="99"/>
      <c r="TXA22" s="99"/>
      <c r="TXB22" s="99"/>
      <c r="TXC22" s="99"/>
      <c r="TXD22" s="99"/>
      <c r="TXE22" s="99"/>
      <c r="TXF22" s="99"/>
      <c r="TXG22" s="99"/>
      <c r="TXH22" s="99"/>
      <c r="TXI22" s="99"/>
      <c r="TXJ22" s="99"/>
      <c r="TXK22" s="99"/>
      <c r="TXL22" s="99"/>
      <c r="TXM22" s="99"/>
      <c r="TXN22" s="99"/>
      <c r="TXO22" s="99"/>
      <c r="TXP22" s="99"/>
      <c r="TXQ22" s="99"/>
      <c r="TXR22" s="99"/>
      <c r="TXS22" s="99"/>
      <c r="TXT22" s="99"/>
      <c r="TXU22" s="99"/>
      <c r="TXV22" s="99"/>
      <c r="TXW22" s="99"/>
      <c r="TXX22" s="99"/>
      <c r="TXY22" s="99"/>
      <c r="TXZ22" s="99"/>
      <c r="TYA22" s="99"/>
      <c r="TYB22" s="99"/>
      <c r="TYC22" s="99"/>
      <c r="TYD22" s="99"/>
      <c r="TYE22" s="99"/>
      <c r="TYF22" s="99"/>
      <c r="TYG22" s="99"/>
      <c r="TYH22" s="99"/>
      <c r="TYI22" s="99"/>
      <c r="TYJ22" s="99"/>
      <c r="TYK22" s="99"/>
      <c r="TYL22" s="99"/>
      <c r="TYM22" s="99"/>
      <c r="TYN22" s="99"/>
      <c r="TYO22" s="99"/>
      <c r="TYP22" s="99"/>
      <c r="TYQ22" s="99"/>
      <c r="TYR22" s="99"/>
      <c r="TYS22" s="99"/>
      <c r="TYT22" s="99"/>
      <c r="TYU22" s="99"/>
      <c r="TYV22" s="99"/>
      <c r="TYW22" s="99"/>
      <c r="TYX22" s="99"/>
      <c r="TYY22" s="99"/>
      <c r="TYZ22" s="99"/>
      <c r="TZA22" s="99"/>
      <c r="TZB22" s="99"/>
      <c r="TZC22" s="99"/>
      <c r="TZD22" s="99"/>
      <c r="TZE22" s="99"/>
      <c r="TZF22" s="99"/>
      <c r="TZG22" s="99"/>
      <c r="TZH22" s="99"/>
      <c r="TZI22" s="99"/>
      <c r="TZJ22" s="99"/>
      <c r="TZK22" s="99"/>
      <c r="TZL22" s="99"/>
      <c r="TZM22" s="99"/>
      <c r="TZN22" s="99"/>
      <c r="TZO22" s="99"/>
      <c r="TZP22" s="99"/>
      <c r="TZQ22" s="99"/>
      <c r="TZR22" s="99"/>
      <c r="TZS22" s="99"/>
      <c r="TZT22" s="99"/>
      <c r="TZU22" s="99"/>
      <c r="TZV22" s="99"/>
      <c r="TZW22" s="99"/>
      <c r="TZX22" s="99"/>
      <c r="TZY22" s="99"/>
      <c r="TZZ22" s="99"/>
      <c r="UAA22" s="99"/>
      <c r="UAB22" s="99"/>
      <c r="UAC22" s="99"/>
      <c r="UAD22" s="99"/>
      <c r="UAE22" s="99"/>
      <c r="UAF22" s="99"/>
      <c r="UAG22" s="99"/>
      <c r="UAH22" s="99"/>
      <c r="UAI22" s="99"/>
      <c r="UAJ22" s="99"/>
      <c r="UAK22" s="99"/>
      <c r="UAL22" s="99"/>
      <c r="UAM22" s="99"/>
      <c r="UAN22" s="99"/>
      <c r="UAO22" s="99"/>
      <c r="UAP22" s="99"/>
      <c r="UAQ22" s="99"/>
      <c r="UAR22" s="99"/>
      <c r="UAS22" s="99"/>
      <c r="UAT22" s="99"/>
      <c r="UAU22" s="99"/>
      <c r="UAV22" s="99"/>
      <c r="UAW22" s="99"/>
      <c r="UAX22" s="99"/>
      <c r="UAY22" s="99"/>
      <c r="UAZ22" s="99"/>
      <c r="UBA22" s="99"/>
      <c r="UBB22" s="99"/>
      <c r="UBC22" s="99"/>
      <c r="UBD22" s="99"/>
      <c r="UBE22" s="99"/>
      <c r="UBF22" s="99"/>
      <c r="UBG22" s="99"/>
      <c r="UBH22" s="99"/>
      <c r="UBI22" s="99"/>
      <c r="UBJ22" s="99"/>
      <c r="UBK22" s="99"/>
      <c r="UBL22" s="99"/>
      <c r="UBM22" s="99"/>
      <c r="UBN22" s="99"/>
      <c r="UBO22" s="99"/>
      <c r="UBP22" s="99"/>
      <c r="UBQ22" s="99"/>
      <c r="UBR22" s="99"/>
      <c r="UBS22" s="99"/>
      <c r="UBT22" s="99"/>
      <c r="UBU22" s="99"/>
      <c r="UBV22" s="99"/>
      <c r="UBW22" s="99"/>
      <c r="UBX22" s="99"/>
      <c r="UBY22" s="99"/>
      <c r="UBZ22" s="99"/>
      <c r="UCA22" s="99"/>
      <c r="UCB22" s="99"/>
      <c r="UCC22" s="99"/>
      <c r="UCD22" s="99"/>
      <c r="UCE22" s="99"/>
      <c r="UCF22" s="99"/>
      <c r="UCG22" s="99"/>
      <c r="UCH22" s="99"/>
      <c r="UCI22" s="99"/>
      <c r="UCJ22" s="99"/>
      <c r="UCK22" s="99"/>
      <c r="UCL22" s="99"/>
      <c r="UCM22" s="99"/>
      <c r="UCN22" s="99"/>
      <c r="UCO22" s="99"/>
      <c r="UCP22" s="99"/>
      <c r="UCQ22" s="99"/>
      <c r="UCR22" s="99"/>
      <c r="UCS22" s="99"/>
      <c r="UCT22" s="99"/>
      <c r="UCU22" s="99"/>
      <c r="UCV22" s="99"/>
      <c r="UCW22" s="99"/>
      <c r="UCX22" s="99"/>
      <c r="UCY22" s="99"/>
      <c r="UCZ22" s="99"/>
      <c r="UDA22" s="99"/>
      <c r="UDB22" s="99"/>
      <c r="UDC22" s="99"/>
      <c r="UDD22" s="99"/>
      <c r="UDE22" s="99"/>
      <c r="UDF22" s="99"/>
      <c r="UDG22" s="99"/>
      <c r="UDH22" s="99"/>
      <c r="UDI22" s="99"/>
      <c r="UDJ22" s="99"/>
      <c r="UDK22" s="99"/>
      <c r="UDL22" s="99"/>
      <c r="UDM22" s="99"/>
      <c r="UDN22" s="99"/>
      <c r="UDO22" s="99"/>
      <c r="UDP22" s="99"/>
      <c r="UDQ22" s="99"/>
      <c r="UDR22" s="99"/>
      <c r="UDS22" s="99"/>
      <c r="UDT22" s="99"/>
      <c r="UDU22" s="99"/>
      <c r="UDV22" s="99"/>
      <c r="UDW22" s="99"/>
      <c r="UDX22" s="99"/>
      <c r="UDY22" s="99"/>
      <c r="UDZ22" s="99"/>
      <c r="UEA22" s="99"/>
      <c r="UEB22" s="99"/>
      <c r="UEC22" s="99"/>
      <c r="UED22" s="99"/>
      <c r="UEE22" s="99"/>
      <c r="UEF22" s="99"/>
      <c r="UEG22" s="99"/>
      <c r="UEH22" s="99"/>
      <c r="UEI22" s="99"/>
      <c r="UEJ22" s="99"/>
      <c r="UEK22" s="99"/>
      <c r="UEL22" s="99"/>
      <c r="UEM22" s="99"/>
      <c r="UEN22" s="99"/>
      <c r="UEO22" s="99"/>
      <c r="UEP22" s="99"/>
      <c r="UEQ22" s="99"/>
      <c r="UER22" s="99"/>
      <c r="UES22" s="99"/>
      <c r="UET22" s="99"/>
      <c r="UEU22" s="99"/>
      <c r="UEV22" s="99"/>
      <c r="UEW22" s="99"/>
      <c r="UEX22" s="99"/>
      <c r="UEY22" s="99"/>
      <c r="UEZ22" s="99"/>
      <c r="UFA22" s="99"/>
      <c r="UFB22" s="99"/>
      <c r="UFC22" s="99"/>
      <c r="UFD22" s="99"/>
      <c r="UFE22" s="99"/>
      <c r="UFF22" s="99"/>
      <c r="UFG22" s="99"/>
      <c r="UFH22" s="99"/>
      <c r="UFI22" s="99"/>
      <c r="UFJ22" s="99"/>
      <c r="UFK22" s="99"/>
      <c r="UFL22" s="99"/>
      <c r="UFM22" s="99"/>
      <c r="UFN22" s="99"/>
      <c r="UFO22" s="99"/>
      <c r="UFP22" s="99"/>
      <c r="UFQ22" s="99"/>
      <c r="UFR22" s="99"/>
      <c r="UFS22" s="99"/>
      <c r="UFT22" s="99"/>
      <c r="UFU22" s="99"/>
      <c r="UFV22" s="99"/>
      <c r="UFW22" s="99"/>
      <c r="UFX22" s="99"/>
      <c r="UFY22" s="99"/>
      <c r="UFZ22" s="99"/>
      <c r="UGA22" s="99"/>
      <c r="UGB22" s="99"/>
      <c r="UGC22" s="99"/>
      <c r="UGD22" s="99"/>
      <c r="UGE22" s="99"/>
      <c r="UGF22" s="99"/>
      <c r="UGG22" s="99"/>
      <c r="UGH22" s="99"/>
      <c r="UGI22" s="99"/>
      <c r="UGJ22" s="99"/>
      <c r="UGK22" s="99"/>
      <c r="UGL22" s="99"/>
      <c r="UGM22" s="99"/>
      <c r="UGN22" s="99"/>
      <c r="UGO22" s="99"/>
      <c r="UGP22" s="99"/>
      <c r="UGQ22" s="99"/>
      <c r="UGR22" s="99"/>
      <c r="UGS22" s="99"/>
      <c r="UGT22" s="99"/>
      <c r="UGU22" s="99"/>
      <c r="UGV22" s="99"/>
      <c r="UGW22" s="99"/>
      <c r="UGX22" s="99"/>
      <c r="UGY22" s="99"/>
      <c r="UGZ22" s="99"/>
      <c r="UHA22" s="99"/>
      <c r="UHB22" s="99"/>
      <c r="UHC22" s="99"/>
      <c r="UHD22" s="99"/>
      <c r="UHE22" s="99"/>
      <c r="UHF22" s="99"/>
      <c r="UHG22" s="99"/>
      <c r="UHH22" s="99"/>
      <c r="UHI22" s="99"/>
      <c r="UHJ22" s="99"/>
      <c r="UHK22" s="99"/>
      <c r="UHL22" s="99"/>
      <c r="UHM22" s="99"/>
      <c r="UHN22" s="99"/>
      <c r="UHO22" s="99"/>
      <c r="UHP22" s="99"/>
      <c r="UHQ22" s="99"/>
      <c r="UHR22" s="99"/>
      <c r="UHS22" s="99"/>
      <c r="UHT22" s="99"/>
      <c r="UHU22" s="99"/>
      <c r="UHV22" s="99"/>
      <c r="UHW22" s="99"/>
      <c r="UHX22" s="99"/>
      <c r="UHY22" s="99"/>
      <c r="UHZ22" s="99"/>
      <c r="UIA22" s="99"/>
      <c r="UIB22" s="99"/>
      <c r="UIC22" s="99"/>
      <c r="UID22" s="99"/>
      <c r="UIE22" s="99"/>
      <c r="UIF22" s="99"/>
      <c r="UIG22" s="99"/>
      <c r="UIH22" s="99"/>
      <c r="UII22" s="99"/>
      <c r="UIJ22" s="99"/>
      <c r="UIK22" s="99"/>
      <c r="UIL22" s="99"/>
      <c r="UIM22" s="99"/>
      <c r="UIN22" s="99"/>
      <c r="UIO22" s="99"/>
      <c r="UIP22" s="99"/>
      <c r="UIQ22" s="99"/>
      <c r="UIR22" s="99"/>
      <c r="UIS22" s="99"/>
      <c r="UIT22" s="99"/>
      <c r="UIU22" s="99"/>
      <c r="UIV22" s="99"/>
      <c r="UIW22" s="99"/>
      <c r="UIX22" s="99"/>
      <c r="UIY22" s="99"/>
      <c r="UIZ22" s="99"/>
      <c r="UJA22" s="99"/>
      <c r="UJB22" s="99"/>
      <c r="UJC22" s="99"/>
      <c r="UJD22" s="99"/>
      <c r="UJE22" s="99"/>
      <c r="UJF22" s="99"/>
      <c r="UJG22" s="99"/>
      <c r="UJH22" s="99"/>
      <c r="UJI22" s="99"/>
      <c r="UJJ22" s="99"/>
      <c r="UJK22" s="99"/>
      <c r="UJL22" s="99"/>
      <c r="UJM22" s="99"/>
      <c r="UJN22" s="99"/>
      <c r="UJO22" s="99"/>
      <c r="UJP22" s="99"/>
      <c r="UJQ22" s="99"/>
      <c r="UJR22" s="99"/>
      <c r="UJS22" s="99"/>
      <c r="UJT22" s="99"/>
      <c r="UJU22" s="99"/>
      <c r="UJV22" s="99"/>
      <c r="UJW22" s="99"/>
      <c r="UJX22" s="99"/>
      <c r="UJY22" s="99"/>
      <c r="UJZ22" s="99"/>
      <c r="UKA22" s="99"/>
      <c r="UKB22" s="99"/>
      <c r="UKC22" s="99"/>
      <c r="UKD22" s="99"/>
      <c r="UKE22" s="99"/>
      <c r="UKF22" s="99"/>
      <c r="UKG22" s="99"/>
      <c r="UKH22" s="99"/>
      <c r="UKI22" s="99"/>
      <c r="UKJ22" s="99"/>
      <c r="UKK22" s="99"/>
      <c r="UKL22" s="99"/>
      <c r="UKM22" s="99"/>
      <c r="UKN22" s="99"/>
      <c r="UKO22" s="99"/>
      <c r="UKP22" s="99"/>
      <c r="UKQ22" s="99"/>
      <c r="UKR22" s="99"/>
      <c r="UKS22" s="99"/>
      <c r="UKT22" s="99"/>
      <c r="UKU22" s="99"/>
      <c r="UKV22" s="99"/>
      <c r="UKW22" s="99"/>
      <c r="UKX22" s="99"/>
      <c r="UKY22" s="99"/>
      <c r="UKZ22" s="99"/>
      <c r="ULA22" s="99"/>
      <c r="ULB22" s="99"/>
      <c r="ULC22" s="99"/>
      <c r="ULD22" s="99"/>
      <c r="ULE22" s="99"/>
      <c r="ULF22" s="99"/>
      <c r="ULG22" s="99"/>
      <c r="ULH22" s="99"/>
      <c r="ULI22" s="99"/>
      <c r="ULJ22" s="99"/>
      <c r="ULK22" s="99"/>
      <c r="ULL22" s="99"/>
      <c r="ULM22" s="99"/>
      <c r="ULN22" s="99"/>
      <c r="ULO22" s="99"/>
      <c r="ULP22" s="99"/>
      <c r="ULQ22" s="99"/>
      <c r="ULR22" s="99"/>
      <c r="ULS22" s="99"/>
      <c r="ULT22" s="99"/>
      <c r="ULU22" s="99"/>
      <c r="ULV22" s="99"/>
      <c r="ULW22" s="99"/>
      <c r="ULX22" s="99"/>
      <c r="ULY22" s="99"/>
      <c r="ULZ22" s="99"/>
      <c r="UMA22" s="99"/>
      <c r="UMB22" s="99"/>
      <c r="UMC22" s="99"/>
      <c r="UMD22" s="99"/>
      <c r="UME22" s="99"/>
      <c r="UMF22" s="99"/>
      <c r="UMG22" s="99"/>
      <c r="UMH22" s="99"/>
      <c r="UMI22" s="99"/>
      <c r="UMJ22" s="99"/>
      <c r="UMK22" s="99"/>
      <c r="UML22" s="99"/>
      <c r="UMM22" s="99"/>
      <c r="UMN22" s="99"/>
      <c r="UMO22" s="99"/>
      <c r="UMP22" s="99"/>
      <c r="UMQ22" s="99"/>
      <c r="UMR22" s="99"/>
      <c r="UMS22" s="99"/>
      <c r="UMT22" s="99"/>
      <c r="UMU22" s="99"/>
      <c r="UMV22" s="99"/>
      <c r="UMW22" s="99"/>
      <c r="UMX22" s="99"/>
      <c r="UMY22" s="99"/>
      <c r="UMZ22" s="99"/>
      <c r="UNA22" s="99"/>
      <c r="UNB22" s="99"/>
      <c r="UNC22" s="99"/>
      <c r="UND22" s="99"/>
      <c r="UNE22" s="99"/>
      <c r="UNF22" s="99"/>
      <c r="UNG22" s="99"/>
      <c r="UNH22" s="99"/>
      <c r="UNI22" s="99"/>
      <c r="UNJ22" s="99"/>
      <c r="UNK22" s="99"/>
      <c r="UNL22" s="99"/>
      <c r="UNM22" s="99"/>
      <c r="UNN22" s="99"/>
      <c r="UNO22" s="99"/>
      <c r="UNP22" s="99"/>
      <c r="UNQ22" s="99"/>
      <c r="UNR22" s="99"/>
      <c r="UNS22" s="99"/>
      <c r="UNT22" s="99"/>
      <c r="UNU22" s="99"/>
      <c r="UNV22" s="99"/>
      <c r="UNW22" s="99"/>
      <c r="UNX22" s="99"/>
      <c r="UNY22" s="99"/>
      <c r="UNZ22" s="99"/>
      <c r="UOA22" s="99"/>
      <c r="UOB22" s="99"/>
      <c r="UOC22" s="99"/>
      <c r="UOD22" s="99"/>
      <c r="UOE22" s="99"/>
      <c r="UOF22" s="99"/>
      <c r="UOG22" s="99"/>
      <c r="UOH22" s="99"/>
      <c r="UOI22" s="99"/>
      <c r="UOJ22" s="99"/>
      <c r="UOK22" s="99"/>
      <c r="UOL22" s="99"/>
      <c r="UOM22" s="99"/>
      <c r="UON22" s="99"/>
      <c r="UOO22" s="99"/>
      <c r="UOP22" s="99"/>
      <c r="UOQ22" s="99"/>
      <c r="UOR22" s="99"/>
      <c r="UOS22" s="99"/>
      <c r="UOT22" s="99"/>
      <c r="UOU22" s="99"/>
      <c r="UOV22" s="99"/>
      <c r="UOW22" s="99"/>
      <c r="UOX22" s="99"/>
      <c r="UOY22" s="99"/>
      <c r="UOZ22" s="99"/>
      <c r="UPA22" s="99"/>
      <c r="UPB22" s="99"/>
      <c r="UPC22" s="99"/>
      <c r="UPD22" s="99"/>
      <c r="UPE22" s="99"/>
      <c r="UPF22" s="99"/>
      <c r="UPG22" s="99"/>
      <c r="UPH22" s="99"/>
      <c r="UPI22" s="99"/>
      <c r="UPJ22" s="99"/>
      <c r="UPK22" s="99"/>
      <c r="UPL22" s="99"/>
      <c r="UPM22" s="99"/>
      <c r="UPN22" s="99"/>
      <c r="UPO22" s="99"/>
      <c r="UPP22" s="99"/>
      <c r="UPQ22" s="99"/>
      <c r="UPR22" s="99"/>
      <c r="UPS22" s="99"/>
      <c r="UPT22" s="99"/>
      <c r="UPU22" s="99"/>
      <c r="UPV22" s="99"/>
      <c r="UPW22" s="99"/>
      <c r="UPX22" s="99"/>
      <c r="UPY22" s="99"/>
      <c r="UPZ22" s="99"/>
      <c r="UQA22" s="99"/>
      <c r="UQB22" s="99"/>
      <c r="UQC22" s="99"/>
      <c r="UQD22" s="99"/>
      <c r="UQE22" s="99"/>
      <c r="UQF22" s="99"/>
      <c r="UQG22" s="99"/>
      <c r="UQH22" s="99"/>
      <c r="UQI22" s="99"/>
      <c r="UQJ22" s="99"/>
      <c r="UQK22" s="99"/>
      <c r="UQL22" s="99"/>
      <c r="UQM22" s="99"/>
      <c r="UQN22" s="99"/>
      <c r="UQO22" s="99"/>
      <c r="UQP22" s="99"/>
      <c r="UQQ22" s="99"/>
      <c r="UQR22" s="99"/>
      <c r="UQS22" s="99"/>
      <c r="UQT22" s="99"/>
      <c r="UQU22" s="99"/>
      <c r="UQV22" s="99"/>
      <c r="UQW22" s="99"/>
      <c r="UQX22" s="99"/>
      <c r="UQY22" s="99"/>
      <c r="UQZ22" s="99"/>
      <c r="URA22" s="99"/>
      <c r="URB22" s="99"/>
      <c r="URC22" s="99"/>
      <c r="URD22" s="99"/>
      <c r="URE22" s="99"/>
      <c r="URF22" s="99"/>
      <c r="URG22" s="99"/>
      <c r="URH22" s="99"/>
      <c r="URI22" s="99"/>
      <c r="URJ22" s="99"/>
      <c r="URK22" s="99"/>
      <c r="URL22" s="99"/>
      <c r="URM22" s="99"/>
      <c r="URN22" s="99"/>
      <c r="URO22" s="99"/>
      <c r="URP22" s="99"/>
      <c r="URQ22" s="99"/>
      <c r="URR22" s="99"/>
      <c r="URS22" s="99"/>
      <c r="URT22" s="99"/>
      <c r="URU22" s="99"/>
      <c r="URV22" s="99"/>
      <c r="URW22" s="99"/>
      <c r="URX22" s="99"/>
      <c r="URY22" s="99"/>
      <c r="URZ22" s="99"/>
      <c r="USA22" s="99"/>
      <c r="USB22" s="99"/>
      <c r="USC22" s="99"/>
      <c r="USD22" s="99"/>
      <c r="USE22" s="99"/>
      <c r="USF22" s="99"/>
      <c r="USG22" s="99"/>
      <c r="USH22" s="99"/>
      <c r="USI22" s="99"/>
      <c r="USJ22" s="99"/>
      <c r="USK22" s="99"/>
      <c r="USL22" s="99"/>
      <c r="USM22" s="99"/>
      <c r="USN22" s="99"/>
      <c r="USO22" s="99"/>
      <c r="USP22" s="99"/>
      <c r="USQ22" s="99"/>
      <c r="USR22" s="99"/>
      <c r="USS22" s="99"/>
      <c r="UST22" s="99"/>
      <c r="USU22" s="99"/>
      <c r="USV22" s="99"/>
      <c r="USW22" s="99"/>
      <c r="USX22" s="99"/>
      <c r="USY22" s="99"/>
      <c r="USZ22" s="99"/>
      <c r="UTA22" s="99"/>
      <c r="UTB22" s="99"/>
      <c r="UTC22" s="99"/>
      <c r="UTD22" s="99"/>
      <c r="UTE22" s="99"/>
      <c r="UTF22" s="99"/>
      <c r="UTG22" s="99"/>
      <c r="UTH22" s="99"/>
      <c r="UTI22" s="99"/>
      <c r="UTJ22" s="99"/>
      <c r="UTK22" s="99"/>
      <c r="UTL22" s="99"/>
      <c r="UTM22" s="99"/>
      <c r="UTN22" s="99"/>
      <c r="UTO22" s="99"/>
      <c r="UTP22" s="99"/>
      <c r="UTQ22" s="99"/>
      <c r="UTR22" s="99"/>
      <c r="UTS22" s="99"/>
      <c r="UTT22" s="99"/>
      <c r="UTU22" s="99"/>
      <c r="UTV22" s="99"/>
      <c r="UTW22" s="99"/>
      <c r="UTX22" s="99"/>
      <c r="UTY22" s="99"/>
      <c r="UTZ22" s="99"/>
      <c r="UUA22" s="99"/>
      <c r="UUB22" s="99"/>
      <c r="UUC22" s="99"/>
      <c r="UUD22" s="99"/>
      <c r="UUE22" s="99"/>
      <c r="UUF22" s="99"/>
      <c r="UUG22" s="99"/>
      <c r="UUH22" s="99"/>
      <c r="UUI22" s="99"/>
      <c r="UUJ22" s="99"/>
      <c r="UUK22" s="99"/>
      <c r="UUL22" s="99"/>
      <c r="UUM22" s="99"/>
      <c r="UUN22" s="99"/>
      <c r="UUO22" s="99"/>
      <c r="UUP22" s="99"/>
      <c r="UUQ22" s="99"/>
      <c r="UUR22" s="99"/>
      <c r="UUS22" s="99"/>
      <c r="UUT22" s="99"/>
      <c r="UUU22" s="99"/>
      <c r="UUV22" s="99"/>
      <c r="UUW22" s="99"/>
      <c r="UUX22" s="99"/>
      <c r="UUY22" s="99"/>
      <c r="UUZ22" s="99"/>
      <c r="UVA22" s="99"/>
      <c r="UVB22" s="99"/>
      <c r="UVC22" s="99"/>
      <c r="UVD22" s="99"/>
      <c r="UVE22" s="99"/>
      <c r="UVF22" s="99"/>
      <c r="UVG22" s="99"/>
      <c r="UVH22" s="99"/>
      <c r="UVI22" s="99"/>
      <c r="UVJ22" s="99"/>
      <c r="UVK22" s="99"/>
      <c r="UVL22" s="99"/>
      <c r="UVM22" s="99"/>
      <c r="UVN22" s="99"/>
      <c r="UVO22" s="99"/>
      <c r="UVP22" s="99"/>
      <c r="UVQ22" s="99"/>
      <c r="UVR22" s="99"/>
      <c r="UVS22" s="99"/>
      <c r="UVT22" s="99"/>
      <c r="UVU22" s="99"/>
      <c r="UVV22" s="99"/>
      <c r="UVW22" s="99"/>
      <c r="UVX22" s="99"/>
      <c r="UVY22" s="99"/>
      <c r="UVZ22" s="99"/>
      <c r="UWA22" s="99"/>
      <c r="UWB22" s="99"/>
      <c r="UWC22" s="99"/>
      <c r="UWD22" s="99"/>
      <c r="UWE22" s="99"/>
      <c r="UWF22" s="99"/>
      <c r="UWG22" s="99"/>
      <c r="UWH22" s="99"/>
      <c r="UWI22" s="99"/>
      <c r="UWJ22" s="99"/>
      <c r="UWK22" s="99"/>
      <c r="UWL22" s="99"/>
      <c r="UWM22" s="99"/>
      <c r="UWN22" s="99"/>
      <c r="UWO22" s="99"/>
      <c r="UWP22" s="99"/>
      <c r="UWQ22" s="99"/>
      <c r="UWR22" s="99"/>
      <c r="UWS22" s="99"/>
      <c r="UWT22" s="99"/>
      <c r="UWU22" s="99"/>
      <c r="UWV22" s="99"/>
      <c r="UWW22" s="99"/>
      <c r="UWX22" s="99"/>
      <c r="UWY22" s="99"/>
      <c r="UWZ22" s="99"/>
      <c r="UXA22" s="99"/>
      <c r="UXB22" s="99"/>
      <c r="UXC22" s="99"/>
      <c r="UXD22" s="99"/>
      <c r="UXE22" s="99"/>
      <c r="UXF22" s="99"/>
      <c r="UXG22" s="99"/>
      <c r="UXH22" s="99"/>
      <c r="UXI22" s="99"/>
      <c r="UXJ22" s="99"/>
      <c r="UXK22" s="99"/>
      <c r="UXL22" s="99"/>
      <c r="UXM22" s="99"/>
      <c r="UXN22" s="99"/>
      <c r="UXO22" s="99"/>
      <c r="UXP22" s="99"/>
      <c r="UXQ22" s="99"/>
      <c r="UXR22" s="99"/>
      <c r="UXS22" s="99"/>
      <c r="UXT22" s="99"/>
      <c r="UXU22" s="99"/>
      <c r="UXV22" s="99"/>
      <c r="UXW22" s="99"/>
      <c r="UXX22" s="99"/>
      <c r="UXY22" s="99"/>
      <c r="UXZ22" s="99"/>
      <c r="UYA22" s="99"/>
      <c r="UYB22" s="99"/>
      <c r="UYC22" s="99"/>
      <c r="UYD22" s="99"/>
      <c r="UYE22" s="99"/>
      <c r="UYF22" s="99"/>
      <c r="UYG22" s="99"/>
      <c r="UYH22" s="99"/>
      <c r="UYI22" s="99"/>
      <c r="UYJ22" s="99"/>
      <c r="UYK22" s="99"/>
      <c r="UYL22" s="99"/>
      <c r="UYM22" s="99"/>
      <c r="UYN22" s="99"/>
      <c r="UYO22" s="99"/>
      <c r="UYP22" s="99"/>
      <c r="UYQ22" s="99"/>
      <c r="UYR22" s="99"/>
      <c r="UYS22" s="99"/>
      <c r="UYT22" s="99"/>
      <c r="UYU22" s="99"/>
      <c r="UYV22" s="99"/>
      <c r="UYW22" s="99"/>
      <c r="UYX22" s="99"/>
      <c r="UYY22" s="99"/>
      <c r="UYZ22" s="99"/>
      <c r="UZA22" s="99"/>
      <c r="UZB22" s="99"/>
      <c r="UZC22" s="99"/>
      <c r="UZD22" s="99"/>
      <c r="UZE22" s="99"/>
      <c r="UZF22" s="99"/>
      <c r="UZG22" s="99"/>
      <c r="UZH22" s="99"/>
      <c r="UZI22" s="99"/>
      <c r="UZJ22" s="99"/>
      <c r="UZK22" s="99"/>
      <c r="UZL22" s="99"/>
      <c r="UZM22" s="99"/>
      <c r="UZN22" s="99"/>
      <c r="UZO22" s="99"/>
      <c r="UZP22" s="99"/>
      <c r="UZQ22" s="99"/>
      <c r="UZR22" s="99"/>
      <c r="UZS22" s="99"/>
      <c r="UZT22" s="99"/>
      <c r="UZU22" s="99"/>
      <c r="UZV22" s="99"/>
      <c r="UZW22" s="99"/>
      <c r="UZX22" s="99"/>
      <c r="UZY22" s="99"/>
      <c r="UZZ22" s="99"/>
      <c r="VAA22" s="99"/>
      <c r="VAB22" s="99"/>
      <c r="VAC22" s="99"/>
      <c r="VAD22" s="99"/>
      <c r="VAE22" s="99"/>
      <c r="VAF22" s="99"/>
      <c r="VAG22" s="99"/>
      <c r="VAH22" s="99"/>
      <c r="VAI22" s="99"/>
      <c r="VAJ22" s="99"/>
      <c r="VAK22" s="99"/>
      <c r="VAL22" s="99"/>
      <c r="VAM22" s="99"/>
      <c r="VAN22" s="99"/>
      <c r="VAO22" s="99"/>
      <c r="VAP22" s="99"/>
      <c r="VAQ22" s="99"/>
      <c r="VAR22" s="99"/>
      <c r="VAS22" s="99"/>
      <c r="VAT22" s="99"/>
      <c r="VAU22" s="99"/>
      <c r="VAV22" s="99"/>
      <c r="VAW22" s="99"/>
      <c r="VAX22" s="99"/>
      <c r="VAY22" s="99"/>
      <c r="VAZ22" s="99"/>
      <c r="VBA22" s="99"/>
      <c r="VBB22" s="99"/>
      <c r="VBC22" s="99"/>
      <c r="VBD22" s="99"/>
      <c r="VBE22" s="99"/>
      <c r="VBF22" s="99"/>
      <c r="VBG22" s="99"/>
      <c r="VBH22" s="99"/>
      <c r="VBI22" s="99"/>
      <c r="VBJ22" s="99"/>
      <c r="VBK22" s="99"/>
      <c r="VBL22" s="99"/>
      <c r="VBM22" s="99"/>
      <c r="VBN22" s="99"/>
      <c r="VBO22" s="99"/>
      <c r="VBP22" s="99"/>
      <c r="VBQ22" s="99"/>
      <c r="VBR22" s="99"/>
      <c r="VBS22" s="99"/>
      <c r="VBT22" s="99"/>
      <c r="VBU22" s="99"/>
      <c r="VBV22" s="99"/>
      <c r="VBW22" s="99"/>
      <c r="VBX22" s="99"/>
      <c r="VBY22" s="99"/>
      <c r="VBZ22" s="99"/>
      <c r="VCA22" s="99"/>
      <c r="VCB22" s="99"/>
      <c r="VCC22" s="99"/>
      <c r="VCD22" s="99"/>
      <c r="VCE22" s="99"/>
      <c r="VCF22" s="99"/>
      <c r="VCG22" s="99"/>
      <c r="VCH22" s="99"/>
      <c r="VCI22" s="99"/>
      <c r="VCJ22" s="99"/>
      <c r="VCK22" s="99"/>
      <c r="VCL22" s="99"/>
      <c r="VCM22" s="99"/>
      <c r="VCN22" s="99"/>
      <c r="VCO22" s="99"/>
      <c r="VCP22" s="99"/>
      <c r="VCQ22" s="99"/>
      <c r="VCR22" s="99"/>
      <c r="VCS22" s="99"/>
      <c r="VCT22" s="99"/>
      <c r="VCU22" s="99"/>
      <c r="VCV22" s="99"/>
      <c r="VCW22" s="99"/>
      <c r="VCX22" s="99"/>
      <c r="VCY22" s="99"/>
      <c r="VCZ22" s="99"/>
      <c r="VDA22" s="99"/>
      <c r="VDB22" s="99"/>
      <c r="VDC22" s="99"/>
      <c r="VDD22" s="99"/>
      <c r="VDE22" s="99"/>
      <c r="VDF22" s="99"/>
      <c r="VDG22" s="99"/>
      <c r="VDH22" s="99"/>
      <c r="VDI22" s="99"/>
      <c r="VDJ22" s="99"/>
      <c r="VDK22" s="99"/>
      <c r="VDL22" s="99"/>
      <c r="VDM22" s="99"/>
      <c r="VDN22" s="99"/>
      <c r="VDO22" s="99"/>
      <c r="VDP22" s="99"/>
      <c r="VDQ22" s="99"/>
      <c r="VDR22" s="99"/>
      <c r="VDS22" s="99"/>
      <c r="VDT22" s="99"/>
      <c r="VDU22" s="99"/>
      <c r="VDV22" s="99"/>
      <c r="VDW22" s="99"/>
      <c r="VDX22" s="99"/>
      <c r="VDY22" s="99"/>
      <c r="VDZ22" s="99"/>
      <c r="VEA22" s="99"/>
      <c r="VEB22" s="99"/>
      <c r="VEC22" s="99"/>
      <c r="VED22" s="99"/>
      <c r="VEE22" s="99"/>
      <c r="VEF22" s="99"/>
      <c r="VEG22" s="99"/>
      <c r="VEH22" s="99"/>
      <c r="VEI22" s="99"/>
      <c r="VEJ22" s="99"/>
      <c r="VEK22" s="99"/>
      <c r="VEL22" s="99"/>
      <c r="VEM22" s="99"/>
      <c r="VEN22" s="99"/>
      <c r="VEO22" s="99"/>
      <c r="VEP22" s="99"/>
      <c r="VEQ22" s="99"/>
      <c r="VER22" s="99"/>
      <c r="VES22" s="99"/>
      <c r="VET22" s="99"/>
      <c r="VEU22" s="99"/>
      <c r="VEV22" s="99"/>
      <c r="VEW22" s="99"/>
      <c r="VEX22" s="99"/>
      <c r="VEY22" s="99"/>
      <c r="VEZ22" s="99"/>
      <c r="VFA22" s="99"/>
      <c r="VFB22" s="99"/>
      <c r="VFC22" s="99"/>
      <c r="VFD22" s="99"/>
      <c r="VFE22" s="99"/>
      <c r="VFF22" s="99"/>
      <c r="VFG22" s="99"/>
      <c r="VFH22" s="99"/>
      <c r="VFI22" s="99"/>
      <c r="VFJ22" s="99"/>
      <c r="VFK22" s="99"/>
      <c r="VFL22" s="99"/>
      <c r="VFM22" s="99"/>
      <c r="VFN22" s="99"/>
      <c r="VFO22" s="99"/>
      <c r="VFP22" s="99"/>
      <c r="VFQ22" s="99"/>
      <c r="VFR22" s="99"/>
      <c r="VFS22" s="99"/>
      <c r="VFT22" s="99"/>
      <c r="VFU22" s="99"/>
      <c r="VFV22" s="99"/>
      <c r="VFW22" s="99"/>
      <c r="VFX22" s="99"/>
      <c r="VFY22" s="99"/>
      <c r="VFZ22" s="99"/>
      <c r="VGA22" s="99"/>
      <c r="VGB22" s="99"/>
      <c r="VGC22" s="99"/>
      <c r="VGD22" s="99"/>
      <c r="VGE22" s="99"/>
      <c r="VGF22" s="99"/>
      <c r="VGG22" s="99"/>
      <c r="VGH22" s="99"/>
      <c r="VGI22" s="99"/>
      <c r="VGJ22" s="99"/>
      <c r="VGK22" s="99"/>
      <c r="VGL22" s="99"/>
      <c r="VGM22" s="99"/>
      <c r="VGN22" s="99"/>
      <c r="VGO22" s="99"/>
      <c r="VGP22" s="99"/>
      <c r="VGQ22" s="99"/>
      <c r="VGR22" s="99"/>
      <c r="VGS22" s="99"/>
      <c r="VGT22" s="99"/>
      <c r="VGU22" s="99"/>
      <c r="VGV22" s="99"/>
      <c r="VGW22" s="99"/>
      <c r="VGX22" s="99"/>
      <c r="VGY22" s="99"/>
      <c r="VGZ22" s="99"/>
      <c r="VHA22" s="99"/>
      <c r="VHB22" s="99"/>
      <c r="VHC22" s="99"/>
      <c r="VHD22" s="99"/>
      <c r="VHE22" s="99"/>
      <c r="VHF22" s="99"/>
      <c r="VHG22" s="99"/>
      <c r="VHH22" s="99"/>
      <c r="VHI22" s="99"/>
      <c r="VHJ22" s="99"/>
      <c r="VHK22" s="99"/>
      <c r="VHL22" s="99"/>
      <c r="VHM22" s="99"/>
      <c r="VHN22" s="99"/>
      <c r="VHO22" s="99"/>
      <c r="VHP22" s="99"/>
      <c r="VHQ22" s="99"/>
      <c r="VHR22" s="99"/>
      <c r="VHS22" s="99"/>
      <c r="VHT22" s="99"/>
      <c r="VHU22" s="99"/>
      <c r="VHV22" s="99"/>
      <c r="VHW22" s="99"/>
      <c r="VHX22" s="99"/>
      <c r="VHY22" s="99"/>
      <c r="VHZ22" s="99"/>
      <c r="VIA22" s="99"/>
      <c r="VIB22" s="99"/>
      <c r="VIC22" s="99"/>
      <c r="VID22" s="99"/>
      <c r="VIE22" s="99"/>
      <c r="VIF22" s="99"/>
      <c r="VIG22" s="99"/>
      <c r="VIH22" s="99"/>
      <c r="VII22" s="99"/>
      <c r="VIJ22" s="99"/>
      <c r="VIK22" s="99"/>
      <c r="VIL22" s="99"/>
      <c r="VIM22" s="99"/>
      <c r="VIN22" s="99"/>
      <c r="VIO22" s="99"/>
      <c r="VIP22" s="99"/>
      <c r="VIQ22" s="99"/>
      <c r="VIR22" s="99"/>
      <c r="VIS22" s="99"/>
      <c r="VIT22" s="99"/>
      <c r="VIU22" s="99"/>
      <c r="VIV22" s="99"/>
      <c r="VIW22" s="99"/>
      <c r="VIX22" s="99"/>
      <c r="VIY22" s="99"/>
      <c r="VIZ22" s="99"/>
      <c r="VJA22" s="99"/>
      <c r="VJB22" s="99"/>
      <c r="VJC22" s="99"/>
      <c r="VJD22" s="99"/>
      <c r="VJE22" s="99"/>
      <c r="VJF22" s="99"/>
      <c r="VJG22" s="99"/>
      <c r="VJH22" s="99"/>
      <c r="VJI22" s="99"/>
      <c r="VJJ22" s="99"/>
      <c r="VJK22" s="99"/>
      <c r="VJL22" s="99"/>
      <c r="VJM22" s="99"/>
      <c r="VJN22" s="99"/>
      <c r="VJO22" s="99"/>
      <c r="VJP22" s="99"/>
      <c r="VJQ22" s="99"/>
      <c r="VJR22" s="99"/>
      <c r="VJS22" s="99"/>
      <c r="VJT22" s="99"/>
      <c r="VJU22" s="99"/>
      <c r="VJV22" s="99"/>
      <c r="VJW22" s="99"/>
      <c r="VJX22" s="99"/>
      <c r="VJY22" s="99"/>
      <c r="VJZ22" s="99"/>
      <c r="VKA22" s="99"/>
      <c r="VKB22" s="99"/>
      <c r="VKC22" s="99"/>
      <c r="VKD22" s="99"/>
      <c r="VKE22" s="99"/>
      <c r="VKF22" s="99"/>
      <c r="VKG22" s="99"/>
      <c r="VKH22" s="99"/>
      <c r="VKI22" s="99"/>
      <c r="VKJ22" s="99"/>
      <c r="VKK22" s="99"/>
      <c r="VKL22" s="99"/>
      <c r="VKM22" s="99"/>
      <c r="VKN22" s="99"/>
      <c r="VKO22" s="99"/>
      <c r="VKP22" s="99"/>
      <c r="VKQ22" s="99"/>
      <c r="VKR22" s="99"/>
      <c r="VKS22" s="99"/>
      <c r="VKT22" s="99"/>
      <c r="VKU22" s="99"/>
      <c r="VKV22" s="99"/>
      <c r="VKW22" s="99"/>
      <c r="VKX22" s="99"/>
      <c r="VKY22" s="99"/>
      <c r="VKZ22" s="99"/>
      <c r="VLA22" s="99"/>
      <c r="VLB22" s="99"/>
      <c r="VLC22" s="99"/>
      <c r="VLD22" s="99"/>
      <c r="VLE22" s="99"/>
      <c r="VLF22" s="99"/>
      <c r="VLG22" s="99"/>
      <c r="VLH22" s="99"/>
      <c r="VLI22" s="99"/>
      <c r="VLJ22" s="99"/>
      <c r="VLK22" s="99"/>
      <c r="VLL22" s="99"/>
      <c r="VLM22" s="99"/>
      <c r="VLN22" s="99"/>
      <c r="VLO22" s="99"/>
      <c r="VLP22" s="99"/>
      <c r="VLQ22" s="99"/>
      <c r="VLR22" s="99"/>
      <c r="VLS22" s="99"/>
      <c r="VLT22" s="99"/>
      <c r="VLU22" s="99"/>
      <c r="VLV22" s="99"/>
      <c r="VLW22" s="99"/>
      <c r="VLX22" s="99"/>
      <c r="VLY22" s="99"/>
      <c r="VLZ22" s="99"/>
      <c r="VMA22" s="99"/>
      <c r="VMB22" s="99"/>
      <c r="VMC22" s="99"/>
      <c r="VMD22" s="99"/>
      <c r="VME22" s="99"/>
      <c r="VMF22" s="99"/>
      <c r="VMG22" s="99"/>
      <c r="VMH22" s="99"/>
      <c r="VMI22" s="99"/>
      <c r="VMJ22" s="99"/>
      <c r="VMK22" s="99"/>
      <c r="VML22" s="99"/>
      <c r="VMM22" s="99"/>
      <c r="VMN22" s="99"/>
      <c r="VMO22" s="99"/>
      <c r="VMP22" s="99"/>
      <c r="VMQ22" s="99"/>
      <c r="VMR22" s="99"/>
      <c r="VMS22" s="99"/>
      <c r="VMT22" s="99"/>
      <c r="VMU22" s="99"/>
      <c r="VMV22" s="99"/>
      <c r="VMW22" s="99"/>
      <c r="VMX22" s="99"/>
      <c r="VMY22" s="99"/>
      <c r="VMZ22" s="99"/>
      <c r="VNA22" s="99"/>
      <c r="VNB22" s="99"/>
      <c r="VNC22" s="99"/>
      <c r="VND22" s="99"/>
      <c r="VNE22" s="99"/>
      <c r="VNF22" s="99"/>
      <c r="VNG22" s="99"/>
      <c r="VNH22" s="99"/>
      <c r="VNI22" s="99"/>
      <c r="VNJ22" s="99"/>
      <c r="VNK22" s="99"/>
      <c r="VNL22" s="99"/>
      <c r="VNM22" s="99"/>
      <c r="VNN22" s="99"/>
      <c r="VNO22" s="99"/>
      <c r="VNP22" s="99"/>
      <c r="VNQ22" s="99"/>
      <c r="VNR22" s="99"/>
      <c r="VNS22" s="99"/>
      <c r="VNT22" s="99"/>
      <c r="VNU22" s="99"/>
      <c r="VNV22" s="99"/>
      <c r="VNW22" s="99"/>
      <c r="VNX22" s="99"/>
      <c r="VNY22" s="99"/>
      <c r="VNZ22" s="99"/>
      <c r="VOA22" s="99"/>
      <c r="VOB22" s="99"/>
      <c r="VOC22" s="99"/>
      <c r="VOD22" s="99"/>
      <c r="VOE22" s="99"/>
      <c r="VOF22" s="99"/>
      <c r="VOG22" s="99"/>
      <c r="VOH22" s="99"/>
      <c r="VOI22" s="99"/>
      <c r="VOJ22" s="99"/>
      <c r="VOK22" s="99"/>
      <c r="VOL22" s="99"/>
      <c r="VOM22" s="99"/>
      <c r="VON22" s="99"/>
      <c r="VOO22" s="99"/>
      <c r="VOP22" s="99"/>
      <c r="VOQ22" s="99"/>
      <c r="VOR22" s="99"/>
      <c r="VOS22" s="99"/>
      <c r="VOT22" s="99"/>
      <c r="VOU22" s="99"/>
      <c r="VOV22" s="99"/>
      <c r="VOW22" s="99"/>
      <c r="VOX22" s="99"/>
      <c r="VOY22" s="99"/>
      <c r="VOZ22" s="99"/>
      <c r="VPA22" s="99"/>
      <c r="VPB22" s="99"/>
      <c r="VPC22" s="99"/>
      <c r="VPD22" s="99"/>
      <c r="VPE22" s="99"/>
      <c r="VPF22" s="99"/>
      <c r="VPG22" s="99"/>
      <c r="VPH22" s="99"/>
      <c r="VPI22" s="99"/>
      <c r="VPJ22" s="99"/>
      <c r="VPK22" s="99"/>
      <c r="VPL22" s="99"/>
      <c r="VPM22" s="99"/>
      <c r="VPN22" s="99"/>
      <c r="VPO22" s="99"/>
      <c r="VPP22" s="99"/>
      <c r="VPQ22" s="99"/>
      <c r="VPR22" s="99"/>
      <c r="VPS22" s="99"/>
      <c r="VPT22" s="99"/>
      <c r="VPU22" s="99"/>
      <c r="VPV22" s="99"/>
      <c r="VPW22" s="99"/>
      <c r="VPX22" s="99"/>
      <c r="VPY22" s="99"/>
      <c r="VPZ22" s="99"/>
      <c r="VQA22" s="99"/>
      <c r="VQB22" s="99"/>
      <c r="VQC22" s="99"/>
      <c r="VQD22" s="99"/>
      <c r="VQE22" s="99"/>
      <c r="VQF22" s="99"/>
      <c r="VQG22" s="99"/>
      <c r="VQH22" s="99"/>
      <c r="VQI22" s="99"/>
      <c r="VQJ22" s="99"/>
      <c r="VQK22" s="99"/>
      <c r="VQL22" s="99"/>
      <c r="VQM22" s="99"/>
      <c r="VQN22" s="99"/>
      <c r="VQO22" s="99"/>
      <c r="VQP22" s="99"/>
      <c r="VQQ22" s="99"/>
      <c r="VQR22" s="99"/>
      <c r="VQS22" s="99"/>
      <c r="VQT22" s="99"/>
      <c r="VQU22" s="99"/>
      <c r="VQV22" s="99"/>
      <c r="VQW22" s="99"/>
      <c r="VQX22" s="99"/>
      <c r="VQY22" s="99"/>
      <c r="VQZ22" s="99"/>
      <c r="VRA22" s="99"/>
      <c r="VRB22" s="99"/>
      <c r="VRC22" s="99"/>
      <c r="VRD22" s="99"/>
      <c r="VRE22" s="99"/>
      <c r="VRF22" s="99"/>
      <c r="VRG22" s="99"/>
      <c r="VRH22" s="99"/>
      <c r="VRI22" s="99"/>
      <c r="VRJ22" s="99"/>
      <c r="VRK22" s="99"/>
      <c r="VRL22" s="99"/>
      <c r="VRM22" s="99"/>
      <c r="VRN22" s="99"/>
      <c r="VRO22" s="99"/>
      <c r="VRP22" s="99"/>
      <c r="VRQ22" s="99"/>
      <c r="VRR22" s="99"/>
      <c r="VRS22" s="99"/>
      <c r="VRT22" s="99"/>
      <c r="VRU22" s="99"/>
      <c r="VRV22" s="99"/>
      <c r="VRW22" s="99"/>
      <c r="VRX22" s="99"/>
      <c r="VRY22" s="99"/>
      <c r="VRZ22" s="99"/>
      <c r="VSA22" s="99"/>
      <c r="VSB22" s="99"/>
      <c r="VSC22" s="99"/>
      <c r="VSD22" s="99"/>
      <c r="VSE22" s="99"/>
      <c r="VSF22" s="99"/>
      <c r="VSG22" s="99"/>
      <c r="VSH22" s="99"/>
      <c r="VSI22" s="99"/>
      <c r="VSJ22" s="99"/>
      <c r="VSK22" s="99"/>
      <c r="VSL22" s="99"/>
      <c r="VSM22" s="99"/>
      <c r="VSN22" s="99"/>
      <c r="VSO22" s="99"/>
      <c r="VSP22" s="99"/>
      <c r="VSQ22" s="99"/>
      <c r="VSR22" s="99"/>
      <c r="VSS22" s="99"/>
      <c r="VST22" s="99"/>
      <c r="VSU22" s="99"/>
      <c r="VSV22" s="99"/>
      <c r="VSW22" s="99"/>
      <c r="VSX22" s="99"/>
      <c r="VSY22" s="99"/>
      <c r="VSZ22" s="99"/>
      <c r="VTA22" s="99"/>
      <c r="VTB22" s="99"/>
      <c r="VTC22" s="99"/>
      <c r="VTD22" s="99"/>
      <c r="VTE22" s="99"/>
      <c r="VTF22" s="99"/>
      <c r="VTG22" s="99"/>
      <c r="VTH22" s="99"/>
      <c r="VTI22" s="99"/>
      <c r="VTJ22" s="99"/>
      <c r="VTK22" s="99"/>
      <c r="VTL22" s="99"/>
      <c r="VTM22" s="99"/>
      <c r="VTN22" s="99"/>
      <c r="VTO22" s="99"/>
      <c r="VTP22" s="99"/>
      <c r="VTQ22" s="99"/>
      <c r="VTR22" s="99"/>
      <c r="VTS22" s="99"/>
      <c r="VTT22" s="99"/>
      <c r="VTU22" s="99"/>
      <c r="VTV22" s="99"/>
      <c r="VTW22" s="99"/>
      <c r="VTX22" s="99"/>
      <c r="VTY22" s="99"/>
      <c r="VTZ22" s="99"/>
      <c r="VUA22" s="99"/>
      <c r="VUB22" s="99"/>
      <c r="VUC22" s="99"/>
      <c r="VUD22" s="99"/>
      <c r="VUE22" s="99"/>
      <c r="VUF22" s="99"/>
      <c r="VUG22" s="99"/>
      <c r="VUH22" s="99"/>
      <c r="VUI22" s="99"/>
      <c r="VUJ22" s="99"/>
      <c r="VUK22" s="99"/>
      <c r="VUL22" s="99"/>
      <c r="VUM22" s="99"/>
      <c r="VUN22" s="99"/>
      <c r="VUO22" s="99"/>
      <c r="VUP22" s="99"/>
      <c r="VUQ22" s="99"/>
      <c r="VUR22" s="99"/>
      <c r="VUS22" s="99"/>
      <c r="VUT22" s="99"/>
      <c r="VUU22" s="99"/>
      <c r="VUV22" s="99"/>
      <c r="VUW22" s="99"/>
      <c r="VUX22" s="99"/>
      <c r="VUY22" s="99"/>
      <c r="VUZ22" s="99"/>
      <c r="VVA22" s="99"/>
      <c r="VVB22" s="99"/>
      <c r="VVC22" s="99"/>
      <c r="VVD22" s="99"/>
      <c r="VVE22" s="99"/>
      <c r="VVF22" s="99"/>
      <c r="VVG22" s="99"/>
      <c r="VVH22" s="99"/>
      <c r="VVI22" s="99"/>
      <c r="VVJ22" s="99"/>
      <c r="VVK22" s="99"/>
      <c r="VVL22" s="99"/>
      <c r="VVM22" s="99"/>
      <c r="VVN22" s="99"/>
      <c r="VVO22" s="99"/>
      <c r="VVP22" s="99"/>
      <c r="VVQ22" s="99"/>
      <c r="VVR22" s="99"/>
      <c r="VVS22" s="99"/>
      <c r="VVT22" s="99"/>
      <c r="VVU22" s="99"/>
      <c r="VVV22" s="99"/>
      <c r="VVW22" s="99"/>
      <c r="VVX22" s="99"/>
      <c r="VVY22" s="99"/>
      <c r="VVZ22" s="99"/>
      <c r="VWA22" s="99"/>
      <c r="VWB22" s="99"/>
      <c r="VWC22" s="99"/>
      <c r="VWD22" s="99"/>
      <c r="VWE22" s="99"/>
      <c r="VWF22" s="99"/>
      <c r="VWG22" s="99"/>
      <c r="VWH22" s="99"/>
      <c r="VWI22" s="99"/>
      <c r="VWJ22" s="99"/>
      <c r="VWK22" s="99"/>
      <c r="VWL22" s="99"/>
      <c r="VWM22" s="99"/>
      <c r="VWN22" s="99"/>
      <c r="VWO22" s="99"/>
      <c r="VWP22" s="99"/>
      <c r="VWQ22" s="99"/>
      <c r="VWR22" s="99"/>
      <c r="VWS22" s="99"/>
      <c r="VWT22" s="99"/>
      <c r="VWU22" s="99"/>
      <c r="VWV22" s="99"/>
      <c r="VWW22" s="99"/>
      <c r="VWX22" s="99"/>
      <c r="VWY22" s="99"/>
      <c r="VWZ22" s="99"/>
      <c r="VXA22" s="99"/>
      <c r="VXB22" s="99"/>
      <c r="VXC22" s="99"/>
      <c r="VXD22" s="99"/>
      <c r="VXE22" s="99"/>
      <c r="VXF22" s="99"/>
      <c r="VXG22" s="99"/>
      <c r="VXH22" s="99"/>
      <c r="VXI22" s="99"/>
      <c r="VXJ22" s="99"/>
      <c r="VXK22" s="99"/>
      <c r="VXL22" s="99"/>
      <c r="VXM22" s="99"/>
      <c r="VXN22" s="99"/>
      <c r="VXO22" s="99"/>
      <c r="VXP22" s="99"/>
      <c r="VXQ22" s="99"/>
      <c r="VXR22" s="99"/>
      <c r="VXS22" s="99"/>
      <c r="VXT22" s="99"/>
      <c r="VXU22" s="99"/>
      <c r="VXV22" s="99"/>
      <c r="VXW22" s="99"/>
      <c r="VXX22" s="99"/>
      <c r="VXY22" s="99"/>
      <c r="VXZ22" s="99"/>
      <c r="VYA22" s="99"/>
      <c r="VYB22" s="99"/>
      <c r="VYC22" s="99"/>
      <c r="VYD22" s="99"/>
      <c r="VYE22" s="99"/>
      <c r="VYF22" s="99"/>
      <c r="VYG22" s="99"/>
      <c r="VYH22" s="99"/>
      <c r="VYI22" s="99"/>
      <c r="VYJ22" s="99"/>
      <c r="VYK22" s="99"/>
      <c r="VYL22" s="99"/>
      <c r="VYM22" s="99"/>
      <c r="VYN22" s="99"/>
      <c r="VYO22" s="99"/>
      <c r="VYP22" s="99"/>
      <c r="VYQ22" s="99"/>
      <c r="VYR22" s="99"/>
      <c r="VYS22" s="99"/>
      <c r="VYT22" s="99"/>
      <c r="VYU22" s="99"/>
      <c r="VYV22" s="99"/>
      <c r="VYW22" s="99"/>
      <c r="VYX22" s="99"/>
      <c r="VYY22" s="99"/>
      <c r="VYZ22" s="99"/>
      <c r="VZA22" s="99"/>
      <c r="VZB22" s="99"/>
      <c r="VZC22" s="99"/>
      <c r="VZD22" s="99"/>
      <c r="VZE22" s="99"/>
      <c r="VZF22" s="99"/>
      <c r="VZG22" s="99"/>
      <c r="VZH22" s="99"/>
      <c r="VZI22" s="99"/>
      <c r="VZJ22" s="99"/>
      <c r="VZK22" s="99"/>
      <c r="VZL22" s="99"/>
      <c r="VZM22" s="99"/>
      <c r="VZN22" s="99"/>
      <c r="VZO22" s="99"/>
      <c r="VZP22" s="99"/>
      <c r="VZQ22" s="99"/>
      <c r="VZR22" s="99"/>
      <c r="VZS22" s="99"/>
      <c r="VZT22" s="99"/>
      <c r="VZU22" s="99"/>
      <c r="VZV22" s="99"/>
      <c r="VZW22" s="99"/>
      <c r="VZX22" s="99"/>
      <c r="VZY22" s="99"/>
      <c r="VZZ22" s="99"/>
      <c r="WAA22" s="99"/>
      <c r="WAB22" s="99"/>
      <c r="WAC22" s="99"/>
      <c r="WAD22" s="99"/>
      <c r="WAE22" s="99"/>
      <c r="WAF22" s="99"/>
      <c r="WAG22" s="99"/>
      <c r="WAH22" s="99"/>
      <c r="WAI22" s="99"/>
      <c r="WAJ22" s="99"/>
      <c r="WAK22" s="99"/>
      <c r="WAL22" s="99"/>
      <c r="WAM22" s="99"/>
      <c r="WAN22" s="99"/>
      <c r="WAO22" s="99"/>
      <c r="WAP22" s="99"/>
      <c r="WAQ22" s="99"/>
      <c r="WAR22" s="99"/>
      <c r="WAS22" s="99"/>
      <c r="WAT22" s="99"/>
      <c r="WAU22" s="99"/>
      <c r="WAV22" s="99"/>
      <c r="WAW22" s="99"/>
      <c r="WAX22" s="99"/>
      <c r="WAY22" s="99"/>
      <c r="WAZ22" s="99"/>
      <c r="WBA22" s="99"/>
      <c r="WBB22" s="99"/>
      <c r="WBC22" s="99"/>
      <c r="WBD22" s="99"/>
      <c r="WBE22" s="99"/>
      <c r="WBF22" s="99"/>
      <c r="WBG22" s="99"/>
      <c r="WBH22" s="99"/>
      <c r="WBI22" s="99"/>
      <c r="WBJ22" s="99"/>
      <c r="WBK22" s="99"/>
      <c r="WBL22" s="99"/>
      <c r="WBM22" s="99"/>
      <c r="WBN22" s="99"/>
      <c r="WBO22" s="99"/>
      <c r="WBP22" s="99"/>
      <c r="WBQ22" s="99"/>
      <c r="WBR22" s="99"/>
      <c r="WBS22" s="99"/>
      <c r="WBT22" s="99"/>
      <c r="WBU22" s="99"/>
      <c r="WBV22" s="99"/>
      <c r="WBW22" s="99"/>
      <c r="WBX22" s="99"/>
      <c r="WBY22" s="99"/>
      <c r="WBZ22" s="99"/>
      <c r="WCA22" s="99"/>
      <c r="WCB22" s="99"/>
      <c r="WCC22" s="99"/>
      <c r="WCD22" s="99"/>
      <c r="WCE22" s="99"/>
      <c r="WCF22" s="99"/>
      <c r="WCG22" s="99"/>
      <c r="WCH22" s="99"/>
      <c r="WCI22" s="99"/>
      <c r="WCJ22" s="99"/>
      <c r="WCK22" s="99"/>
      <c r="WCL22" s="99"/>
      <c r="WCM22" s="99"/>
      <c r="WCN22" s="99"/>
      <c r="WCO22" s="99"/>
      <c r="WCP22" s="99"/>
      <c r="WCQ22" s="99"/>
      <c r="WCR22" s="99"/>
      <c r="WCS22" s="99"/>
      <c r="WCT22" s="99"/>
      <c r="WCU22" s="99"/>
      <c r="WCV22" s="99"/>
      <c r="WCW22" s="99"/>
      <c r="WCX22" s="99"/>
      <c r="WCY22" s="99"/>
      <c r="WCZ22" s="99"/>
      <c r="WDA22" s="99"/>
      <c r="WDB22" s="99"/>
      <c r="WDC22" s="99"/>
      <c r="WDD22" s="99"/>
      <c r="WDE22" s="99"/>
      <c r="WDF22" s="99"/>
      <c r="WDG22" s="99"/>
      <c r="WDH22" s="99"/>
      <c r="WDI22" s="99"/>
      <c r="WDJ22" s="99"/>
      <c r="WDK22" s="99"/>
      <c r="WDL22" s="99"/>
      <c r="WDM22" s="99"/>
      <c r="WDN22" s="99"/>
      <c r="WDO22" s="99"/>
      <c r="WDP22" s="99"/>
      <c r="WDQ22" s="99"/>
      <c r="WDR22" s="99"/>
      <c r="WDS22" s="99"/>
      <c r="WDT22" s="99"/>
      <c r="WDU22" s="99"/>
      <c r="WDV22" s="99"/>
      <c r="WDW22" s="99"/>
      <c r="WDX22" s="99"/>
      <c r="WDY22" s="99"/>
      <c r="WDZ22" s="99"/>
      <c r="WEA22" s="99"/>
      <c r="WEB22" s="99"/>
      <c r="WEC22" s="99"/>
      <c r="WED22" s="99"/>
      <c r="WEE22" s="99"/>
      <c r="WEF22" s="99"/>
      <c r="WEG22" s="99"/>
      <c r="WEH22" s="99"/>
      <c r="WEI22" s="99"/>
      <c r="WEJ22" s="99"/>
      <c r="WEK22" s="99"/>
      <c r="WEL22" s="99"/>
      <c r="WEM22" s="99"/>
      <c r="WEN22" s="99"/>
      <c r="WEO22" s="99"/>
      <c r="WEP22" s="99"/>
      <c r="WEQ22" s="99"/>
      <c r="WER22" s="99"/>
      <c r="WES22" s="99"/>
      <c r="WET22" s="99"/>
      <c r="WEU22" s="99"/>
      <c r="WEV22" s="99"/>
      <c r="WEW22" s="99"/>
      <c r="WEX22" s="99"/>
      <c r="WEY22" s="99"/>
      <c r="WEZ22" s="99"/>
      <c r="WFA22" s="99"/>
      <c r="WFB22" s="99"/>
      <c r="WFC22" s="99"/>
      <c r="WFD22" s="99"/>
      <c r="WFE22" s="99"/>
      <c r="WFF22" s="99"/>
      <c r="WFG22" s="99"/>
      <c r="WFH22" s="99"/>
      <c r="WFI22" s="99"/>
      <c r="WFJ22" s="99"/>
      <c r="WFK22" s="99"/>
      <c r="WFL22" s="99"/>
      <c r="WFM22" s="99"/>
      <c r="WFN22" s="99"/>
      <c r="WFO22" s="99"/>
      <c r="WFP22" s="99"/>
      <c r="WFQ22" s="99"/>
      <c r="WFR22" s="99"/>
      <c r="WFS22" s="99"/>
      <c r="WFT22" s="99"/>
      <c r="WFU22" s="99"/>
      <c r="WFV22" s="99"/>
      <c r="WFW22" s="99"/>
      <c r="WFX22" s="99"/>
      <c r="WFY22" s="99"/>
      <c r="WFZ22" s="99"/>
      <c r="WGA22" s="99"/>
      <c r="WGB22" s="99"/>
      <c r="WGC22" s="99"/>
      <c r="WGD22" s="99"/>
      <c r="WGE22" s="99"/>
      <c r="WGF22" s="99"/>
      <c r="WGG22" s="99"/>
      <c r="WGH22" s="99"/>
      <c r="WGI22" s="99"/>
      <c r="WGJ22" s="99"/>
      <c r="WGK22" s="99"/>
      <c r="WGL22" s="99"/>
      <c r="WGM22" s="99"/>
      <c r="WGN22" s="99"/>
      <c r="WGO22" s="99"/>
      <c r="WGP22" s="99"/>
      <c r="WGQ22" s="99"/>
      <c r="WGR22" s="99"/>
      <c r="WGS22" s="99"/>
      <c r="WGT22" s="99"/>
      <c r="WGU22" s="99"/>
      <c r="WGV22" s="99"/>
      <c r="WGW22" s="99"/>
      <c r="WGX22" s="99"/>
      <c r="WGY22" s="99"/>
      <c r="WGZ22" s="99"/>
      <c r="WHA22" s="99"/>
      <c r="WHB22" s="99"/>
      <c r="WHC22" s="99"/>
      <c r="WHD22" s="99"/>
      <c r="WHE22" s="99"/>
      <c r="WHF22" s="99"/>
      <c r="WHG22" s="99"/>
      <c r="WHH22" s="99"/>
      <c r="WHI22" s="99"/>
      <c r="WHJ22" s="99"/>
      <c r="WHK22" s="99"/>
      <c r="WHL22" s="99"/>
      <c r="WHM22" s="99"/>
      <c r="WHN22" s="99"/>
      <c r="WHO22" s="99"/>
      <c r="WHP22" s="99"/>
      <c r="WHQ22" s="99"/>
      <c r="WHR22" s="99"/>
      <c r="WHS22" s="99"/>
      <c r="WHT22" s="99"/>
      <c r="WHU22" s="99"/>
      <c r="WHV22" s="99"/>
      <c r="WHW22" s="99"/>
      <c r="WHX22" s="99"/>
      <c r="WHY22" s="99"/>
      <c r="WHZ22" s="99"/>
      <c r="WIA22" s="99"/>
      <c r="WIB22" s="99"/>
      <c r="WIC22" s="99"/>
      <c r="WID22" s="99"/>
      <c r="WIE22" s="99"/>
      <c r="WIF22" s="99"/>
      <c r="WIG22" s="99"/>
      <c r="WIH22" s="99"/>
      <c r="WII22" s="99"/>
      <c r="WIJ22" s="99"/>
      <c r="WIK22" s="99"/>
      <c r="WIL22" s="99"/>
      <c r="WIM22" s="99"/>
      <c r="WIN22" s="99"/>
      <c r="WIO22" s="99"/>
      <c r="WIP22" s="99"/>
      <c r="WIQ22" s="99"/>
      <c r="WIR22" s="99"/>
      <c r="WIS22" s="99"/>
      <c r="WIT22" s="99"/>
      <c r="WIU22" s="99"/>
      <c r="WIV22" s="99"/>
      <c r="WIW22" s="99"/>
      <c r="WIX22" s="99"/>
      <c r="WIY22" s="99"/>
      <c r="WIZ22" s="99"/>
      <c r="WJA22" s="99"/>
      <c r="WJB22" s="99"/>
      <c r="WJC22" s="99"/>
      <c r="WJD22" s="99"/>
      <c r="WJE22" s="99"/>
      <c r="WJF22" s="99"/>
      <c r="WJG22" s="99"/>
      <c r="WJH22" s="99"/>
      <c r="WJI22" s="99"/>
      <c r="WJJ22" s="99"/>
      <c r="WJK22" s="99"/>
      <c r="WJL22" s="99"/>
      <c r="WJM22" s="99"/>
      <c r="WJN22" s="99"/>
      <c r="WJO22" s="99"/>
      <c r="WJP22" s="99"/>
      <c r="WJQ22" s="99"/>
      <c r="WJR22" s="99"/>
      <c r="WJS22" s="99"/>
      <c r="WJT22" s="99"/>
      <c r="WJU22" s="99"/>
      <c r="WJV22" s="99"/>
      <c r="WJW22" s="99"/>
      <c r="WJX22" s="99"/>
      <c r="WJY22" s="99"/>
      <c r="WJZ22" s="99"/>
      <c r="WKA22" s="99"/>
      <c r="WKB22" s="99"/>
      <c r="WKC22" s="99"/>
      <c r="WKD22" s="99"/>
      <c r="WKE22" s="99"/>
      <c r="WKF22" s="99"/>
      <c r="WKG22" s="99"/>
      <c r="WKH22" s="99"/>
      <c r="WKI22" s="99"/>
      <c r="WKJ22" s="99"/>
      <c r="WKK22" s="99"/>
      <c r="WKL22" s="99"/>
      <c r="WKM22" s="99"/>
      <c r="WKN22" s="99"/>
      <c r="WKO22" s="99"/>
      <c r="WKP22" s="99"/>
      <c r="WKQ22" s="99"/>
      <c r="WKR22" s="99"/>
      <c r="WKS22" s="99"/>
      <c r="WKT22" s="99"/>
      <c r="WKU22" s="99"/>
      <c r="WKV22" s="99"/>
      <c r="WKW22" s="99"/>
      <c r="WKX22" s="99"/>
      <c r="WKY22" s="99"/>
      <c r="WKZ22" s="99"/>
      <c r="WLA22" s="99"/>
      <c r="WLB22" s="99"/>
      <c r="WLC22" s="99"/>
      <c r="WLD22" s="99"/>
      <c r="WLE22" s="99"/>
      <c r="WLF22" s="99"/>
      <c r="WLG22" s="99"/>
      <c r="WLH22" s="99"/>
      <c r="WLI22" s="99"/>
      <c r="WLJ22" s="99"/>
      <c r="WLK22" s="99"/>
      <c r="WLL22" s="99"/>
      <c r="WLM22" s="99"/>
      <c r="WLN22" s="99"/>
      <c r="WLO22" s="99"/>
      <c r="WLP22" s="99"/>
      <c r="WLQ22" s="99"/>
      <c r="WLR22" s="99"/>
      <c r="WLS22" s="99"/>
      <c r="WLT22" s="99"/>
      <c r="WLU22" s="99"/>
      <c r="WLV22" s="99"/>
      <c r="WLW22" s="99"/>
      <c r="WLX22" s="99"/>
      <c r="WLY22" s="99"/>
      <c r="WLZ22" s="99"/>
      <c r="WMA22" s="99"/>
      <c r="WMB22" s="99"/>
      <c r="WMC22" s="99"/>
      <c r="WMD22" s="99"/>
      <c r="WME22" s="99"/>
      <c r="WMF22" s="99"/>
      <c r="WMG22" s="99"/>
      <c r="WMH22" s="99"/>
      <c r="WMI22" s="99"/>
      <c r="WMJ22" s="99"/>
      <c r="WMK22" s="99"/>
      <c r="WML22" s="99"/>
      <c r="WMM22" s="99"/>
      <c r="WMN22" s="99"/>
      <c r="WMO22" s="99"/>
      <c r="WMP22" s="99"/>
      <c r="WMQ22" s="99"/>
      <c r="WMR22" s="99"/>
      <c r="WMS22" s="99"/>
      <c r="WMT22" s="99"/>
      <c r="WMU22" s="99"/>
      <c r="WMV22" s="99"/>
      <c r="WMW22" s="99"/>
      <c r="WMX22" s="99"/>
      <c r="WMY22" s="99"/>
      <c r="WMZ22" s="99"/>
      <c r="WNA22" s="99"/>
      <c r="WNB22" s="99"/>
      <c r="WNC22" s="99"/>
      <c r="WND22" s="99"/>
      <c r="WNE22" s="99"/>
      <c r="WNF22" s="99"/>
      <c r="WNG22" s="99"/>
      <c r="WNH22" s="99"/>
      <c r="WNI22" s="99"/>
      <c r="WNJ22" s="99"/>
      <c r="WNK22" s="99"/>
      <c r="WNL22" s="99"/>
      <c r="WNM22" s="99"/>
      <c r="WNN22" s="99"/>
      <c r="WNO22" s="99"/>
      <c r="WNP22" s="99"/>
      <c r="WNQ22" s="99"/>
      <c r="WNR22" s="99"/>
      <c r="WNS22" s="99"/>
      <c r="WNT22" s="99"/>
      <c r="WNU22" s="99"/>
      <c r="WNV22" s="99"/>
      <c r="WNW22" s="99"/>
      <c r="WNX22" s="99"/>
      <c r="WNY22" s="99"/>
      <c r="WNZ22" s="99"/>
      <c r="WOA22" s="99"/>
      <c r="WOB22" s="99"/>
      <c r="WOC22" s="99"/>
      <c r="WOD22" s="99"/>
      <c r="WOE22" s="99"/>
      <c r="WOF22" s="99"/>
      <c r="WOG22" s="99"/>
      <c r="WOH22" s="99"/>
      <c r="WOI22" s="99"/>
      <c r="WOJ22" s="99"/>
      <c r="WOK22" s="99"/>
      <c r="WOL22" s="99"/>
      <c r="WOM22" s="99"/>
      <c r="WON22" s="99"/>
      <c r="WOO22" s="99"/>
      <c r="WOP22" s="99"/>
      <c r="WOQ22" s="99"/>
      <c r="WOR22" s="99"/>
      <c r="WOS22" s="99"/>
      <c r="WOT22" s="99"/>
      <c r="WOU22" s="99"/>
      <c r="WOV22" s="99"/>
      <c r="WOW22" s="99"/>
      <c r="WOX22" s="99"/>
      <c r="WOY22" s="99"/>
      <c r="WOZ22" s="99"/>
      <c r="WPA22" s="99"/>
      <c r="WPB22" s="99"/>
      <c r="WPC22" s="99"/>
      <c r="WPD22" s="99"/>
      <c r="WPE22" s="99"/>
      <c r="WPF22" s="99"/>
      <c r="WPG22" s="99"/>
      <c r="WPH22" s="99"/>
      <c r="WPI22" s="99"/>
      <c r="WPJ22" s="99"/>
      <c r="WPK22" s="99"/>
      <c r="WPL22" s="99"/>
      <c r="WPM22" s="99"/>
      <c r="WPN22" s="99"/>
      <c r="WPO22" s="99"/>
      <c r="WPP22" s="99"/>
      <c r="WPQ22" s="99"/>
      <c r="WPR22" s="99"/>
      <c r="WPS22" s="99"/>
      <c r="WPT22" s="99"/>
      <c r="WPU22" s="99"/>
      <c r="WPV22" s="99"/>
      <c r="WPW22" s="99"/>
      <c r="WPX22" s="99"/>
      <c r="WPY22" s="99"/>
      <c r="WPZ22" s="99"/>
      <c r="WQA22" s="99"/>
      <c r="WQB22" s="99"/>
      <c r="WQC22" s="99"/>
      <c r="WQD22" s="99"/>
      <c r="WQE22" s="99"/>
      <c r="WQF22" s="99"/>
      <c r="WQG22" s="99"/>
      <c r="WQH22" s="99"/>
      <c r="WQI22" s="99"/>
      <c r="WQJ22" s="99"/>
      <c r="WQK22" s="99"/>
      <c r="WQL22" s="99"/>
      <c r="WQM22" s="99"/>
      <c r="WQN22" s="99"/>
      <c r="WQO22" s="99"/>
      <c r="WQP22" s="99"/>
      <c r="WQQ22" s="99"/>
      <c r="WQR22" s="99"/>
      <c r="WQS22" s="99"/>
      <c r="WQT22" s="99"/>
      <c r="WQU22" s="99"/>
      <c r="WQV22" s="99"/>
      <c r="WQW22" s="99"/>
      <c r="WQX22" s="99"/>
      <c r="WQY22" s="99"/>
      <c r="WQZ22" s="99"/>
      <c r="WRA22" s="99"/>
      <c r="WRB22" s="99"/>
      <c r="WRC22" s="99"/>
      <c r="WRD22" s="99"/>
      <c r="WRE22" s="99"/>
      <c r="WRF22" s="99"/>
      <c r="WRG22" s="99"/>
      <c r="WRH22" s="99"/>
      <c r="WRI22" s="99"/>
      <c r="WRJ22" s="99"/>
      <c r="WRK22" s="99"/>
      <c r="WRL22" s="99"/>
      <c r="WRM22" s="99"/>
      <c r="WRN22" s="99"/>
      <c r="WRO22" s="99"/>
      <c r="WRP22" s="99"/>
      <c r="WRQ22" s="99"/>
      <c r="WRR22" s="99"/>
      <c r="WRS22" s="99"/>
      <c r="WRT22" s="99"/>
      <c r="WRU22" s="99"/>
      <c r="WRV22" s="99"/>
      <c r="WRW22" s="99"/>
      <c r="WRX22" s="99"/>
      <c r="WRY22" s="99"/>
      <c r="WRZ22" s="99"/>
      <c r="WSA22" s="99"/>
      <c r="WSB22" s="99"/>
      <c r="WSC22" s="99"/>
      <c r="WSD22" s="99"/>
      <c r="WSE22" s="99"/>
      <c r="WSF22" s="99"/>
      <c r="WSG22" s="99"/>
      <c r="WSH22" s="99"/>
      <c r="WSI22" s="99"/>
      <c r="WSJ22" s="99"/>
      <c r="WSK22" s="99"/>
      <c r="WSL22" s="99"/>
      <c r="WSM22" s="99"/>
      <c r="WSN22" s="99"/>
      <c r="WSO22" s="99"/>
      <c r="WSP22" s="99"/>
      <c r="WSQ22" s="99"/>
      <c r="WSR22" s="99"/>
      <c r="WSS22" s="99"/>
      <c r="WST22" s="99"/>
      <c r="WSU22" s="99"/>
      <c r="WSV22" s="99"/>
      <c r="WSW22" s="99"/>
      <c r="WSX22" s="99"/>
      <c r="WSY22" s="99"/>
      <c r="WSZ22" s="99"/>
      <c r="WTA22" s="99"/>
      <c r="WTB22" s="99"/>
      <c r="WTC22" s="99"/>
      <c r="WTD22" s="99"/>
      <c r="WTE22" s="99"/>
      <c r="WTF22" s="99"/>
      <c r="WTG22" s="99"/>
      <c r="WTH22" s="99"/>
      <c r="WTI22" s="99"/>
      <c r="WTJ22" s="99"/>
      <c r="WTK22" s="99"/>
      <c r="WTL22" s="99"/>
      <c r="WTM22" s="99"/>
      <c r="WTN22" s="99"/>
      <c r="WTO22" s="99"/>
      <c r="WTP22" s="99"/>
      <c r="WTQ22" s="99"/>
      <c r="WTR22" s="99"/>
      <c r="WTS22" s="99"/>
      <c r="WTT22" s="99"/>
      <c r="WTU22" s="99"/>
      <c r="WTV22" s="99"/>
      <c r="WTW22" s="99"/>
      <c r="WTX22" s="99"/>
      <c r="WTY22" s="99"/>
      <c r="WTZ22" s="99"/>
      <c r="WUA22" s="99"/>
      <c r="WUB22" s="99"/>
      <c r="WUC22" s="99"/>
      <c r="WUD22" s="99"/>
      <c r="WUE22" s="99"/>
      <c r="WUF22" s="99"/>
      <c r="WUG22" s="99"/>
      <c r="WUH22" s="99"/>
      <c r="WUI22" s="99"/>
      <c r="WUJ22" s="99"/>
      <c r="WUK22" s="99"/>
      <c r="WUL22" s="99"/>
      <c r="WUM22" s="99"/>
      <c r="WUN22" s="99"/>
      <c r="WUO22" s="99"/>
      <c r="WUP22" s="99"/>
      <c r="WUQ22" s="99"/>
      <c r="WUR22" s="99"/>
      <c r="WUS22" s="99"/>
      <c r="WUT22" s="99"/>
      <c r="WUU22" s="99"/>
      <c r="WUV22" s="99"/>
      <c r="WUW22" s="99"/>
      <c r="WUX22" s="99"/>
      <c r="WUY22" s="99"/>
      <c r="WUZ22" s="99"/>
      <c r="WVA22" s="99"/>
      <c r="WVB22" s="99"/>
      <c r="WVC22" s="99"/>
      <c r="WVD22" s="99"/>
      <c r="WVE22" s="99"/>
      <c r="WVF22" s="99"/>
      <c r="WVG22" s="99"/>
      <c r="WVH22" s="99"/>
      <c r="WVI22" s="99"/>
      <c r="WVJ22" s="99"/>
      <c r="WVK22" s="99"/>
      <c r="WVL22" s="99"/>
      <c r="WVM22" s="99"/>
      <c r="WVN22" s="99"/>
      <c r="WVO22" s="99"/>
      <c r="WVP22" s="99"/>
      <c r="WVQ22" s="99"/>
      <c r="WVR22" s="99"/>
      <c r="WVS22" s="99"/>
      <c r="WVT22" s="99"/>
      <c r="WVU22" s="99"/>
      <c r="WVV22" s="99"/>
      <c r="WVW22" s="99"/>
      <c r="WVX22" s="99"/>
      <c r="WVY22" s="99"/>
      <c r="WVZ22" s="99"/>
      <c r="WWA22" s="99"/>
      <c r="WWB22" s="99"/>
      <c r="WWC22" s="99"/>
      <c r="WWD22" s="99"/>
      <c r="WWE22" s="99"/>
      <c r="WWF22" s="99"/>
      <c r="WWG22" s="99"/>
      <c r="WWH22" s="99"/>
      <c r="WWI22" s="99"/>
      <c r="WWJ22" s="99"/>
      <c r="WWK22" s="99"/>
      <c r="WWL22" s="99"/>
      <c r="WWM22" s="99"/>
      <c r="WWN22" s="99"/>
      <c r="WWO22" s="99"/>
      <c r="WWP22" s="99"/>
      <c r="WWQ22" s="99"/>
      <c r="WWR22" s="99"/>
      <c r="WWS22" s="99"/>
      <c r="WWT22" s="99"/>
      <c r="WWU22" s="99"/>
      <c r="WWV22" s="99"/>
      <c r="WWW22" s="99"/>
      <c r="WWX22" s="99"/>
      <c r="WWY22" s="99"/>
      <c r="WWZ22" s="99"/>
      <c r="WXA22" s="99"/>
      <c r="WXB22" s="99"/>
      <c r="WXC22" s="99"/>
      <c r="WXD22" s="99"/>
      <c r="WXE22" s="99"/>
      <c r="WXF22" s="99"/>
      <c r="WXG22" s="99"/>
      <c r="WXH22" s="99"/>
      <c r="WXI22" s="99"/>
      <c r="WXJ22" s="99"/>
      <c r="WXK22" s="99"/>
      <c r="WXL22" s="99"/>
      <c r="WXM22" s="99"/>
      <c r="WXN22" s="99"/>
      <c r="WXO22" s="99"/>
      <c r="WXP22" s="99"/>
      <c r="WXQ22" s="99"/>
      <c r="WXR22" s="99"/>
      <c r="WXS22" s="99"/>
      <c r="WXT22" s="99"/>
      <c r="WXU22" s="99"/>
      <c r="WXV22" s="99"/>
      <c r="WXW22" s="99"/>
      <c r="WXX22" s="99"/>
      <c r="WXY22" s="99"/>
      <c r="WXZ22" s="99"/>
      <c r="WYA22" s="99"/>
      <c r="WYB22" s="99"/>
      <c r="WYC22" s="99"/>
      <c r="WYD22" s="99"/>
      <c r="WYE22" s="99"/>
      <c r="WYF22" s="99"/>
      <c r="WYG22" s="99"/>
      <c r="WYH22" s="99"/>
      <c r="WYI22" s="99"/>
      <c r="WYJ22" s="99"/>
      <c r="WYK22" s="99"/>
      <c r="WYL22" s="99"/>
      <c r="WYM22" s="99"/>
      <c r="WYN22" s="99"/>
      <c r="WYO22" s="99"/>
      <c r="WYP22" s="99"/>
      <c r="WYQ22" s="99"/>
      <c r="WYR22" s="99"/>
      <c r="WYS22" s="99"/>
      <c r="WYT22" s="99"/>
      <c r="WYU22" s="99"/>
      <c r="WYV22" s="99"/>
      <c r="WYW22" s="99"/>
      <c r="WYX22" s="99"/>
      <c r="WYY22" s="99"/>
      <c r="WYZ22" s="99"/>
      <c r="WZA22" s="99"/>
      <c r="WZB22" s="99"/>
      <c r="WZC22" s="99"/>
      <c r="WZD22" s="99"/>
      <c r="WZE22" s="99"/>
      <c r="WZF22" s="99"/>
      <c r="WZG22" s="99"/>
      <c r="WZH22" s="99"/>
      <c r="WZI22" s="99"/>
      <c r="WZJ22" s="99"/>
      <c r="WZK22" s="99"/>
      <c r="WZL22" s="99"/>
      <c r="WZM22" s="99"/>
      <c r="WZN22" s="99"/>
      <c r="WZO22" s="99"/>
      <c r="WZP22" s="99"/>
      <c r="WZQ22" s="99"/>
      <c r="WZR22" s="99"/>
      <c r="WZS22" s="99"/>
      <c r="WZT22" s="99"/>
      <c r="WZU22" s="99"/>
      <c r="WZV22" s="99"/>
      <c r="WZW22" s="99"/>
      <c r="WZX22" s="99"/>
      <c r="WZY22" s="99"/>
      <c r="WZZ22" s="99"/>
      <c r="XAA22" s="99"/>
      <c r="XAB22" s="99"/>
      <c r="XAC22" s="99"/>
      <c r="XAD22" s="99"/>
      <c r="XAE22" s="99"/>
      <c r="XAF22" s="99"/>
      <c r="XAG22" s="99"/>
      <c r="XAH22" s="99"/>
      <c r="XAI22" s="99"/>
      <c r="XAJ22" s="99"/>
      <c r="XAK22" s="99"/>
      <c r="XAL22" s="99"/>
      <c r="XAM22" s="99"/>
      <c r="XAN22" s="99"/>
      <c r="XAO22" s="99"/>
      <c r="XAP22" s="99"/>
      <c r="XAQ22" s="99"/>
      <c r="XAR22" s="99"/>
      <c r="XAS22" s="99"/>
      <c r="XAT22" s="99"/>
      <c r="XAU22" s="99"/>
      <c r="XAV22" s="99"/>
      <c r="XAW22" s="99"/>
      <c r="XAX22" s="99"/>
      <c r="XAY22" s="99"/>
      <c r="XAZ22" s="99"/>
      <c r="XBA22" s="99"/>
      <c r="XBB22" s="99"/>
      <c r="XBC22" s="99"/>
      <c r="XBD22" s="99"/>
      <c r="XBE22" s="99"/>
      <c r="XBF22" s="99"/>
      <c r="XBG22" s="99"/>
      <c r="XBH22" s="99"/>
      <c r="XBI22" s="99"/>
      <c r="XBJ22" s="99"/>
      <c r="XBK22" s="99"/>
      <c r="XBL22" s="99"/>
      <c r="XBM22" s="99"/>
      <c r="XBN22" s="99"/>
      <c r="XBO22" s="99"/>
      <c r="XBP22" s="99"/>
      <c r="XBQ22" s="99"/>
      <c r="XBR22" s="99"/>
      <c r="XBS22" s="99"/>
      <c r="XBT22" s="99"/>
      <c r="XBU22" s="99"/>
      <c r="XBV22" s="99"/>
      <c r="XBW22" s="99"/>
      <c r="XBX22" s="99"/>
      <c r="XBY22" s="99"/>
      <c r="XBZ22" s="99"/>
      <c r="XCA22" s="99"/>
      <c r="XCB22" s="99"/>
      <c r="XCC22" s="99"/>
      <c r="XCD22" s="99"/>
      <c r="XCE22" s="99"/>
      <c r="XCF22" s="99"/>
      <c r="XCG22" s="99"/>
      <c r="XCH22" s="99"/>
      <c r="XCI22" s="99"/>
      <c r="XCJ22" s="99"/>
      <c r="XCK22" s="99"/>
      <c r="XCL22" s="99"/>
      <c r="XCM22" s="99"/>
      <c r="XCN22" s="99"/>
      <c r="XCO22" s="99"/>
      <c r="XCP22" s="99"/>
      <c r="XCQ22" s="99"/>
      <c r="XCR22" s="99"/>
      <c r="XCS22" s="99"/>
      <c r="XCT22" s="99"/>
      <c r="XCU22" s="99"/>
      <c r="XCV22" s="99"/>
      <c r="XCW22" s="99"/>
      <c r="XCX22" s="99"/>
      <c r="XCY22" s="99"/>
      <c r="XCZ22" s="99"/>
      <c r="XDA22" s="99"/>
      <c r="XDB22" s="99"/>
      <c r="XDC22" s="99"/>
      <c r="XDD22" s="99"/>
      <c r="XDE22" s="99"/>
      <c r="XDF22" s="99"/>
      <c r="XDG22" s="99"/>
      <c r="XDH22" s="99"/>
      <c r="XDI22" s="99"/>
      <c r="XDJ22" s="99"/>
      <c r="XDK22" s="99"/>
      <c r="XDL22" s="99"/>
      <c r="XDM22" s="99"/>
      <c r="XDN22" s="99"/>
      <c r="XDO22" s="99"/>
      <c r="XDP22" s="99"/>
      <c r="XDQ22" s="99"/>
      <c r="XDR22" s="99"/>
      <c r="XDS22" s="99"/>
      <c r="XDT22" s="99"/>
      <c r="XDU22" s="99"/>
      <c r="XDV22" s="99"/>
      <c r="XDW22" s="99"/>
      <c r="XDX22" s="99"/>
      <c r="XDY22" s="99"/>
      <c r="XDZ22" s="99"/>
      <c r="XEA22" s="99"/>
      <c r="XEB22" s="99"/>
      <c r="XEC22" s="99"/>
      <c r="XED22" s="99"/>
      <c r="XEE22" s="99"/>
      <c r="XEF22" s="99"/>
      <c r="XEG22" s="99"/>
      <c r="XEH22" s="99"/>
      <c r="XEI22" s="99"/>
      <c r="XEJ22" s="99"/>
      <c r="XEK22" s="99"/>
      <c r="XEL22" s="99"/>
      <c r="XEM22" s="99"/>
      <c r="XEN22" s="99"/>
      <c r="XEO22" s="99"/>
      <c r="XEP22" s="99"/>
      <c r="XEQ22" s="99"/>
      <c r="XER22" s="99"/>
      <c r="XES22" s="99"/>
      <c r="XET22" s="99"/>
      <c r="XEU22" s="99"/>
    </row>
    <row r="23" spans="1:16375" s="94" customFormat="1" ht="14.5" x14ac:dyDescent="0.35">
      <c r="A23" s="98" t="s">
        <v>536</v>
      </c>
      <c r="B23" s="97" t="s">
        <v>580</v>
      </c>
      <c r="C23" s="97" t="s">
        <v>546</v>
      </c>
      <c r="D23" s="97">
        <v>21</v>
      </c>
      <c r="E23" s="97" t="s">
        <v>576</v>
      </c>
      <c r="F23" s="97">
        <v>4</v>
      </c>
      <c r="G23" s="97" t="s">
        <v>532</v>
      </c>
      <c r="H23" s="97" t="s">
        <v>575</v>
      </c>
      <c r="I23" s="97" t="s">
        <v>529</v>
      </c>
      <c r="J23" s="97">
        <v>1</v>
      </c>
      <c r="K23" s="97" t="s">
        <v>530</v>
      </c>
      <c r="L23" s="97" t="s">
        <v>529</v>
      </c>
      <c r="M23" s="97">
        <v>2023</v>
      </c>
      <c r="N23" s="96">
        <v>6636</v>
      </c>
      <c r="O23" s="97">
        <v>12</v>
      </c>
      <c r="P23" s="97">
        <v>40</v>
      </c>
      <c r="Q23" s="97" t="s">
        <v>528</v>
      </c>
      <c r="R23" s="96">
        <v>0</v>
      </c>
      <c r="S23" s="96">
        <v>0</v>
      </c>
      <c r="T23" s="96"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>
        <v>0</v>
      </c>
      <c r="AA23" s="96"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v>0</v>
      </c>
      <c r="AG23" s="96">
        <v>0</v>
      </c>
      <c r="AH23" s="96">
        <v>0</v>
      </c>
      <c r="AI23" s="96">
        <v>0</v>
      </c>
      <c r="AJ23" s="96">
        <v>0</v>
      </c>
      <c r="AK23" s="96">
        <v>0</v>
      </c>
      <c r="AL23" s="96">
        <v>0</v>
      </c>
      <c r="AM23" s="96">
        <v>0</v>
      </c>
      <c r="AN23" s="96">
        <v>0</v>
      </c>
      <c r="AO23" s="96">
        <v>0</v>
      </c>
      <c r="AP23" s="96">
        <v>0</v>
      </c>
      <c r="AQ23" s="96">
        <v>0</v>
      </c>
      <c r="AR23" s="96">
        <v>0</v>
      </c>
      <c r="AS23" s="96">
        <v>289.2</v>
      </c>
      <c r="AT23" s="96">
        <v>13170.83</v>
      </c>
      <c r="AU23" s="96">
        <v>204</v>
      </c>
      <c r="AV23" s="96">
        <v>13681.99</v>
      </c>
      <c r="AW23" s="96">
        <v>204</v>
      </c>
      <c r="AX23" s="96">
        <v>14093.87</v>
      </c>
      <c r="AY23" s="96">
        <v>204</v>
      </c>
      <c r="AZ23" s="95" t="s">
        <v>579</v>
      </c>
    </row>
    <row r="24" spans="1:16375" s="88" customFormat="1" ht="14.5" x14ac:dyDescent="0.35">
      <c r="A24" s="78" t="s">
        <v>536</v>
      </c>
      <c r="B24" s="70" t="s">
        <v>578</v>
      </c>
      <c r="C24" s="70" t="s">
        <v>577</v>
      </c>
      <c r="D24" s="70">
        <v>21</v>
      </c>
      <c r="E24" s="70" t="s">
        <v>576</v>
      </c>
      <c r="F24" s="70">
        <v>4</v>
      </c>
      <c r="G24" s="70" t="s">
        <v>532</v>
      </c>
      <c r="H24" s="70" t="s">
        <v>575</v>
      </c>
      <c r="I24" s="70" t="s">
        <v>529</v>
      </c>
      <c r="J24" s="70">
        <v>1</v>
      </c>
      <c r="K24" s="70" t="s">
        <v>530</v>
      </c>
      <c r="L24" s="70" t="s">
        <v>529</v>
      </c>
      <c r="M24" s="70">
        <v>2023</v>
      </c>
      <c r="N24" s="77">
        <v>63299</v>
      </c>
      <c r="O24" s="70">
        <v>40</v>
      </c>
      <c r="P24" s="70">
        <v>80</v>
      </c>
      <c r="Q24" s="70" t="s">
        <v>574</v>
      </c>
      <c r="R24" s="76">
        <v>2367.5500000000002</v>
      </c>
      <c r="S24" s="76">
        <v>2413.6999999999998</v>
      </c>
      <c r="T24" s="76">
        <v>2459.85</v>
      </c>
      <c r="U24" s="76">
        <v>2459.85</v>
      </c>
      <c r="V24" s="76">
        <v>2415.4699999999998</v>
      </c>
      <c r="W24" s="76">
        <v>2459.85</v>
      </c>
      <c r="X24" s="76">
        <v>2459.85</v>
      </c>
      <c r="Y24" s="76">
        <v>2459.86</v>
      </c>
      <c r="Z24" s="76">
        <v>2459.85</v>
      </c>
      <c r="AA24" s="76">
        <v>2722.43</v>
      </c>
      <c r="AB24" s="76">
        <v>2564.88</v>
      </c>
      <c r="AC24" s="76">
        <v>2564.87</v>
      </c>
      <c r="AD24" s="76">
        <v>0</v>
      </c>
      <c r="AE24" s="76">
        <v>0</v>
      </c>
      <c r="AF24" s="76">
        <v>0</v>
      </c>
      <c r="AG24" s="76">
        <v>0</v>
      </c>
      <c r="AH24" s="76">
        <v>0</v>
      </c>
      <c r="AI24" s="76">
        <v>0</v>
      </c>
      <c r="AJ24" s="76">
        <v>2550.5</v>
      </c>
      <c r="AK24" s="76">
        <v>2520.5</v>
      </c>
      <c r="AL24" s="76">
        <v>2550.5</v>
      </c>
      <c r="AM24" s="76">
        <v>2550.92</v>
      </c>
      <c r="AN24" s="76">
        <v>2550.92</v>
      </c>
      <c r="AO24" s="76">
        <v>2550.92</v>
      </c>
      <c r="AP24" s="76">
        <v>2551</v>
      </c>
      <c r="AQ24" s="76">
        <v>2551</v>
      </c>
      <c r="AR24" s="76">
        <v>50184.26999999999</v>
      </c>
      <c r="AS24" s="76">
        <v>289.2</v>
      </c>
      <c r="AT24" s="76">
        <v>51571.44</v>
      </c>
      <c r="AU24" s="76">
        <v>360</v>
      </c>
      <c r="AV24" s="76">
        <v>53601.22</v>
      </c>
      <c r="AW24" s="76">
        <v>360</v>
      </c>
      <c r="AX24" s="76">
        <v>55718.98</v>
      </c>
      <c r="AY24" s="76">
        <v>360</v>
      </c>
      <c r="AZ24" s="74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3"/>
      <c r="JE24" s="93"/>
      <c r="JF24" s="93"/>
      <c r="JG24" s="93"/>
      <c r="JH24" s="93"/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3"/>
      <c r="NF24" s="93"/>
      <c r="NG24" s="93"/>
      <c r="NH24" s="93"/>
      <c r="NI24" s="93"/>
      <c r="NJ24" s="93"/>
      <c r="NK24" s="93"/>
      <c r="NL24" s="93"/>
      <c r="NM24" s="93"/>
      <c r="NN24" s="93"/>
      <c r="NO24" s="93"/>
      <c r="NP24" s="93"/>
      <c r="NQ24" s="93"/>
      <c r="NR24" s="93"/>
      <c r="NS24" s="93"/>
      <c r="NT24" s="93"/>
      <c r="NU24" s="93"/>
      <c r="NV24" s="93"/>
      <c r="NW24" s="93"/>
      <c r="NX24" s="93"/>
      <c r="NY24" s="93"/>
      <c r="NZ24" s="93"/>
      <c r="OA24" s="93"/>
      <c r="OB24" s="93"/>
      <c r="OC24" s="93"/>
      <c r="OD24" s="93"/>
      <c r="OE24" s="93"/>
      <c r="OF24" s="93"/>
      <c r="OG24" s="93"/>
      <c r="OH24" s="93"/>
      <c r="OI24" s="93"/>
      <c r="OJ24" s="93"/>
      <c r="OK24" s="93"/>
      <c r="OL24" s="93"/>
      <c r="OM24" s="93"/>
      <c r="ON24" s="93"/>
      <c r="OO24" s="93"/>
      <c r="OP24" s="93"/>
      <c r="OQ24" s="93"/>
      <c r="OR24" s="93"/>
      <c r="OS24" s="93"/>
      <c r="OT24" s="93"/>
      <c r="OU24" s="93"/>
      <c r="OV24" s="93"/>
      <c r="OW24" s="93"/>
      <c r="OX24" s="93"/>
      <c r="OY24" s="93"/>
      <c r="OZ24" s="93"/>
      <c r="PA24" s="93"/>
      <c r="PB24" s="93"/>
      <c r="PC24" s="93"/>
      <c r="PD24" s="93"/>
      <c r="PE24" s="93"/>
      <c r="PF24" s="93"/>
      <c r="PG24" s="93"/>
      <c r="PH24" s="93"/>
      <c r="PI24" s="93"/>
      <c r="PJ24" s="93"/>
      <c r="PK24" s="93"/>
      <c r="PL24" s="93"/>
      <c r="PM24" s="93"/>
      <c r="PN24" s="93"/>
      <c r="PO24" s="93"/>
      <c r="PP24" s="93"/>
      <c r="PQ24" s="93"/>
      <c r="PR24" s="93"/>
      <c r="PS24" s="93"/>
      <c r="PT24" s="93"/>
      <c r="PU24" s="93"/>
      <c r="PV24" s="93"/>
      <c r="PW24" s="93"/>
      <c r="PX24" s="93"/>
      <c r="PY24" s="93"/>
      <c r="PZ24" s="93"/>
      <c r="QA24" s="93"/>
      <c r="QB24" s="93"/>
      <c r="QC24" s="93"/>
      <c r="QD24" s="93"/>
      <c r="QE24" s="93"/>
      <c r="QF24" s="93"/>
      <c r="QG24" s="93"/>
      <c r="QH24" s="93"/>
      <c r="QI24" s="93"/>
      <c r="QJ24" s="93"/>
      <c r="QK24" s="93"/>
      <c r="QL24" s="93"/>
      <c r="QM24" s="93"/>
      <c r="QN24" s="93"/>
      <c r="QO24" s="93"/>
      <c r="QP24" s="93"/>
      <c r="QQ24" s="93"/>
      <c r="QR24" s="93"/>
      <c r="QS24" s="93"/>
      <c r="QT24" s="93"/>
      <c r="QU24" s="93"/>
      <c r="QV24" s="93"/>
      <c r="QW24" s="93"/>
      <c r="QX24" s="93"/>
      <c r="QY24" s="93"/>
      <c r="QZ24" s="93"/>
      <c r="RA24" s="93"/>
      <c r="RB24" s="93"/>
      <c r="RC24" s="93"/>
      <c r="RD24" s="93"/>
      <c r="RE24" s="93"/>
      <c r="RF24" s="93"/>
      <c r="RG24" s="93"/>
      <c r="RH24" s="93"/>
      <c r="RI24" s="93"/>
      <c r="RJ24" s="93"/>
      <c r="RK24" s="93"/>
      <c r="RL24" s="93"/>
      <c r="RM24" s="93"/>
      <c r="RN24" s="93"/>
      <c r="RO24" s="93"/>
      <c r="RP24" s="93"/>
      <c r="RQ24" s="93"/>
      <c r="RR24" s="93"/>
      <c r="RS24" s="93"/>
      <c r="RT24" s="93"/>
      <c r="RU24" s="93"/>
      <c r="RV24" s="93"/>
      <c r="RW24" s="93"/>
      <c r="RX24" s="93"/>
      <c r="RY24" s="93"/>
      <c r="RZ24" s="93"/>
      <c r="SA24" s="93"/>
      <c r="SB24" s="93"/>
      <c r="SC24" s="93"/>
      <c r="SD24" s="93"/>
      <c r="SE24" s="93"/>
      <c r="SF24" s="93"/>
      <c r="SG24" s="93"/>
      <c r="SH24" s="93"/>
      <c r="SI24" s="93"/>
      <c r="SJ24" s="93"/>
      <c r="SK24" s="93"/>
      <c r="SL24" s="93"/>
      <c r="SM24" s="93"/>
      <c r="SN24" s="93"/>
      <c r="SO24" s="93"/>
      <c r="SP24" s="93"/>
      <c r="SQ24" s="93"/>
      <c r="SR24" s="93"/>
      <c r="SS24" s="93"/>
      <c r="ST24" s="93"/>
      <c r="SU24" s="93"/>
      <c r="SV24" s="93"/>
      <c r="SW24" s="93"/>
      <c r="SX24" s="93"/>
      <c r="SY24" s="93"/>
      <c r="SZ24" s="93"/>
      <c r="TA24" s="93"/>
      <c r="TB24" s="93"/>
      <c r="TC24" s="93"/>
      <c r="TD24" s="93"/>
      <c r="TE24" s="93"/>
      <c r="TF24" s="93"/>
      <c r="TG24" s="93"/>
      <c r="TH24" s="93"/>
      <c r="TI24" s="93"/>
      <c r="TJ24" s="93"/>
      <c r="TK24" s="93"/>
      <c r="TL24" s="93"/>
      <c r="TM24" s="93"/>
      <c r="TN24" s="93"/>
      <c r="TO24" s="93"/>
      <c r="TP24" s="93"/>
      <c r="TQ24" s="93"/>
      <c r="TR24" s="93"/>
      <c r="TS24" s="93"/>
      <c r="TT24" s="93"/>
      <c r="TU24" s="93"/>
      <c r="TV24" s="93"/>
      <c r="TW24" s="93"/>
      <c r="TX24" s="93"/>
      <c r="TY24" s="93"/>
      <c r="TZ24" s="93"/>
      <c r="UA24" s="93"/>
      <c r="UB24" s="93"/>
      <c r="UC24" s="93"/>
      <c r="UD24" s="93"/>
      <c r="UE24" s="93"/>
      <c r="UF24" s="93"/>
      <c r="UG24" s="93"/>
      <c r="UH24" s="93"/>
      <c r="UI24" s="93"/>
      <c r="UJ24" s="93"/>
      <c r="UK24" s="93"/>
      <c r="UL24" s="93"/>
      <c r="UM24" s="93"/>
      <c r="UN24" s="93"/>
      <c r="UO24" s="93"/>
      <c r="UP24" s="93"/>
      <c r="UQ24" s="93"/>
      <c r="UR24" s="93"/>
      <c r="US24" s="93"/>
      <c r="UT24" s="93"/>
      <c r="UU24" s="93"/>
      <c r="UV24" s="93"/>
      <c r="UW24" s="93"/>
      <c r="UX24" s="93"/>
      <c r="UY24" s="93"/>
      <c r="UZ24" s="93"/>
      <c r="VA24" s="93"/>
      <c r="VB24" s="93"/>
      <c r="VC24" s="93"/>
      <c r="VD24" s="93"/>
      <c r="VE24" s="93"/>
      <c r="VF24" s="93"/>
      <c r="VG24" s="93"/>
      <c r="VH24" s="93"/>
      <c r="VI24" s="93"/>
      <c r="VJ24" s="93"/>
      <c r="VK24" s="93"/>
      <c r="VL24" s="93"/>
      <c r="VM24" s="93"/>
      <c r="VN24" s="93"/>
      <c r="VO24" s="93"/>
      <c r="VP24" s="93"/>
      <c r="VQ24" s="93"/>
      <c r="VR24" s="93"/>
      <c r="VS24" s="93"/>
      <c r="VT24" s="93"/>
      <c r="VU24" s="93"/>
      <c r="VV24" s="93"/>
      <c r="VW24" s="93"/>
      <c r="VX24" s="93"/>
      <c r="VY24" s="93"/>
      <c r="VZ24" s="93"/>
      <c r="WA24" s="93"/>
      <c r="WB24" s="93"/>
      <c r="WC24" s="93"/>
      <c r="WD24" s="93"/>
      <c r="WE24" s="93"/>
      <c r="WF24" s="93"/>
      <c r="WG24" s="93"/>
      <c r="WH24" s="93"/>
      <c r="WI24" s="93"/>
      <c r="WJ24" s="93"/>
      <c r="WK24" s="93"/>
      <c r="WL24" s="93"/>
      <c r="WM24" s="93"/>
      <c r="WN24" s="93"/>
      <c r="WO24" s="93"/>
      <c r="WP24" s="93"/>
      <c r="WQ24" s="93"/>
      <c r="WR24" s="93"/>
      <c r="WS24" s="93"/>
      <c r="WT24" s="93"/>
      <c r="WU24" s="93"/>
      <c r="WV24" s="93"/>
      <c r="WW24" s="93"/>
      <c r="WX24" s="93"/>
      <c r="WY24" s="93"/>
      <c r="WZ24" s="93"/>
      <c r="XA24" s="93"/>
      <c r="XB24" s="93"/>
      <c r="XC24" s="93"/>
      <c r="XD24" s="93"/>
      <c r="XE24" s="93"/>
      <c r="XF24" s="93"/>
      <c r="XG24" s="93"/>
      <c r="XH24" s="93"/>
      <c r="XI24" s="93"/>
      <c r="XJ24" s="93"/>
      <c r="XK24" s="93"/>
      <c r="XL24" s="93"/>
      <c r="XM24" s="93"/>
      <c r="XN24" s="93"/>
      <c r="XO24" s="93"/>
      <c r="XP24" s="93"/>
      <c r="XQ24" s="93"/>
      <c r="XR24" s="93"/>
      <c r="XS24" s="93"/>
      <c r="XT24" s="93"/>
      <c r="XU24" s="93"/>
      <c r="XV24" s="93"/>
      <c r="XW24" s="93"/>
      <c r="XX24" s="93"/>
      <c r="XY24" s="93"/>
      <c r="XZ24" s="93"/>
      <c r="YA24" s="93"/>
      <c r="YB24" s="93"/>
      <c r="YC24" s="93"/>
      <c r="YD24" s="93"/>
      <c r="YE24" s="93"/>
      <c r="YF24" s="93"/>
      <c r="YG24" s="93"/>
      <c r="YH24" s="93"/>
      <c r="YI24" s="93"/>
      <c r="YJ24" s="93"/>
      <c r="YK24" s="93"/>
      <c r="YL24" s="93"/>
      <c r="YM24" s="93"/>
      <c r="YN24" s="93"/>
      <c r="YO24" s="93"/>
      <c r="YP24" s="93"/>
      <c r="YQ24" s="93"/>
      <c r="YR24" s="93"/>
      <c r="YS24" s="93"/>
      <c r="YT24" s="93"/>
      <c r="YU24" s="93"/>
      <c r="YV24" s="93"/>
      <c r="YW24" s="93"/>
      <c r="YX24" s="93"/>
      <c r="YY24" s="93"/>
      <c r="YZ24" s="93"/>
      <c r="ZA24" s="93"/>
      <c r="ZB24" s="93"/>
      <c r="ZC24" s="93"/>
      <c r="ZD24" s="93"/>
      <c r="ZE24" s="93"/>
      <c r="ZF24" s="93"/>
      <c r="ZG24" s="93"/>
      <c r="ZH24" s="93"/>
      <c r="ZI24" s="93"/>
      <c r="ZJ24" s="93"/>
      <c r="ZK24" s="93"/>
      <c r="ZL24" s="93"/>
      <c r="ZM24" s="93"/>
      <c r="ZN24" s="93"/>
      <c r="ZO24" s="93"/>
      <c r="ZP24" s="93"/>
      <c r="ZQ24" s="93"/>
      <c r="ZR24" s="93"/>
      <c r="ZS24" s="93"/>
      <c r="ZT24" s="93"/>
      <c r="ZU24" s="93"/>
      <c r="ZV24" s="93"/>
      <c r="ZW24" s="93"/>
      <c r="ZX24" s="93"/>
      <c r="ZY24" s="93"/>
      <c r="ZZ24" s="93"/>
      <c r="AAA24" s="93"/>
      <c r="AAB24" s="93"/>
      <c r="AAC24" s="93"/>
      <c r="AAD24" s="93"/>
      <c r="AAE24" s="93"/>
      <c r="AAF24" s="93"/>
      <c r="AAG24" s="93"/>
      <c r="AAH24" s="93"/>
      <c r="AAI24" s="93"/>
      <c r="AAJ24" s="93"/>
      <c r="AAK24" s="93"/>
      <c r="AAL24" s="93"/>
      <c r="AAM24" s="93"/>
      <c r="AAN24" s="93"/>
      <c r="AAO24" s="93"/>
      <c r="AAP24" s="93"/>
      <c r="AAQ24" s="93"/>
      <c r="AAR24" s="93"/>
      <c r="AAS24" s="93"/>
      <c r="AAT24" s="93"/>
      <c r="AAU24" s="93"/>
      <c r="AAV24" s="93"/>
      <c r="AAW24" s="93"/>
      <c r="AAX24" s="93"/>
      <c r="AAY24" s="93"/>
      <c r="AAZ24" s="93"/>
      <c r="ABA24" s="93"/>
      <c r="ABB24" s="93"/>
      <c r="ABC24" s="93"/>
      <c r="ABD24" s="93"/>
      <c r="ABE24" s="93"/>
      <c r="ABF24" s="93"/>
      <c r="ABG24" s="93"/>
      <c r="ABH24" s="93"/>
      <c r="ABI24" s="93"/>
      <c r="ABJ24" s="93"/>
      <c r="ABK24" s="93"/>
      <c r="ABL24" s="93"/>
      <c r="ABM24" s="93"/>
      <c r="ABN24" s="93"/>
      <c r="ABO24" s="93"/>
      <c r="ABP24" s="93"/>
      <c r="ABQ24" s="93"/>
      <c r="ABR24" s="93"/>
      <c r="ABS24" s="93"/>
      <c r="ABT24" s="93"/>
      <c r="ABU24" s="93"/>
      <c r="ABV24" s="93"/>
      <c r="ABW24" s="93"/>
      <c r="ABX24" s="93"/>
      <c r="ABY24" s="93"/>
      <c r="ABZ24" s="93"/>
      <c r="ACA24" s="93"/>
      <c r="ACB24" s="93"/>
      <c r="ACC24" s="93"/>
      <c r="ACD24" s="93"/>
      <c r="ACE24" s="93"/>
      <c r="ACF24" s="93"/>
      <c r="ACG24" s="93"/>
      <c r="ACH24" s="93"/>
      <c r="ACI24" s="93"/>
      <c r="ACJ24" s="93"/>
      <c r="ACK24" s="93"/>
      <c r="ACL24" s="93"/>
      <c r="ACM24" s="93"/>
      <c r="ACN24" s="93"/>
      <c r="ACO24" s="93"/>
      <c r="ACP24" s="93"/>
      <c r="ACQ24" s="93"/>
      <c r="ACR24" s="93"/>
      <c r="ACS24" s="93"/>
      <c r="ACT24" s="93"/>
      <c r="ACU24" s="93"/>
      <c r="ACV24" s="93"/>
      <c r="ACW24" s="93"/>
      <c r="ACX24" s="93"/>
      <c r="ACY24" s="93"/>
      <c r="ACZ24" s="93"/>
      <c r="ADA24" s="93"/>
      <c r="ADB24" s="93"/>
      <c r="ADC24" s="93"/>
      <c r="ADD24" s="93"/>
      <c r="ADE24" s="93"/>
      <c r="ADF24" s="93"/>
      <c r="ADG24" s="93"/>
      <c r="ADH24" s="93"/>
      <c r="ADI24" s="93"/>
      <c r="ADJ24" s="93"/>
      <c r="ADK24" s="93"/>
      <c r="ADL24" s="93"/>
      <c r="ADM24" s="93"/>
      <c r="ADN24" s="93"/>
      <c r="ADO24" s="93"/>
      <c r="ADP24" s="93"/>
      <c r="ADQ24" s="93"/>
      <c r="ADR24" s="93"/>
      <c r="ADS24" s="93"/>
      <c r="ADT24" s="93"/>
      <c r="ADU24" s="93"/>
      <c r="ADV24" s="93"/>
      <c r="ADW24" s="93"/>
      <c r="ADX24" s="93"/>
      <c r="ADY24" s="93"/>
      <c r="ADZ24" s="93"/>
      <c r="AEA24" s="93"/>
      <c r="AEB24" s="93"/>
      <c r="AEC24" s="93"/>
      <c r="AED24" s="93"/>
      <c r="AEE24" s="93"/>
      <c r="AEF24" s="93"/>
      <c r="AEG24" s="93"/>
      <c r="AEH24" s="93"/>
      <c r="AEI24" s="93"/>
      <c r="AEJ24" s="93"/>
      <c r="AEK24" s="93"/>
      <c r="AEL24" s="93"/>
      <c r="AEM24" s="93"/>
      <c r="AEN24" s="93"/>
      <c r="AEO24" s="93"/>
      <c r="AEP24" s="93"/>
      <c r="AEQ24" s="93"/>
      <c r="AER24" s="93"/>
      <c r="AES24" s="93"/>
      <c r="AET24" s="93"/>
      <c r="AEU24" s="93"/>
      <c r="AEV24" s="93"/>
      <c r="AEW24" s="93"/>
      <c r="AEX24" s="93"/>
      <c r="AEY24" s="93"/>
      <c r="AEZ24" s="93"/>
      <c r="AFA24" s="93"/>
      <c r="AFB24" s="93"/>
      <c r="AFC24" s="93"/>
      <c r="AFD24" s="93"/>
      <c r="AFE24" s="93"/>
      <c r="AFF24" s="93"/>
      <c r="AFG24" s="93"/>
      <c r="AFH24" s="93"/>
      <c r="AFI24" s="93"/>
      <c r="AFJ24" s="93"/>
      <c r="AFK24" s="93"/>
      <c r="AFL24" s="93"/>
      <c r="AFM24" s="93"/>
      <c r="AFN24" s="93"/>
      <c r="AFO24" s="93"/>
      <c r="AFP24" s="93"/>
      <c r="AFQ24" s="93"/>
      <c r="AFR24" s="93"/>
      <c r="AFS24" s="93"/>
      <c r="AFT24" s="93"/>
      <c r="AFU24" s="93"/>
      <c r="AFV24" s="93"/>
      <c r="AFW24" s="93"/>
      <c r="AFX24" s="93"/>
      <c r="AFY24" s="93"/>
      <c r="AFZ24" s="93"/>
      <c r="AGA24" s="93"/>
      <c r="AGB24" s="93"/>
      <c r="AGC24" s="93"/>
      <c r="AGD24" s="93"/>
      <c r="AGE24" s="93"/>
      <c r="AGF24" s="93"/>
      <c r="AGG24" s="93"/>
      <c r="AGH24" s="93"/>
      <c r="AGI24" s="93"/>
      <c r="AGJ24" s="93"/>
      <c r="AGK24" s="93"/>
      <c r="AGL24" s="93"/>
      <c r="AGM24" s="93"/>
      <c r="AGN24" s="93"/>
      <c r="AGO24" s="93"/>
      <c r="AGP24" s="93"/>
      <c r="AGQ24" s="93"/>
      <c r="AGR24" s="93"/>
      <c r="AGS24" s="93"/>
      <c r="AGT24" s="93"/>
      <c r="AGU24" s="93"/>
      <c r="AGV24" s="93"/>
      <c r="AGW24" s="93"/>
      <c r="AGX24" s="93"/>
      <c r="AGY24" s="93"/>
      <c r="AGZ24" s="93"/>
      <c r="AHA24" s="93"/>
      <c r="AHB24" s="93"/>
      <c r="AHC24" s="93"/>
      <c r="AHD24" s="93"/>
      <c r="AHE24" s="93"/>
      <c r="AHF24" s="93"/>
      <c r="AHG24" s="93"/>
      <c r="AHH24" s="93"/>
      <c r="AHI24" s="93"/>
      <c r="AHJ24" s="93"/>
      <c r="AHK24" s="93"/>
      <c r="AHL24" s="93"/>
      <c r="AHM24" s="93"/>
      <c r="AHN24" s="93"/>
      <c r="AHO24" s="93"/>
      <c r="AHP24" s="93"/>
      <c r="AHQ24" s="93"/>
      <c r="AHR24" s="93"/>
      <c r="AHS24" s="93"/>
      <c r="AHT24" s="93"/>
      <c r="AHU24" s="93"/>
      <c r="AHV24" s="93"/>
      <c r="AHW24" s="93"/>
      <c r="AHX24" s="93"/>
      <c r="AHY24" s="93"/>
      <c r="AHZ24" s="93"/>
      <c r="AIA24" s="93"/>
      <c r="AIB24" s="93"/>
      <c r="AIC24" s="93"/>
      <c r="AID24" s="93"/>
      <c r="AIE24" s="93"/>
      <c r="AIF24" s="93"/>
      <c r="AIG24" s="93"/>
      <c r="AIH24" s="93"/>
      <c r="AII24" s="93"/>
      <c r="AIJ24" s="93"/>
      <c r="AIK24" s="93"/>
      <c r="AIL24" s="93"/>
      <c r="AIM24" s="93"/>
      <c r="AIN24" s="93"/>
      <c r="AIO24" s="93"/>
      <c r="AIP24" s="93"/>
      <c r="AIQ24" s="93"/>
      <c r="AIR24" s="93"/>
      <c r="AIS24" s="93"/>
      <c r="AIT24" s="93"/>
      <c r="AIU24" s="93"/>
      <c r="AIV24" s="93"/>
      <c r="AIW24" s="93"/>
      <c r="AIX24" s="93"/>
      <c r="AIY24" s="93"/>
      <c r="AIZ24" s="93"/>
      <c r="AJA24" s="93"/>
      <c r="AJB24" s="93"/>
      <c r="AJC24" s="93"/>
      <c r="AJD24" s="93"/>
      <c r="AJE24" s="93"/>
      <c r="AJF24" s="93"/>
      <c r="AJG24" s="93"/>
      <c r="AJH24" s="93"/>
      <c r="AJI24" s="93"/>
      <c r="AJJ24" s="93"/>
      <c r="AJK24" s="93"/>
      <c r="AJL24" s="93"/>
      <c r="AJM24" s="93"/>
      <c r="AJN24" s="93"/>
      <c r="AJO24" s="93"/>
      <c r="AJP24" s="93"/>
      <c r="AJQ24" s="93"/>
      <c r="AJR24" s="93"/>
      <c r="AJS24" s="93"/>
      <c r="AJT24" s="93"/>
      <c r="AJU24" s="93"/>
      <c r="AJV24" s="93"/>
      <c r="AJW24" s="93"/>
      <c r="AJX24" s="93"/>
      <c r="AJY24" s="93"/>
      <c r="AJZ24" s="93"/>
      <c r="AKA24" s="93"/>
      <c r="AKB24" s="93"/>
      <c r="AKC24" s="93"/>
      <c r="AKD24" s="93"/>
      <c r="AKE24" s="93"/>
      <c r="AKF24" s="93"/>
      <c r="AKG24" s="93"/>
      <c r="AKH24" s="93"/>
      <c r="AKI24" s="93"/>
      <c r="AKJ24" s="93"/>
      <c r="AKK24" s="93"/>
      <c r="AKL24" s="93"/>
      <c r="AKM24" s="93"/>
      <c r="AKN24" s="93"/>
      <c r="AKO24" s="93"/>
      <c r="AKP24" s="93"/>
      <c r="AKQ24" s="93"/>
      <c r="AKR24" s="93"/>
      <c r="AKS24" s="93"/>
      <c r="AKT24" s="93"/>
      <c r="AKU24" s="93"/>
      <c r="AKV24" s="93"/>
      <c r="AKW24" s="93"/>
      <c r="AKX24" s="93"/>
      <c r="AKY24" s="93"/>
      <c r="AKZ24" s="93"/>
      <c r="ALA24" s="93"/>
      <c r="ALB24" s="93"/>
      <c r="ALC24" s="93"/>
      <c r="ALD24" s="93"/>
      <c r="ALE24" s="93"/>
      <c r="ALF24" s="93"/>
      <c r="ALG24" s="93"/>
      <c r="ALH24" s="93"/>
      <c r="ALI24" s="93"/>
      <c r="ALJ24" s="93"/>
      <c r="ALK24" s="93"/>
      <c r="ALL24" s="93"/>
      <c r="ALM24" s="93"/>
      <c r="ALN24" s="93"/>
      <c r="ALO24" s="93"/>
      <c r="ALP24" s="93"/>
      <c r="ALQ24" s="93"/>
      <c r="ALR24" s="93"/>
      <c r="ALS24" s="93"/>
      <c r="ALT24" s="93"/>
      <c r="ALU24" s="93"/>
      <c r="ALV24" s="93"/>
      <c r="ALW24" s="93"/>
      <c r="ALX24" s="93"/>
      <c r="ALY24" s="93"/>
      <c r="ALZ24" s="93"/>
      <c r="AMA24" s="93"/>
      <c r="AMB24" s="93"/>
      <c r="AMC24" s="93"/>
      <c r="AMD24" s="93"/>
      <c r="AME24" s="93"/>
      <c r="AMF24" s="93"/>
      <c r="AMG24" s="93"/>
      <c r="AMH24" s="93"/>
      <c r="AMI24" s="93"/>
      <c r="AMJ24" s="93"/>
      <c r="AMK24" s="93"/>
      <c r="AML24" s="93"/>
      <c r="AMM24" s="93"/>
      <c r="AMN24" s="93"/>
      <c r="AMO24" s="93"/>
      <c r="AMP24" s="93"/>
      <c r="AMQ24" s="93"/>
      <c r="AMR24" s="93"/>
      <c r="AMS24" s="93"/>
      <c r="AMT24" s="93"/>
      <c r="AMU24" s="93"/>
      <c r="AMV24" s="93"/>
      <c r="AMW24" s="93"/>
      <c r="AMX24" s="93"/>
      <c r="AMY24" s="93"/>
      <c r="AMZ24" s="93"/>
      <c r="ANA24" s="93"/>
      <c r="ANB24" s="93"/>
      <c r="ANC24" s="93"/>
      <c r="AND24" s="93"/>
      <c r="ANE24" s="93"/>
      <c r="ANF24" s="93"/>
      <c r="ANG24" s="93"/>
      <c r="ANH24" s="93"/>
      <c r="ANI24" s="93"/>
      <c r="ANJ24" s="93"/>
      <c r="ANK24" s="93"/>
      <c r="ANL24" s="93"/>
      <c r="ANM24" s="93"/>
      <c r="ANN24" s="93"/>
      <c r="ANO24" s="93"/>
      <c r="ANP24" s="93"/>
      <c r="ANQ24" s="93"/>
      <c r="ANR24" s="93"/>
      <c r="ANS24" s="93"/>
      <c r="ANT24" s="93"/>
      <c r="ANU24" s="93"/>
      <c r="ANV24" s="93"/>
      <c r="ANW24" s="93"/>
      <c r="ANX24" s="93"/>
      <c r="ANY24" s="93"/>
      <c r="ANZ24" s="93"/>
      <c r="AOA24" s="93"/>
      <c r="AOB24" s="93"/>
      <c r="AOC24" s="93"/>
      <c r="AOD24" s="93"/>
      <c r="AOE24" s="93"/>
      <c r="AOF24" s="93"/>
      <c r="AOG24" s="93"/>
      <c r="AOH24" s="93"/>
      <c r="AOI24" s="93"/>
      <c r="AOJ24" s="93"/>
      <c r="AOK24" s="93"/>
      <c r="AOL24" s="93"/>
      <c r="AOM24" s="93"/>
      <c r="AON24" s="93"/>
      <c r="AOO24" s="93"/>
      <c r="AOP24" s="93"/>
      <c r="AOQ24" s="93"/>
      <c r="AOR24" s="93"/>
      <c r="AOS24" s="93"/>
      <c r="AOT24" s="93"/>
      <c r="AOU24" s="93"/>
      <c r="AOV24" s="93"/>
      <c r="AOW24" s="93"/>
      <c r="AOX24" s="93"/>
      <c r="AOY24" s="93"/>
      <c r="AOZ24" s="93"/>
      <c r="APA24" s="93"/>
      <c r="APB24" s="93"/>
      <c r="APC24" s="93"/>
      <c r="APD24" s="93"/>
      <c r="APE24" s="93"/>
      <c r="APF24" s="93"/>
      <c r="APG24" s="93"/>
      <c r="APH24" s="93"/>
      <c r="API24" s="93"/>
      <c r="APJ24" s="93"/>
      <c r="APK24" s="93"/>
      <c r="APL24" s="93"/>
      <c r="APM24" s="93"/>
      <c r="APN24" s="93"/>
      <c r="APO24" s="93"/>
      <c r="APP24" s="93"/>
      <c r="APQ24" s="93"/>
      <c r="APR24" s="93"/>
      <c r="APS24" s="93"/>
      <c r="APT24" s="93"/>
      <c r="APU24" s="93"/>
      <c r="APV24" s="93"/>
      <c r="APW24" s="93"/>
      <c r="APX24" s="93"/>
      <c r="APY24" s="93"/>
      <c r="APZ24" s="93"/>
      <c r="AQA24" s="93"/>
      <c r="AQB24" s="93"/>
      <c r="AQC24" s="93"/>
      <c r="AQD24" s="93"/>
      <c r="AQE24" s="93"/>
      <c r="AQF24" s="93"/>
      <c r="AQG24" s="93"/>
      <c r="AQH24" s="93"/>
      <c r="AQI24" s="93"/>
      <c r="AQJ24" s="93"/>
      <c r="AQK24" s="93"/>
      <c r="AQL24" s="93"/>
      <c r="AQM24" s="93"/>
      <c r="AQN24" s="93"/>
      <c r="AQO24" s="93"/>
      <c r="AQP24" s="93"/>
      <c r="AQQ24" s="93"/>
      <c r="AQR24" s="93"/>
      <c r="AQS24" s="93"/>
      <c r="AQT24" s="93"/>
      <c r="AQU24" s="93"/>
      <c r="AQV24" s="93"/>
      <c r="AQW24" s="93"/>
      <c r="AQX24" s="93"/>
      <c r="AQY24" s="93"/>
      <c r="AQZ24" s="93"/>
      <c r="ARA24" s="93"/>
      <c r="ARB24" s="93"/>
      <c r="ARC24" s="93"/>
      <c r="ARD24" s="93"/>
      <c r="ARE24" s="93"/>
      <c r="ARF24" s="93"/>
      <c r="ARG24" s="93"/>
      <c r="ARH24" s="93"/>
      <c r="ARI24" s="93"/>
      <c r="ARJ24" s="93"/>
      <c r="ARK24" s="93"/>
      <c r="ARL24" s="93"/>
      <c r="ARM24" s="93"/>
      <c r="ARN24" s="93"/>
      <c r="ARO24" s="93"/>
      <c r="ARP24" s="93"/>
      <c r="ARQ24" s="93"/>
      <c r="ARR24" s="93"/>
      <c r="ARS24" s="93"/>
      <c r="ART24" s="93"/>
      <c r="ARU24" s="93"/>
      <c r="ARV24" s="93"/>
      <c r="ARW24" s="93"/>
      <c r="ARX24" s="93"/>
      <c r="ARY24" s="93"/>
      <c r="ARZ24" s="93"/>
      <c r="ASA24" s="93"/>
      <c r="ASB24" s="93"/>
      <c r="ASC24" s="93"/>
      <c r="ASD24" s="93"/>
      <c r="ASE24" s="93"/>
      <c r="ASF24" s="93"/>
      <c r="ASG24" s="93"/>
      <c r="ASH24" s="93"/>
      <c r="ASI24" s="93"/>
      <c r="ASJ24" s="93"/>
      <c r="ASK24" s="93"/>
      <c r="ASL24" s="93"/>
      <c r="ASM24" s="93"/>
      <c r="ASN24" s="93"/>
      <c r="ASO24" s="93"/>
      <c r="ASP24" s="93"/>
      <c r="ASQ24" s="93"/>
      <c r="ASR24" s="93"/>
      <c r="ASS24" s="93"/>
      <c r="AST24" s="93"/>
      <c r="ASU24" s="93"/>
      <c r="ASV24" s="93"/>
      <c r="ASW24" s="93"/>
      <c r="ASX24" s="93"/>
      <c r="ASY24" s="93"/>
      <c r="ASZ24" s="93"/>
      <c r="ATA24" s="93"/>
      <c r="ATB24" s="93"/>
      <c r="ATC24" s="93"/>
      <c r="ATD24" s="93"/>
      <c r="ATE24" s="93"/>
      <c r="ATF24" s="93"/>
      <c r="ATG24" s="93"/>
      <c r="ATH24" s="93"/>
      <c r="ATI24" s="93"/>
      <c r="ATJ24" s="93"/>
      <c r="ATK24" s="93"/>
      <c r="ATL24" s="93"/>
      <c r="ATM24" s="93"/>
      <c r="ATN24" s="93"/>
      <c r="ATO24" s="93"/>
      <c r="ATP24" s="93"/>
      <c r="ATQ24" s="93"/>
      <c r="ATR24" s="93"/>
      <c r="ATS24" s="93"/>
      <c r="ATT24" s="93"/>
      <c r="ATU24" s="93"/>
      <c r="ATV24" s="93"/>
      <c r="ATW24" s="93"/>
      <c r="ATX24" s="93"/>
      <c r="ATY24" s="93"/>
      <c r="ATZ24" s="93"/>
      <c r="AUA24" s="93"/>
      <c r="AUB24" s="93"/>
      <c r="AUC24" s="93"/>
      <c r="AUD24" s="93"/>
      <c r="AUE24" s="93"/>
      <c r="AUF24" s="93"/>
      <c r="AUG24" s="93"/>
      <c r="AUH24" s="93"/>
      <c r="AUI24" s="93"/>
      <c r="AUJ24" s="93"/>
      <c r="AUK24" s="93"/>
      <c r="AUL24" s="93"/>
      <c r="AUM24" s="93"/>
      <c r="AUN24" s="93"/>
      <c r="AUO24" s="93"/>
      <c r="AUP24" s="93"/>
      <c r="AUQ24" s="93"/>
      <c r="AUR24" s="93"/>
      <c r="AUS24" s="93"/>
      <c r="AUT24" s="93"/>
      <c r="AUU24" s="93"/>
      <c r="AUV24" s="93"/>
      <c r="AUW24" s="93"/>
      <c r="AUX24" s="93"/>
      <c r="AUY24" s="93"/>
      <c r="AUZ24" s="93"/>
      <c r="AVA24" s="93"/>
      <c r="AVB24" s="93"/>
      <c r="AVC24" s="93"/>
      <c r="AVD24" s="93"/>
      <c r="AVE24" s="93"/>
      <c r="AVF24" s="93"/>
      <c r="AVG24" s="93"/>
      <c r="AVH24" s="93"/>
      <c r="AVI24" s="93"/>
      <c r="AVJ24" s="93"/>
      <c r="AVK24" s="93"/>
      <c r="AVL24" s="93"/>
      <c r="AVM24" s="93"/>
      <c r="AVN24" s="93"/>
      <c r="AVO24" s="93"/>
      <c r="AVP24" s="93"/>
      <c r="AVQ24" s="93"/>
      <c r="AVR24" s="93"/>
      <c r="AVS24" s="93"/>
      <c r="AVT24" s="93"/>
      <c r="AVU24" s="93"/>
      <c r="AVV24" s="93"/>
      <c r="AVW24" s="93"/>
      <c r="AVX24" s="93"/>
      <c r="AVY24" s="93"/>
      <c r="AVZ24" s="93"/>
      <c r="AWA24" s="93"/>
      <c r="AWB24" s="93"/>
      <c r="AWC24" s="93"/>
      <c r="AWD24" s="93"/>
      <c r="AWE24" s="93"/>
      <c r="AWF24" s="93"/>
      <c r="AWG24" s="93"/>
      <c r="AWH24" s="93"/>
      <c r="AWI24" s="93"/>
      <c r="AWJ24" s="93"/>
      <c r="AWK24" s="93"/>
      <c r="AWL24" s="93"/>
      <c r="AWM24" s="93"/>
      <c r="AWN24" s="93"/>
      <c r="AWO24" s="93"/>
      <c r="AWP24" s="93"/>
      <c r="AWQ24" s="93"/>
      <c r="AWR24" s="93"/>
      <c r="AWS24" s="93"/>
      <c r="AWT24" s="93"/>
      <c r="AWU24" s="93"/>
      <c r="AWV24" s="93"/>
      <c r="AWW24" s="93"/>
      <c r="AWX24" s="93"/>
      <c r="AWY24" s="93"/>
      <c r="AWZ24" s="93"/>
      <c r="AXA24" s="93"/>
      <c r="AXB24" s="93"/>
      <c r="AXC24" s="93"/>
      <c r="AXD24" s="93"/>
      <c r="AXE24" s="93"/>
      <c r="AXF24" s="93"/>
      <c r="AXG24" s="93"/>
      <c r="AXH24" s="93"/>
      <c r="AXI24" s="93"/>
      <c r="AXJ24" s="93"/>
      <c r="AXK24" s="93"/>
      <c r="AXL24" s="93"/>
      <c r="AXM24" s="93"/>
      <c r="AXN24" s="93"/>
      <c r="AXO24" s="93"/>
      <c r="AXP24" s="93"/>
      <c r="AXQ24" s="93"/>
      <c r="AXR24" s="93"/>
      <c r="AXS24" s="93"/>
      <c r="AXT24" s="93"/>
      <c r="AXU24" s="93"/>
      <c r="AXV24" s="93"/>
      <c r="AXW24" s="93"/>
      <c r="AXX24" s="93"/>
      <c r="AXY24" s="93"/>
      <c r="AXZ24" s="93"/>
      <c r="AYA24" s="93"/>
      <c r="AYB24" s="93"/>
      <c r="AYC24" s="93"/>
      <c r="AYD24" s="93"/>
      <c r="AYE24" s="93"/>
      <c r="AYF24" s="93"/>
      <c r="AYG24" s="93"/>
      <c r="AYH24" s="93"/>
      <c r="AYI24" s="93"/>
      <c r="AYJ24" s="93"/>
      <c r="AYK24" s="93"/>
      <c r="AYL24" s="93"/>
      <c r="AYM24" s="93"/>
      <c r="AYN24" s="93"/>
      <c r="AYO24" s="93"/>
      <c r="AYP24" s="93"/>
      <c r="AYQ24" s="93"/>
      <c r="AYR24" s="93"/>
      <c r="AYS24" s="93"/>
      <c r="AYT24" s="93"/>
      <c r="AYU24" s="93"/>
      <c r="AYV24" s="93"/>
      <c r="AYW24" s="93"/>
      <c r="AYX24" s="93"/>
      <c r="AYY24" s="93"/>
      <c r="AYZ24" s="93"/>
      <c r="AZA24" s="93"/>
      <c r="AZB24" s="93"/>
      <c r="AZC24" s="93"/>
      <c r="AZD24" s="93"/>
      <c r="AZE24" s="93"/>
      <c r="AZF24" s="93"/>
      <c r="AZG24" s="93"/>
      <c r="AZH24" s="93"/>
      <c r="AZI24" s="93"/>
      <c r="AZJ24" s="93"/>
      <c r="AZK24" s="93"/>
      <c r="AZL24" s="93"/>
      <c r="AZM24" s="93"/>
      <c r="AZN24" s="93"/>
      <c r="AZO24" s="93"/>
      <c r="AZP24" s="93"/>
      <c r="AZQ24" s="93"/>
      <c r="AZR24" s="93"/>
      <c r="AZS24" s="93"/>
      <c r="AZT24" s="93"/>
      <c r="AZU24" s="93"/>
      <c r="AZV24" s="93"/>
      <c r="AZW24" s="93"/>
      <c r="AZX24" s="93"/>
      <c r="AZY24" s="93"/>
      <c r="AZZ24" s="93"/>
      <c r="BAA24" s="93"/>
      <c r="BAB24" s="93"/>
      <c r="BAC24" s="93"/>
      <c r="BAD24" s="93"/>
      <c r="BAE24" s="93"/>
      <c r="BAF24" s="93"/>
      <c r="BAG24" s="93"/>
      <c r="BAH24" s="93"/>
      <c r="BAI24" s="93"/>
      <c r="BAJ24" s="93"/>
      <c r="BAK24" s="93"/>
      <c r="BAL24" s="93"/>
      <c r="BAM24" s="93"/>
      <c r="BAN24" s="93"/>
      <c r="BAO24" s="93"/>
      <c r="BAP24" s="93"/>
      <c r="BAQ24" s="93"/>
      <c r="BAR24" s="93"/>
      <c r="BAS24" s="93"/>
      <c r="BAT24" s="93"/>
      <c r="BAU24" s="93"/>
      <c r="BAV24" s="93"/>
      <c r="BAW24" s="93"/>
      <c r="BAX24" s="93"/>
      <c r="BAY24" s="93"/>
      <c r="BAZ24" s="93"/>
      <c r="BBA24" s="93"/>
      <c r="BBB24" s="93"/>
      <c r="BBC24" s="93"/>
      <c r="BBD24" s="93"/>
      <c r="BBE24" s="93"/>
      <c r="BBF24" s="93"/>
      <c r="BBG24" s="93"/>
      <c r="BBH24" s="93"/>
      <c r="BBI24" s="93"/>
      <c r="BBJ24" s="93"/>
      <c r="BBK24" s="93"/>
      <c r="BBL24" s="93"/>
      <c r="BBM24" s="93"/>
      <c r="BBN24" s="93"/>
      <c r="BBO24" s="93"/>
      <c r="BBP24" s="93"/>
      <c r="BBQ24" s="93"/>
      <c r="BBR24" s="93"/>
      <c r="BBS24" s="93"/>
      <c r="BBT24" s="93"/>
      <c r="BBU24" s="93"/>
      <c r="BBV24" s="93"/>
      <c r="BBW24" s="93"/>
      <c r="BBX24" s="93"/>
      <c r="BBY24" s="93"/>
      <c r="BBZ24" s="93"/>
      <c r="BCA24" s="93"/>
      <c r="BCB24" s="93"/>
      <c r="BCC24" s="93"/>
      <c r="BCD24" s="93"/>
      <c r="BCE24" s="93"/>
      <c r="BCF24" s="93"/>
      <c r="BCG24" s="93"/>
      <c r="BCH24" s="93"/>
      <c r="BCI24" s="93"/>
      <c r="BCJ24" s="93"/>
      <c r="BCK24" s="93"/>
      <c r="BCL24" s="93"/>
      <c r="BCM24" s="93"/>
      <c r="BCN24" s="93"/>
      <c r="BCO24" s="93"/>
      <c r="BCP24" s="93"/>
      <c r="BCQ24" s="93"/>
      <c r="BCR24" s="93"/>
      <c r="BCS24" s="93"/>
      <c r="BCT24" s="93"/>
      <c r="BCU24" s="93"/>
      <c r="BCV24" s="93"/>
      <c r="BCW24" s="93"/>
      <c r="BCX24" s="93"/>
      <c r="BCY24" s="93"/>
      <c r="BCZ24" s="93"/>
      <c r="BDA24" s="93"/>
      <c r="BDB24" s="93"/>
      <c r="BDC24" s="93"/>
      <c r="BDD24" s="93"/>
      <c r="BDE24" s="93"/>
      <c r="BDF24" s="93"/>
      <c r="BDG24" s="93"/>
      <c r="BDH24" s="93"/>
      <c r="BDI24" s="93"/>
      <c r="BDJ24" s="93"/>
      <c r="BDK24" s="93"/>
      <c r="BDL24" s="93"/>
      <c r="BDM24" s="93"/>
      <c r="BDN24" s="93"/>
      <c r="BDO24" s="93"/>
      <c r="BDP24" s="93"/>
      <c r="BDQ24" s="93"/>
      <c r="BDR24" s="93"/>
      <c r="BDS24" s="93"/>
      <c r="BDT24" s="93"/>
      <c r="BDU24" s="93"/>
      <c r="BDV24" s="93"/>
      <c r="BDW24" s="93"/>
      <c r="BDX24" s="93"/>
      <c r="BDY24" s="93"/>
      <c r="BDZ24" s="93"/>
      <c r="BEA24" s="93"/>
      <c r="BEB24" s="93"/>
      <c r="BEC24" s="93"/>
      <c r="BED24" s="93"/>
      <c r="BEE24" s="93"/>
      <c r="BEF24" s="93"/>
      <c r="BEG24" s="93"/>
      <c r="BEH24" s="93"/>
      <c r="BEI24" s="93"/>
      <c r="BEJ24" s="93"/>
      <c r="BEK24" s="93"/>
      <c r="BEL24" s="93"/>
      <c r="BEM24" s="93"/>
      <c r="BEN24" s="93"/>
      <c r="BEO24" s="93"/>
      <c r="BEP24" s="93"/>
      <c r="BEQ24" s="93"/>
      <c r="BER24" s="93"/>
      <c r="BES24" s="93"/>
      <c r="BET24" s="93"/>
      <c r="BEU24" s="93"/>
      <c r="BEV24" s="93"/>
      <c r="BEW24" s="93"/>
      <c r="BEX24" s="93"/>
      <c r="BEY24" s="93"/>
      <c r="BEZ24" s="93"/>
      <c r="BFA24" s="93"/>
      <c r="BFB24" s="93"/>
      <c r="BFC24" s="93"/>
      <c r="BFD24" s="93"/>
      <c r="BFE24" s="93"/>
      <c r="BFF24" s="93"/>
      <c r="BFG24" s="93"/>
      <c r="BFH24" s="93"/>
      <c r="BFI24" s="93"/>
      <c r="BFJ24" s="93"/>
      <c r="BFK24" s="93"/>
      <c r="BFL24" s="93"/>
      <c r="BFM24" s="93"/>
      <c r="BFN24" s="93"/>
      <c r="BFO24" s="93"/>
      <c r="BFP24" s="93"/>
      <c r="BFQ24" s="93"/>
      <c r="BFR24" s="93"/>
      <c r="BFS24" s="93"/>
      <c r="BFT24" s="93"/>
      <c r="BFU24" s="93"/>
      <c r="BFV24" s="93"/>
      <c r="BFW24" s="93"/>
      <c r="BFX24" s="93"/>
      <c r="BFY24" s="93"/>
      <c r="BFZ24" s="93"/>
      <c r="BGA24" s="93"/>
      <c r="BGB24" s="93"/>
      <c r="BGC24" s="93"/>
      <c r="BGD24" s="93"/>
      <c r="BGE24" s="93"/>
      <c r="BGF24" s="93"/>
      <c r="BGG24" s="93"/>
      <c r="BGH24" s="93"/>
      <c r="BGI24" s="93"/>
      <c r="BGJ24" s="93"/>
      <c r="BGK24" s="93"/>
      <c r="BGL24" s="93"/>
      <c r="BGM24" s="93"/>
      <c r="BGN24" s="93"/>
      <c r="BGO24" s="93"/>
      <c r="BGP24" s="93"/>
      <c r="BGQ24" s="93"/>
      <c r="BGR24" s="93"/>
      <c r="BGS24" s="93"/>
      <c r="BGT24" s="93"/>
      <c r="BGU24" s="93"/>
      <c r="BGV24" s="93"/>
      <c r="BGW24" s="93"/>
      <c r="BGX24" s="93"/>
      <c r="BGY24" s="93"/>
      <c r="BGZ24" s="93"/>
      <c r="BHA24" s="93"/>
      <c r="BHB24" s="93"/>
      <c r="BHC24" s="93"/>
      <c r="BHD24" s="93"/>
      <c r="BHE24" s="93"/>
      <c r="BHF24" s="93"/>
      <c r="BHG24" s="93"/>
      <c r="BHH24" s="93"/>
      <c r="BHI24" s="93"/>
      <c r="BHJ24" s="93"/>
      <c r="BHK24" s="93"/>
      <c r="BHL24" s="93"/>
      <c r="BHM24" s="93"/>
      <c r="BHN24" s="93"/>
      <c r="BHO24" s="93"/>
      <c r="BHP24" s="93"/>
      <c r="BHQ24" s="93"/>
      <c r="BHR24" s="93"/>
      <c r="BHS24" s="93"/>
      <c r="BHT24" s="93"/>
      <c r="BHU24" s="93"/>
      <c r="BHV24" s="93"/>
      <c r="BHW24" s="93"/>
      <c r="BHX24" s="93"/>
      <c r="BHY24" s="93"/>
      <c r="BHZ24" s="93"/>
      <c r="BIA24" s="93"/>
      <c r="BIB24" s="93"/>
      <c r="BIC24" s="93"/>
      <c r="BID24" s="93"/>
      <c r="BIE24" s="93"/>
      <c r="BIF24" s="93"/>
      <c r="BIG24" s="93"/>
      <c r="BIH24" s="93"/>
      <c r="BII24" s="93"/>
      <c r="BIJ24" s="93"/>
      <c r="BIK24" s="93"/>
      <c r="BIL24" s="93"/>
      <c r="BIM24" s="93"/>
      <c r="BIN24" s="93"/>
      <c r="BIO24" s="93"/>
      <c r="BIP24" s="93"/>
      <c r="BIQ24" s="93"/>
      <c r="BIR24" s="93"/>
      <c r="BIS24" s="93"/>
      <c r="BIT24" s="93"/>
      <c r="BIU24" s="93"/>
      <c r="BIV24" s="93"/>
      <c r="BIW24" s="93"/>
      <c r="BIX24" s="93"/>
      <c r="BIY24" s="93"/>
      <c r="BIZ24" s="93"/>
      <c r="BJA24" s="93"/>
      <c r="BJB24" s="93"/>
      <c r="BJC24" s="93"/>
      <c r="BJD24" s="93"/>
      <c r="BJE24" s="93"/>
      <c r="BJF24" s="93"/>
      <c r="BJG24" s="93"/>
      <c r="BJH24" s="93"/>
      <c r="BJI24" s="93"/>
      <c r="BJJ24" s="93"/>
      <c r="BJK24" s="93"/>
      <c r="BJL24" s="93"/>
      <c r="BJM24" s="93"/>
      <c r="BJN24" s="93"/>
      <c r="BJO24" s="93"/>
      <c r="BJP24" s="93"/>
      <c r="BJQ24" s="93"/>
      <c r="BJR24" s="93"/>
      <c r="BJS24" s="93"/>
      <c r="BJT24" s="93"/>
      <c r="BJU24" s="93"/>
      <c r="BJV24" s="93"/>
      <c r="BJW24" s="93"/>
      <c r="BJX24" s="93"/>
      <c r="BJY24" s="93"/>
      <c r="BJZ24" s="93"/>
      <c r="BKA24" s="93"/>
      <c r="BKB24" s="93"/>
      <c r="BKC24" s="93"/>
      <c r="BKD24" s="93"/>
      <c r="BKE24" s="93"/>
      <c r="BKF24" s="93"/>
      <c r="BKG24" s="93"/>
      <c r="BKH24" s="93"/>
      <c r="BKI24" s="93"/>
      <c r="BKJ24" s="93"/>
      <c r="BKK24" s="93"/>
      <c r="BKL24" s="93"/>
      <c r="BKM24" s="93"/>
      <c r="BKN24" s="93"/>
      <c r="BKO24" s="93"/>
      <c r="BKP24" s="93"/>
      <c r="BKQ24" s="93"/>
      <c r="BKR24" s="93"/>
      <c r="BKS24" s="93"/>
      <c r="BKT24" s="93"/>
      <c r="BKU24" s="93"/>
      <c r="BKV24" s="93"/>
      <c r="BKW24" s="93"/>
      <c r="BKX24" s="93"/>
      <c r="BKY24" s="93"/>
      <c r="BKZ24" s="93"/>
      <c r="BLA24" s="93"/>
      <c r="BLB24" s="93"/>
      <c r="BLC24" s="93"/>
      <c r="BLD24" s="93"/>
      <c r="BLE24" s="93"/>
      <c r="BLF24" s="93"/>
      <c r="BLG24" s="93"/>
      <c r="BLH24" s="93"/>
      <c r="BLI24" s="93"/>
      <c r="BLJ24" s="93"/>
      <c r="BLK24" s="93"/>
      <c r="BLL24" s="93"/>
      <c r="BLM24" s="93"/>
      <c r="BLN24" s="93"/>
      <c r="BLO24" s="93"/>
      <c r="BLP24" s="93"/>
      <c r="BLQ24" s="93"/>
      <c r="BLR24" s="93"/>
      <c r="BLS24" s="93"/>
      <c r="BLT24" s="93"/>
      <c r="BLU24" s="93"/>
      <c r="BLV24" s="93"/>
      <c r="BLW24" s="93"/>
      <c r="BLX24" s="93"/>
      <c r="BLY24" s="93"/>
      <c r="BLZ24" s="93"/>
      <c r="BMA24" s="93"/>
      <c r="BMB24" s="93"/>
      <c r="BMC24" s="93"/>
      <c r="BMD24" s="93"/>
      <c r="BME24" s="93"/>
      <c r="BMF24" s="93"/>
      <c r="BMG24" s="93"/>
      <c r="BMH24" s="93"/>
      <c r="BMI24" s="93"/>
      <c r="BMJ24" s="93"/>
      <c r="BMK24" s="93"/>
      <c r="BML24" s="93"/>
      <c r="BMM24" s="93"/>
      <c r="BMN24" s="93"/>
      <c r="BMO24" s="93"/>
      <c r="BMP24" s="93"/>
      <c r="BMQ24" s="93"/>
      <c r="BMR24" s="93"/>
      <c r="BMS24" s="93"/>
      <c r="BMT24" s="93"/>
      <c r="BMU24" s="93"/>
      <c r="BMV24" s="93"/>
      <c r="BMW24" s="93"/>
      <c r="BMX24" s="93"/>
      <c r="BMY24" s="93"/>
      <c r="BMZ24" s="93"/>
      <c r="BNA24" s="93"/>
      <c r="BNB24" s="93"/>
      <c r="BNC24" s="93"/>
      <c r="BND24" s="93"/>
      <c r="BNE24" s="93"/>
      <c r="BNF24" s="93"/>
      <c r="BNG24" s="93"/>
      <c r="BNH24" s="93"/>
      <c r="BNI24" s="93"/>
      <c r="BNJ24" s="93"/>
      <c r="BNK24" s="93"/>
      <c r="BNL24" s="93"/>
      <c r="BNM24" s="93"/>
      <c r="BNN24" s="93"/>
      <c r="BNO24" s="93"/>
      <c r="BNP24" s="93"/>
      <c r="BNQ24" s="93"/>
      <c r="BNR24" s="93"/>
      <c r="BNS24" s="93"/>
      <c r="BNT24" s="93"/>
      <c r="BNU24" s="93"/>
      <c r="BNV24" s="93"/>
      <c r="BNW24" s="93"/>
      <c r="BNX24" s="93"/>
      <c r="BNY24" s="93"/>
      <c r="BNZ24" s="93"/>
      <c r="BOA24" s="93"/>
      <c r="BOB24" s="93"/>
      <c r="BOC24" s="93"/>
      <c r="BOD24" s="93"/>
      <c r="BOE24" s="93"/>
      <c r="BOF24" s="93"/>
      <c r="BOG24" s="93"/>
      <c r="BOH24" s="93"/>
      <c r="BOI24" s="93"/>
      <c r="BOJ24" s="93"/>
      <c r="BOK24" s="93"/>
      <c r="BOL24" s="93"/>
      <c r="BOM24" s="93"/>
      <c r="BON24" s="93"/>
      <c r="BOO24" s="93"/>
      <c r="BOP24" s="93"/>
      <c r="BOQ24" s="93"/>
      <c r="BOR24" s="93"/>
      <c r="BOS24" s="93"/>
      <c r="BOT24" s="93"/>
      <c r="BOU24" s="93"/>
      <c r="BOV24" s="93"/>
      <c r="BOW24" s="93"/>
      <c r="BOX24" s="93"/>
      <c r="BOY24" s="93"/>
      <c r="BOZ24" s="93"/>
      <c r="BPA24" s="93"/>
      <c r="BPB24" s="93"/>
      <c r="BPC24" s="93"/>
      <c r="BPD24" s="93"/>
      <c r="BPE24" s="93"/>
      <c r="BPF24" s="93"/>
      <c r="BPG24" s="93"/>
      <c r="BPH24" s="93"/>
      <c r="BPI24" s="93"/>
      <c r="BPJ24" s="93"/>
      <c r="BPK24" s="93"/>
      <c r="BPL24" s="93"/>
      <c r="BPM24" s="93"/>
      <c r="BPN24" s="93"/>
      <c r="BPO24" s="93"/>
      <c r="BPP24" s="93"/>
      <c r="BPQ24" s="93"/>
      <c r="BPR24" s="93"/>
      <c r="BPS24" s="93"/>
      <c r="BPT24" s="93"/>
      <c r="BPU24" s="93"/>
      <c r="BPV24" s="93"/>
      <c r="BPW24" s="93"/>
      <c r="BPX24" s="93"/>
      <c r="BPY24" s="93"/>
      <c r="BPZ24" s="93"/>
      <c r="BQA24" s="93"/>
      <c r="BQB24" s="93"/>
      <c r="BQC24" s="93"/>
      <c r="BQD24" s="93"/>
      <c r="BQE24" s="93"/>
      <c r="BQF24" s="93"/>
      <c r="BQG24" s="93"/>
      <c r="BQH24" s="93"/>
      <c r="BQI24" s="93"/>
      <c r="BQJ24" s="93"/>
      <c r="BQK24" s="93"/>
      <c r="BQL24" s="93"/>
      <c r="BQM24" s="93"/>
      <c r="BQN24" s="93"/>
      <c r="BQO24" s="93"/>
      <c r="BQP24" s="93"/>
      <c r="BQQ24" s="93"/>
      <c r="BQR24" s="93"/>
      <c r="BQS24" s="93"/>
      <c r="BQT24" s="93"/>
      <c r="BQU24" s="93"/>
      <c r="BQV24" s="93"/>
      <c r="BQW24" s="93"/>
      <c r="BQX24" s="93"/>
      <c r="BQY24" s="93"/>
      <c r="BQZ24" s="93"/>
      <c r="BRA24" s="93"/>
      <c r="BRB24" s="93"/>
      <c r="BRC24" s="93"/>
      <c r="BRD24" s="93"/>
      <c r="BRE24" s="93"/>
      <c r="BRF24" s="93"/>
      <c r="BRG24" s="93"/>
      <c r="BRH24" s="93"/>
      <c r="BRI24" s="93"/>
      <c r="BRJ24" s="93"/>
      <c r="BRK24" s="93"/>
      <c r="BRL24" s="93"/>
      <c r="BRM24" s="93"/>
      <c r="BRN24" s="93"/>
      <c r="BRO24" s="93"/>
      <c r="BRP24" s="93"/>
      <c r="BRQ24" s="93"/>
      <c r="BRR24" s="93"/>
      <c r="BRS24" s="93"/>
      <c r="BRT24" s="93"/>
      <c r="BRU24" s="93"/>
      <c r="BRV24" s="93"/>
      <c r="BRW24" s="93"/>
      <c r="BRX24" s="93"/>
      <c r="BRY24" s="93"/>
      <c r="BRZ24" s="93"/>
      <c r="BSA24" s="93"/>
      <c r="BSB24" s="93"/>
      <c r="BSC24" s="93"/>
      <c r="BSD24" s="93"/>
      <c r="BSE24" s="93"/>
      <c r="BSF24" s="93"/>
      <c r="BSG24" s="93"/>
      <c r="BSH24" s="93"/>
      <c r="BSI24" s="93"/>
      <c r="BSJ24" s="93"/>
      <c r="BSK24" s="93"/>
      <c r="BSL24" s="93"/>
      <c r="BSM24" s="93"/>
      <c r="BSN24" s="93"/>
      <c r="BSO24" s="93"/>
      <c r="BSP24" s="93"/>
      <c r="BSQ24" s="93"/>
      <c r="BSR24" s="93"/>
      <c r="BSS24" s="93"/>
      <c r="BST24" s="93"/>
      <c r="BSU24" s="93"/>
      <c r="BSV24" s="93"/>
      <c r="BSW24" s="93"/>
      <c r="BSX24" s="93"/>
      <c r="BSY24" s="93"/>
      <c r="BSZ24" s="93"/>
      <c r="BTA24" s="93"/>
      <c r="BTB24" s="93"/>
      <c r="BTC24" s="93"/>
      <c r="BTD24" s="93"/>
      <c r="BTE24" s="93"/>
      <c r="BTF24" s="93"/>
      <c r="BTG24" s="93"/>
      <c r="BTH24" s="93"/>
      <c r="BTI24" s="93"/>
      <c r="BTJ24" s="93"/>
      <c r="BTK24" s="93"/>
      <c r="BTL24" s="93"/>
      <c r="BTM24" s="93"/>
      <c r="BTN24" s="93"/>
      <c r="BTO24" s="93"/>
      <c r="BTP24" s="93"/>
      <c r="BTQ24" s="93"/>
      <c r="BTR24" s="93"/>
      <c r="BTS24" s="93"/>
      <c r="BTT24" s="93"/>
      <c r="BTU24" s="93"/>
      <c r="BTV24" s="93"/>
      <c r="BTW24" s="93"/>
      <c r="BTX24" s="93"/>
      <c r="BTY24" s="93"/>
      <c r="BTZ24" s="93"/>
      <c r="BUA24" s="93"/>
      <c r="BUB24" s="93"/>
      <c r="BUC24" s="93"/>
      <c r="BUD24" s="93"/>
      <c r="BUE24" s="93"/>
      <c r="BUF24" s="93"/>
      <c r="BUG24" s="93"/>
      <c r="BUH24" s="93"/>
      <c r="BUI24" s="93"/>
      <c r="BUJ24" s="93"/>
      <c r="BUK24" s="93"/>
      <c r="BUL24" s="93"/>
      <c r="BUM24" s="93"/>
      <c r="BUN24" s="93"/>
      <c r="BUO24" s="93"/>
      <c r="BUP24" s="93"/>
      <c r="BUQ24" s="93"/>
      <c r="BUR24" s="93"/>
      <c r="BUS24" s="93"/>
      <c r="BUT24" s="93"/>
      <c r="BUU24" s="93"/>
      <c r="BUV24" s="93"/>
      <c r="BUW24" s="93"/>
      <c r="BUX24" s="93"/>
      <c r="BUY24" s="93"/>
      <c r="BUZ24" s="93"/>
      <c r="BVA24" s="93"/>
      <c r="BVB24" s="93"/>
      <c r="BVC24" s="93"/>
      <c r="BVD24" s="93"/>
      <c r="BVE24" s="93"/>
      <c r="BVF24" s="93"/>
      <c r="BVG24" s="93"/>
      <c r="BVH24" s="93"/>
      <c r="BVI24" s="93"/>
      <c r="BVJ24" s="93"/>
      <c r="BVK24" s="93"/>
      <c r="BVL24" s="93"/>
      <c r="BVM24" s="93"/>
      <c r="BVN24" s="93"/>
      <c r="BVO24" s="93"/>
      <c r="BVP24" s="93"/>
      <c r="BVQ24" s="93"/>
      <c r="BVR24" s="93"/>
      <c r="BVS24" s="93"/>
      <c r="BVT24" s="93"/>
      <c r="BVU24" s="93"/>
      <c r="BVV24" s="93"/>
      <c r="BVW24" s="93"/>
      <c r="BVX24" s="93"/>
      <c r="BVY24" s="93"/>
      <c r="BVZ24" s="93"/>
      <c r="BWA24" s="93"/>
      <c r="BWB24" s="93"/>
      <c r="BWC24" s="93"/>
      <c r="BWD24" s="93"/>
      <c r="BWE24" s="93"/>
      <c r="BWF24" s="93"/>
      <c r="BWG24" s="93"/>
      <c r="BWH24" s="93"/>
      <c r="BWI24" s="93"/>
      <c r="BWJ24" s="93"/>
      <c r="BWK24" s="93"/>
      <c r="BWL24" s="93"/>
      <c r="BWM24" s="93"/>
      <c r="BWN24" s="93"/>
      <c r="BWO24" s="93"/>
      <c r="BWP24" s="93"/>
      <c r="BWQ24" s="93"/>
      <c r="BWR24" s="93"/>
      <c r="BWS24" s="93"/>
      <c r="BWT24" s="93"/>
      <c r="BWU24" s="93"/>
      <c r="BWV24" s="93"/>
      <c r="BWW24" s="93"/>
      <c r="BWX24" s="93"/>
      <c r="BWY24" s="93"/>
      <c r="BWZ24" s="93"/>
      <c r="BXA24" s="93"/>
      <c r="BXB24" s="93"/>
      <c r="BXC24" s="93"/>
      <c r="BXD24" s="93"/>
      <c r="BXE24" s="93"/>
      <c r="BXF24" s="93"/>
      <c r="BXG24" s="93"/>
      <c r="BXH24" s="93"/>
      <c r="BXI24" s="93"/>
      <c r="BXJ24" s="93"/>
      <c r="BXK24" s="93"/>
      <c r="BXL24" s="93"/>
      <c r="BXM24" s="93"/>
      <c r="BXN24" s="93"/>
      <c r="BXO24" s="93"/>
      <c r="BXP24" s="93"/>
      <c r="BXQ24" s="93"/>
      <c r="BXR24" s="93"/>
      <c r="BXS24" s="93"/>
      <c r="BXT24" s="93"/>
      <c r="BXU24" s="93"/>
      <c r="BXV24" s="93"/>
      <c r="BXW24" s="93"/>
      <c r="BXX24" s="93"/>
      <c r="BXY24" s="93"/>
      <c r="BXZ24" s="93"/>
      <c r="BYA24" s="93"/>
      <c r="BYB24" s="93"/>
      <c r="BYC24" s="93"/>
      <c r="BYD24" s="93"/>
      <c r="BYE24" s="93"/>
      <c r="BYF24" s="93"/>
      <c r="BYG24" s="93"/>
      <c r="BYH24" s="93"/>
      <c r="BYI24" s="93"/>
      <c r="BYJ24" s="93"/>
      <c r="BYK24" s="93"/>
      <c r="BYL24" s="93"/>
      <c r="BYM24" s="93"/>
      <c r="BYN24" s="93"/>
      <c r="BYO24" s="93"/>
      <c r="BYP24" s="93"/>
      <c r="BYQ24" s="93"/>
      <c r="BYR24" s="93"/>
      <c r="BYS24" s="93"/>
      <c r="BYT24" s="93"/>
      <c r="BYU24" s="93"/>
      <c r="BYV24" s="93"/>
      <c r="BYW24" s="93"/>
      <c r="BYX24" s="93"/>
      <c r="BYY24" s="93"/>
      <c r="BYZ24" s="93"/>
      <c r="BZA24" s="93"/>
      <c r="BZB24" s="93"/>
      <c r="BZC24" s="93"/>
      <c r="BZD24" s="93"/>
      <c r="BZE24" s="93"/>
      <c r="BZF24" s="93"/>
      <c r="BZG24" s="93"/>
      <c r="BZH24" s="93"/>
      <c r="BZI24" s="93"/>
      <c r="BZJ24" s="93"/>
      <c r="BZK24" s="93"/>
      <c r="BZL24" s="93"/>
      <c r="BZM24" s="93"/>
      <c r="BZN24" s="93"/>
      <c r="BZO24" s="93"/>
      <c r="BZP24" s="93"/>
      <c r="BZQ24" s="93"/>
      <c r="BZR24" s="93"/>
      <c r="BZS24" s="93"/>
      <c r="BZT24" s="93"/>
      <c r="BZU24" s="93"/>
      <c r="BZV24" s="93"/>
      <c r="BZW24" s="93"/>
      <c r="BZX24" s="93"/>
      <c r="BZY24" s="93"/>
      <c r="BZZ24" s="93"/>
      <c r="CAA24" s="93"/>
      <c r="CAB24" s="93"/>
      <c r="CAC24" s="93"/>
      <c r="CAD24" s="93"/>
      <c r="CAE24" s="93"/>
      <c r="CAF24" s="93"/>
      <c r="CAG24" s="93"/>
      <c r="CAH24" s="93"/>
      <c r="CAI24" s="93"/>
      <c r="CAJ24" s="93"/>
      <c r="CAK24" s="93"/>
      <c r="CAL24" s="93"/>
      <c r="CAM24" s="93"/>
      <c r="CAN24" s="93"/>
      <c r="CAO24" s="93"/>
      <c r="CAP24" s="93"/>
      <c r="CAQ24" s="93"/>
      <c r="CAR24" s="93"/>
      <c r="CAS24" s="93"/>
      <c r="CAT24" s="93"/>
      <c r="CAU24" s="93"/>
      <c r="CAV24" s="93"/>
      <c r="CAW24" s="93"/>
      <c r="CAX24" s="93"/>
      <c r="CAY24" s="93"/>
      <c r="CAZ24" s="93"/>
      <c r="CBA24" s="93"/>
      <c r="CBB24" s="93"/>
      <c r="CBC24" s="93"/>
      <c r="CBD24" s="93"/>
      <c r="CBE24" s="93"/>
      <c r="CBF24" s="93"/>
      <c r="CBG24" s="93"/>
      <c r="CBH24" s="93"/>
      <c r="CBI24" s="93"/>
      <c r="CBJ24" s="93"/>
      <c r="CBK24" s="93"/>
      <c r="CBL24" s="93"/>
      <c r="CBM24" s="93"/>
      <c r="CBN24" s="93"/>
      <c r="CBO24" s="93"/>
      <c r="CBP24" s="93"/>
      <c r="CBQ24" s="93"/>
      <c r="CBR24" s="93"/>
      <c r="CBS24" s="93"/>
      <c r="CBT24" s="93"/>
      <c r="CBU24" s="93"/>
      <c r="CBV24" s="93"/>
      <c r="CBW24" s="93"/>
      <c r="CBX24" s="93"/>
      <c r="CBY24" s="93"/>
      <c r="CBZ24" s="93"/>
      <c r="CCA24" s="93"/>
      <c r="CCB24" s="93"/>
      <c r="CCC24" s="93"/>
      <c r="CCD24" s="93"/>
      <c r="CCE24" s="93"/>
      <c r="CCF24" s="93"/>
      <c r="CCG24" s="93"/>
      <c r="CCH24" s="93"/>
      <c r="CCI24" s="93"/>
      <c r="CCJ24" s="93"/>
      <c r="CCK24" s="93"/>
      <c r="CCL24" s="93"/>
      <c r="CCM24" s="93"/>
      <c r="CCN24" s="93"/>
      <c r="CCO24" s="93"/>
      <c r="CCP24" s="93"/>
      <c r="CCQ24" s="93"/>
      <c r="CCR24" s="93"/>
      <c r="CCS24" s="93"/>
      <c r="CCT24" s="93"/>
      <c r="CCU24" s="93"/>
      <c r="CCV24" s="93"/>
      <c r="CCW24" s="93"/>
      <c r="CCX24" s="93"/>
      <c r="CCY24" s="93"/>
      <c r="CCZ24" s="93"/>
      <c r="CDA24" s="93"/>
      <c r="CDB24" s="93"/>
      <c r="CDC24" s="93"/>
      <c r="CDD24" s="93"/>
      <c r="CDE24" s="93"/>
      <c r="CDF24" s="93"/>
      <c r="CDG24" s="93"/>
      <c r="CDH24" s="93"/>
      <c r="CDI24" s="93"/>
      <c r="CDJ24" s="93"/>
      <c r="CDK24" s="93"/>
      <c r="CDL24" s="93"/>
      <c r="CDM24" s="93"/>
      <c r="CDN24" s="93"/>
      <c r="CDO24" s="93"/>
      <c r="CDP24" s="93"/>
      <c r="CDQ24" s="93"/>
      <c r="CDR24" s="93"/>
      <c r="CDS24" s="93"/>
      <c r="CDT24" s="93"/>
      <c r="CDU24" s="93"/>
      <c r="CDV24" s="93"/>
      <c r="CDW24" s="93"/>
      <c r="CDX24" s="93"/>
      <c r="CDY24" s="93"/>
      <c r="CDZ24" s="93"/>
      <c r="CEA24" s="93"/>
      <c r="CEB24" s="93"/>
      <c r="CEC24" s="93"/>
      <c r="CED24" s="93"/>
      <c r="CEE24" s="93"/>
      <c r="CEF24" s="93"/>
      <c r="CEG24" s="93"/>
      <c r="CEH24" s="93"/>
      <c r="CEI24" s="93"/>
      <c r="CEJ24" s="93"/>
      <c r="CEK24" s="93"/>
      <c r="CEL24" s="93"/>
      <c r="CEM24" s="93"/>
      <c r="CEN24" s="93"/>
      <c r="CEO24" s="93"/>
      <c r="CEP24" s="93"/>
      <c r="CEQ24" s="93"/>
      <c r="CER24" s="93"/>
      <c r="CES24" s="93"/>
      <c r="CET24" s="93"/>
      <c r="CEU24" s="93"/>
      <c r="CEV24" s="93"/>
      <c r="CEW24" s="93"/>
      <c r="CEX24" s="93"/>
      <c r="CEY24" s="93"/>
      <c r="CEZ24" s="93"/>
      <c r="CFA24" s="93"/>
      <c r="CFB24" s="93"/>
      <c r="CFC24" s="93"/>
      <c r="CFD24" s="93"/>
      <c r="CFE24" s="93"/>
      <c r="CFF24" s="93"/>
      <c r="CFG24" s="93"/>
      <c r="CFH24" s="93"/>
      <c r="CFI24" s="93"/>
      <c r="CFJ24" s="93"/>
      <c r="CFK24" s="93"/>
      <c r="CFL24" s="93"/>
      <c r="CFM24" s="93"/>
      <c r="CFN24" s="93"/>
      <c r="CFO24" s="93"/>
      <c r="CFP24" s="93"/>
      <c r="CFQ24" s="93"/>
      <c r="CFR24" s="93"/>
      <c r="CFS24" s="93"/>
      <c r="CFT24" s="93"/>
      <c r="CFU24" s="93"/>
      <c r="CFV24" s="93"/>
      <c r="CFW24" s="93"/>
      <c r="CFX24" s="93"/>
      <c r="CFY24" s="93"/>
      <c r="CFZ24" s="93"/>
      <c r="CGA24" s="93"/>
      <c r="CGB24" s="93"/>
      <c r="CGC24" s="93"/>
      <c r="CGD24" s="93"/>
      <c r="CGE24" s="93"/>
      <c r="CGF24" s="93"/>
      <c r="CGG24" s="93"/>
      <c r="CGH24" s="93"/>
      <c r="CGI24" s="93"/>
      <c r="CGJ24" s="93"/>
      <c r="CGK24" s="93"/>
      <c r="CGL24" s="93"/>
      <c r="CGM24" s="93"/>
      <c r="CGN24" s="93"/>
      <c r="CGO24" s="93"/>
      <c r="CGP24" s="93"/>
      <c r="CGQ24" s="93"/>
      <c r="CGR24" s="93"/>
      <c r="CGS24" s="93"/>
      <c r="CGT24" s="93"/>
      <c r="CGU24" s="93"/>
      <c r="CGV24" s="93"/>
      <c r="CGW24" s="93"/>
      <c r="CGX24" s="93"/>
      <c r="CGY24" s="93"/>
      <c r="CGZ24" s="93"/>
      <c r="CHA24" s="93"/>
      <c r="CHB24" s="93"/>
      <c r="CHC24" s="93"/>
      <c r="CHD24" s="93"/>
      <c r="CHE24" s="93"/>
      <c r="CHF24" s="93"/>
      <c r="CHG24" s="93"/>
      <c r="CHH24" s="93"/>
      <c r="CHI24" s="93"/>
      <c r="CHJ24" s="93"/>
      <c r="CHK24" s="93"/>
      <c r="CHL24" s="93"/>
      <c r="CHM24" s="93"/>
      <c r="CHN24" s="93"/>
      <c r="CHO24" s="93"/>
      <c r="CHP24" s="93"/>
      <c r="CHQ24" s="93"/>
      <c r="CHR24" s="93"/>
      <c r="CHS24" s="93"/>
      <c r="CHT24" s="93"/>
      <c r="CHU24" s="93"/>
      <c r="CHV24" s="93"/>
      <c r="CHW24" s="93"/>
      <c r="CHX24" s="93"/>
      <c r="CHY24" s="93"/>
      <c r="CHZ24" s="93"/>
      <c r="CIA24" s="93"/>
      <c r="CIB24" s="93"/>
      <c r="CIC24" s="93"/>
      <c r="CID24" s="93"/>
      <c r="CIE24" s="93"/>
      <c r="CIF24" s="93"/>
      <c r="CIG24" s="93"/>
      <c r="CIH24" s="93"/>
      <c r="CII24" s="93"/>
      <c r="CIJ24" s="93"/>
      <c r="CIK24" s="93"/>
      <c r="CIL24" s="93"/>
      <c r="CIM24" s="93"/>
      <c r="CIN24" s="93"/>
      <c r="CIO24" s="93"/>
      <c r="CIP24" s="93"/>
      <c r="CIQ24" s="93"/>
      <c r="CIR24" s="93"/>
      <c r="CIS24" s="93"/>
      <c r="CIT24" s="93"/>
      <c r="CIU24" s="93"/>
      <c r="CIV24" s="93"/>
      <c r="CIW24" s="93"/>
      <c r="CIX24" s="93"/>
      <c r="CIY24" s="93"/>
      <c r="CIZ24" s="93"/>
      <c r="CJA24" s="93"/>
      <c r="CJB24" s="93"/>
      <c r="CJC24" s="93"/>
      <c r="CJD24" s="93"/>
      <c r="CJE24" s="93"/>
      <c r="CJF24" s="93"/>
      <c r="CJG24" s="93"/>
      <c r="CJH24" s="93"/>
      <c r="CJI24" s="93"/>
      <c r="CJJ24" s="93"/>
      <c r="CJK24" s="93"/>
      <c r="CJL24" s="93"/>
      <c r="CJM24" s="93"/>
      <c r="CJN24" s="93"/>
      <c r="CJO24" s="93"/>
      <c r="CJP24" s="93"/>
      <c r="CJQ24" s="93"/>
      <c r="CJR24" s="93"/>
      <c r="CJS24" s="93"/>
      <c r="CJT24" s="93"/>
      <c r="CJU24" s="93"/>
      <c r="CJV24" s="93"/>
      <c r="CJW24" s="93"/>
      <c r="CJX24" s="93"/>
      <c r="CJY24" s="93"/>
      <c r="CJZ24" s="93"/>
      <c r="CKA24" s="93"/>
      <c r="CKB24" s="93"/>
      <c r="CKC24" s="93"/>
      <c r="CKD24" s="93"/>
      <c r="CKE24" s="93"/>
      <c r="CKF24" s="93"/>
      <c r="CKG24" s="93"/>
      <c r="CKH24" s="93"/>
      <c r="CKI24" s="93"/>
      <c r="CKJ24" s="93"/>
      <c r="CKK24" s="93"/>
      <c r="CKL24" s="93"/>
      <c r="CKM24" s="93"/>
      <c r="CKN24" s="93"/>
      <c r="CKO24" s="93"/>
      <c r="CKP24" s="93"/>
      <c r="CKQ24" s="93"/>
      <c r="CKR24" s="93"/>
      <c r="CKS24" s="93"/>
      <c r="CKT24" s="93"/>
      <c r="CKU24" s="93"/>
      <c r="CKV24" s="93"/>
      <c r="CKW24" s="93"/>
      <c r="CKX24" s="93"/>
      <c r="CKY24" s="93"/>
      <c r="CKZ24" s="93"/>
      <c r="CLA24" s="93"/>
      <c r="CLB24" s="93"/>
      <c r="CLC24" s="93"/>
      <c r="CLD24" s="93"/>
      <c r="CLE24" s="93"/>
      <c r="CLF24" s="93"/>
      <c r="CLG24" s="93"/>
      <c r="CLH24" s="93"/>
      <c r="CLI24" s="93"/>
      <c r="CLJ24" s="93"/>
      <c r="CLK24" s="93"/>
      <c r="CLL24" s="93"/>
      <c r="CLM24" s="93"/>
      <c r="CLN24" s="93"/>
      <c r="CLO24" s="93"/>
      <c r="CLP24" s="93"/>
      <c r="CLQ24" s="93"/>
      <c r="CLR24" s="93"/>
      <c r="CLS24" s="93"/>
      <c r="CLT24" s="93"/>
      <c r="CLU24" s="93"/>
      <c r="CLV24" s="93"/>
      <c r="CLW24" s="93"/>
      <c r="CLX24" s="93"/>
      <c r="CLY24" s="93"/>
      <c r="CLZ24" s="93"/>
      <c r="CMA24" s="93"/>
      <c r="CMB24" s="93"/>
      <c r="CMC24" s="93"/>
      <c r="CMD24" s="93"/>
      <c r="CME24" s="93"/>
      <c r="CMF24" s="93"/>
      <c r="CMG24" s="93"/>
      <c r="CMH24" s="93"/>
      <c r="CMI24" s="93"/>
      <c r="CMJ24" s="93"/>
      <c r="CMK24" s="93"/>
      <c r="CML24" s="93"/>
      <c r="CMM24" s="93"/>
      <c r="CMN24" s="93"/>
      <c r="CMO24" s="93"/>
      <c r="CMP24" s="93"/>
      <c r="CMQ24" s="93"/>
      <c r="CMR24" s="93"/>
      <c r="CMS24" s="93"/>
      <c r="CMT24" s="93"/>
      <c r="CMU24" s="93"/>
      <c r="CMV24" s="93"/>
      <c r="CMW24" s="93"/>
      <c r="CMX24" s="93"/>
      <c r="CMY24" s="93"/>
      <c r="CMZ24" s="93"/>
      <c r="CNA24" s="93"/>
      <c r="CNB24" s="93"/>
      <c r="CNC24" s="93"/>
      <c r="CND24" s="93"/>
      <c r="CNE24" s="93"/>
      <c r="CNF24" s="93"/>
      <c r="CNG24" s="93"/>
      <c r="CNH24" s="93"/>
      <c r="CNI24" s="93"/>
      <c r="CNJ24" s="93"/>
      <c r="CNK24" s="93"/>
      <c r="CNL24" s="93"/>
      <c r="CNM24" s="93"/>
      <c r="CNN24" s="93"/>
      <c r="CNO24" s="93"/>
      <c r="CNP24" s="93"/>
      <c r="CNQ24" s="93"/>
      <c r="CNR24" s="93"/>
      <c r="CNS24" s="93"/>
      <c r="CNT24" s="93"/>
      <c r="CNU24" s="93"/>
      <c r="CNV24" s="93"/>
      <c r="CNW24" s="93"/>
      <c r="CNX24" s="93"/>
      <c r="CNY24" s="93"/>
      <c r="CNZ24" s="93"/>
      <c r="COA24" s="93"/>
      <c r="COB24" s="93"/>
      <c r="COC24" s="93"/>
      <c r="COD24" s="93"/>
      <c r="COE24" s="93"/>
      <c r="COF24" s="93"/>
      <c r="COG24" s="93"/>
      <c r="COH24" s="93"/>
      <c r="COI24" s="93"/>
      <c r="COJ24" s="93"/>
      <c r="COK24" s="93"/>
      <c r="COL24" s="93"/>
      <c r="COM24" s="93"/>
      <c r="CON24" s="93"/>
      <c r="COO24" s="93"/>
      <c r="COP24" s="93"/>
      <c r="COQ24" s="93"/>
      <c r="COR24" s="93"/>
      <c r="COS24" s="93"/>
      <c r="COT24" s="93"/>
      <c r="COU24" s="93"/>
      <c r="COV24" s="93"/>
      <c r="COW24" s="93"/>
      <c r="COX24" s="93"/>
      <c r="COY24" s="93"/>
      <c r="COZ24" s="93"/>
      <c r="CPA24" s="93"/>
      <c r="CPB24" s="93"/>
      <c r="CPC24" s="93"/>
      <c r="CPD24" s="93"/>
      <c r="CPE24" s="93"/>
      <c r="CPF24" s="93"/>
      <c r="CPG24" s="93"/>
      <c r="CPH24" s="93"/>
      <c r="CPI24" s="93"/>
      <c r="CPJ24" s="93"/>
      <c r="CPK24" s="93"/>
      <c r="CPL24" s="93"/>
      <c r="CPM24" s="93"/>
      <c r="CPN24" s="93"/>
      <c r="CPO24" s="93"/>
      <c r="CPP24" s="93"/>
      <c r="CPQ24" s="93"/>
      <c r="CPR24" s="93"/>
      <c r="CPS24" s="93"/>
      <c r="CPT24" s="93"/>
      <c r="CPU24" s="93"/>
      <c r="CPV24" s="93"/>
      <c r="CPW24" s="93"/>
      <c r="CPX24" s="93"/>
      <c r="CPY24" s="93"/>
      <c r="CPZ24" s="93"/>
      <c r="CQA24" s="93"/>
      <c r="CQB24" s="93"/>
      <c r="CQC24" s="93"/>
      <c r="CQD24" s="93"/>
      <c r="CQE24" s="93"/>
      <c r="CQF24" s="93"/>
      <c r="CQG24" s="93"/>
      <c r="CQH24" s="93"/>
      <c r="CQI24" s="93"/>
      <c r="CQJ24" s="93"/>
      <c r="CQK24" s="93"/>
      <c r="CQL24" s="93"/>
      <c r="CQM24" s="93"/>
      <c r="CQN24" s="93"/>
      <c r="CQO24" s="93"/>
      <c r="CQP24" s="93"/>
      <c r="CQQ24" s="93"/>
      <c r="CQR24" s="93"/>
      <c r="CQS24" s="93"/>
      <c r="CQT24" s="93"/>
      <c r="CQU24" s="93"/>
      <c r="CQV24" s="93"/>
      <c r="CQW24" s="93"/>
      <c r="CQX24" s="93"/>
      <c r="CQY24" s="93"/>
      <c r="CQZ24" s="93"/>
      <c r="CRA24" s="93"/>
      <c r="CRB24" s="93"/>
      <c r="CRC24" s="93"/>
      <c r="CRD24" s="93"/>
      <c r="CRE24" s="93"/>
      <c r="CRF24" s="93"/>
      <c r="CRG24" s="93"/>
      <c r="CRH24" s="93"/>
      <c r="CRI24" s="93"/>
      <c r="CRJ24" s="93"/>
      <c r="CRK24" s="93"/>
      <c r="CRL24" s="93"/>
      <c r="CRM24" s="93"/>
      <c r="CRN24" s="93"/>
      <c r="CRO24" s="93"/>
      <c r="CRP24" s="93"/>
      <c r="CRQ24" s="93"/>
      <c r="CRR24" s="93"/>
      <c r="CRS24" s="93"/>
      <c r="CRT24" s="93"/>
      <c r="CRU24" s="93"/>
      <c r="CRV24" s="93"/>
      <c r="CRW24" s="93"/>
      <c r="CRX24" s="93"/>
      <c r="CRY24" s="93"/>
      <c r="CRZ24" s="93"/>
      <c r="CSA24" s="93"/>
      <c r="CSB24" s="93"/>
      <c r="CSC24" s="93"/>
      <c r="CSD24" s="93"/>
      <c r="CSE24" s="93"/>
      <c r="CSF24" s="93"/>
      <c r="CSG24" s="93"/>
      <c r="CSH24" s="93"/>
      <c r="CSI24" s="93"/>
      <c r="CSJ24" s="93"/>
      <c r="CSK24" s="93"/>
      <c r="CSL24" s="93"/>
      <c r="CSM24" s="93"/>
      <c r="CSN24" s="93"/>
      <c r="CSO24" s="93"/>
      <c r="CSP24" s="93"/>
      <c r="CSQ24" s="93"/>
      <c r="CSR24" s="93"/>
      <c r="CSS24" s="93"/>
      <c r="CST24" s="93"/>
      <c r="CSU24" s="93"/>
      <c r="CSV24" s="93"/>
      <c r="CSW24" s="93"/>
      <c r="CSX24" s="93"/>
      <c r="CSY24" s="93"/>
      <c r="CSZ24" s="93"/>
      <c r="CTA24" s="93"/>
      <c r="CTB24" s="93"/>
      <c r="CTC24" s="93"/>
      <c r="CTD24" s="93"/>
      <c r="CTE24" s="93"/>
      <c r="CTF24" s="93"/>
      <c r="CTG24" s="93"/>
      <c r="CTH24" s="93"/>
      <c r="CTI24" s="93"/>
      <c r="CTJ24" s="93"/>
      <c r="CTK24" s="93"/>
      <c r="CTL24" s="93"/>
      <c r="CTM24" s="93"/>
      <c r="CTN24" s="93"/>
      <c r="CTO24" s="93"/>
      <c r="CTP24" s="93"/>
      <c r="CTQ24" s="93"/>
      <c r="CTR24" s="93"/>
      <c r="CTS24" s="93"/>
      <c r="CTT24" s="93"/>
      <c r="CTU24" s="93"/>
      <c r="CTV24" s="93"/>
      <c r="CTW24" s="93"/>
      <c r="CTX24" s="93"/>
      <c r="CTY24" s="93"/>
      <c r="CTZ24" s="93"/>
      <c r="CUA24" s="93"/>
      <c r="CUB24" s="93"/>
      <c r="CUC24" s="93"/>
      <c r="CUD24" s="93"/>
      <c r="CUE24" s="93"/>
      <c r="CUF24" s="93"/>
      <c r="CUG24" s="93"/>
      <c r="CUH24" s="93"/>
      <c r="CUI24" s="93"/>
      <c r="CUJ24" s="93"/>
      <c r="CUK24" s="93"/>
      <c r="CUL24" s="93"/>
      <c r="CUM24" s="93"/>
      <c r="CUN24" s="93"/>
      <c r="CUO24" s="93"/>
      <c r="CUP24" s="93"/>
      <c r="CUQ24" s="93"/>
      <c r="CUR24" s="93"/>
      <c r="CUS24" s="93"/>
      <c r="CUT24" s="93"/>
      <c r="CUU24" s="93"/>
      <c r="CUV24" s="93"/>
      <c r="CUW24" s="93"/>
      <c r="CUX24" s="93"/>
      <c r="CUY24" s="93"/>
      <c r="CUZ24" s="93"/>
      <c r="CVA24" s="93"/>
      <c r="CVB24" s="93"/>
      <c r="CVC24" s="93"/>
      <c r="CVD24" s="93"/>
      <c r="CVE24" s="93"/>
      <c r="CVF24" s="93"/>
      <c r="CVG24" s="93"/>
      <c r="CVH24" s="93"/>
      <c r="CVI24" s="93"/>
      <c r="CVJ24" s="93"/>
      <c r="CVK24" s="93"/>
      <c r="CVL24" s="93"/>
      <c r="CVM24" s="93"/>
      <c r="CVN24" s="93"/>
      <c r="CVO24" s="93"/>
      <c r="CVP24" s="93"/>
      <c r="CVQ24" s="93"/>
      <c r="CVR24" s="93"/>
      <c r="CVS24" s="93"/>
      <c r="CVT24" s="93"/>
      <c r="CVU24" s="93"/>
      <c r="CVV24" s="93"/>
      <c r="CVW24" s="93"/>
      <c r="CVX24" s="93"/>
      <c r="CVY24" s="93"/>
      <c r="CVZ24" s="93"/>
      <c r="CWA24" s="93"/>
      <c r="CWB24" s="93"/>
      <c r="CWC24" s="93"/>
      <c r="CWD24" s="93"/>
      <c r="CWE24" s="93"/>
      <c r="CWF24" s="93"/>
      <c r="CWG24" s="93"/>
      <c r="CWH24" s="93"/>
      <c r="CWI24" s="93"/>
      <c r="CWJ24" s="93"/>
      <c r="CWK24" s="93"/>
      <c r="CWL24" s="93"/>
      <c r="CWM24" s="93"/>
      <c r="CWN24" s="93"/>
      <c r="CWO24" s="93"/>
      <c r="CWP24" s="93"/>
      <c r="CWQ24" s="93"/>
      <c r="CWR24" s="93"/>
      <c r="CWS24" s="93"/>
      <c r="CWT24" s="93"/>
      <c r="CWU24" s="93"/>
      <c r="CWV24" s="93"/>
      <c r="CWW24" s="93"/>
      <c r="CWX24" s="93"/>
      <c r="CWY24" s="93"/>
      <c r="CWZ24" s="93"/>
      <c r="CXA24" s="93"/>
      <c r="CXB24" s="93"/>
      <c r="CXC24" s="93"/>
      <c r="CXD24" s="93"/>
      <c r="CXE24" s="93"/>
      <c r="CXF24" s="93"/>
      <c r="CXG24" s="93"/>
      <c r="CXH24" s="93"/>
      <c r="CXI24" s="93"/>
      <c r="CXJ24" s="93"/>
      <c r="CXK24" s="93"/>
      <c r="CXL24" s="93"/>
      <c r="CXM24" s="93"/>
      <c r="CXN24" s="93"/>
      <c r="CXO24" s="93"/>
      <c r="CXP24" s="93"/>
      <c r="CXQ24" s="93"/>
      <c r="CXR24" s="93"/>
      <c r="CXS24" s="93"/>
      <c r="CXT24" s="93"/>
      <c r="CXU24" s="93"/>
      <c r="CXV24" s="93"/>
      <c r="CXW24" s="93"/>
      <c r="CXX24" s="93"/>
      <c r="CXY24" s="93"/>
      <c r="CXZ24" s="93"/>
      <c r="CYA24" s="93"/>
      <c r="CYB24" s="93"/>
      <c r="CYC24" s="93"/>
      <c r="CYD24" s="93"/>
      <c r="CYE24" s="93"/>
      <c r="CYF24" s="93"/>
      <c r="CYG24" s="93"/>
      <c r="CYH24" s="93"/>
      <c r="CYI24" s="93"/>
      <c r="CYJ24" s="93"/>
      <c r="CYK24" s="93"/>
      <c r="CYL24" s="93"/>
      <c r="CYM24" s="93"/>
      <c r="CYN24" s="93"/>
      <c r="CYO24" s="93"/>
      <c r="CYP24" s="93"/>
      <c r="CYQ24" s="93"/>
      <c r="CYR24" s="93"/>
      <c r="CYS24" s="93"/>
      <c r="CYT24" s="93"/>
      <c r="CYU24" s="93"/>
      <c r="CYV24" s="93"/>
      <c r="CYW24" s="93"/>
      <c r="CYX24" s="93"/>
      <c r="CYY24" s="93"/>
      <c r="CYZ24" s="93"/>
      <c r="CZA24" s="93"/>
      <c r="CZB24" s="93"/>
      <c r="CZC24" s="93"/>
      <c r="CZD24" s="93"/>
      <c r="CZE24" s="93"/>
      <c r="CZF24" s="93"/>
      <c r="CZG24" s="93"/>
      <c r="CZH24" s="93"/>
      <c r="CZI24" s="93"/>
      <c r="CZJ24" s="93"/>
      <c r="CZK24" s="93"/>
      <c r="CZL24" s="93"/>
      <c r="CZM24" s="93"/>
      <c r="CZN24" s="93"/>
      <c r="CZO24" s="93"/>
      <c r="CZP24" s="93"/>
      <c r="CZQ24" s="93"/>
      <c r="CZR24" s="93"/>
      <c r="CZS24" s="93"/>
      <c r="CZT24" s="93"/>
      <c r="CZU24" s="93"/>
      <c r="CZV24" s="93"/>
      <c r="CZW24" s="93"/>
      <c r="CZX24" s="93"/>
      <c r="CZY24" s="93"/>
      <c r="CZZ24" s="93"/>
      <c r="DAA24" s="93"/>
      <c r="DAB24" s="93"/>
      <c r="DAC24" s="93"/>
      <c r="DAD24" s="93"/>
      <c r="DAE24" s="93"/>
      <c r="DAF24" s="93"/>
      <c r="DAG24" s="93"/>
      <c r="DAH24" s="93"/>
      <c r="DAI24" s="93"/>
      <c r="DAJ24" s="93"/>
      <c r="DAK24" s="93"/>
      <c r="DAL24" s="93"/>
      <c r="DAM24" s="93"/>
      <c r="DAN24" s="93"/>
      <c r="DAO24" s="93"/>
      <c r="DAP24" s="93"/>
      <c r="DAQ24" s="93"/>
      <c r="DAR24" s="93"/>
      <c r="DAS24" s="93"/>
      <c r="DAT24" s="93"/>
      <c r="DAU24" s="93"/>
      <c r="DAV24" s="93"/>
      <c r="DAW24" s="93"/>
      <c r="DAX24" s="93"/>
      <c r="DAY24" s="93"/>
      <c r="DAZ24" s="93"/>
      <c r="DBA24" s="93"/>
      <c r="DBB24" s="93"/>
      <c r="DBC24" s="93"/>
      <c r="DBD24" s="93"/>
      <c r="DBE24" s="93"/>
      <c r="DBF24" s="93"/>
      <c r="DBG24" s="93"/>
      <c r="DBH24" s="93"/>
      <c r="DBI24" s="93"/>
      <c r="DBJ24" s="93"/>
      <c r="DBK24" s="93"/>
      <c r="DBL24" s="93"/>
      <c r="DBM24" s="93"/>
      <c r="DBN24" s="93"/>
      <c r="DBO24" s="93"/>
      <c r="DBP24" s="93"/>
      <c r="DBQ24" s="93"/>
      <c r="DBR24" s="93"/>
      <c r="DBS24" s="93"/>
      <c r="DBT24" s="93"/>
      <c r="DBU24" s="93"/>
      <c r="DBV24" s="93"/>
      <c r="DBW24" s="93"/>
      <c r="DBX24" s="93"/>
      <c r="DBY24" s="93"/>
      <c r="DBZ24" s="93"/>
      <c r="DCA24" s="93"/>
      <c r="DCB24" s="93"/>
      <c r="DCC24" s="93"/>
      <c r="DCD24" s="93"/>
      <c r="DCE24" s="93"/>
      <c r="DCF24" s="93"/>
      <c r="DCG24" s="93"/>
      <c r="DCH24" s="93"/>
      <c r="DCI24" s="93"/>
      <c r="DCJ24" s="93"/>
      <c r="DCK24" s="93"/>
      <c r="DCL24" s="93"/>
      <c r="DCM24" s="93"/>
      <c r="DCN24" s="93"/>
      <c r="DCO24" s="93"/>
      <c r="DCP24" s="93"/>
      <c r="DCQ24" s="93"/>
      <c r="DCR24" s="93"/>
      <c r="DCS24" s="93"/>
      <c r="DCT24" s="93"/>
      <c r="DCU24" s="93"/>
      <c r="DCV24" s="93"/>
      <c r="DCW24" s="93"/>
      <c r="DCX24" s="93"/>
      <c r="DCY24" s="93"/>
      <c r="DCZ24" s="93"/>
      <c r="DDA24" s="93"/>
      <c r="DDB24" s="93"/>
      <c r="DDC24" s="93"/>
      <c r="DDD24" s="93"/>
      <c r="DDE24" s="93"/>
      <c r="DDF24" s="93"/>
      <c r="DDG24" s="93"/>
      <c r="DDH24" s="93"/>
      <c r="DDI24" s="93"/>
      <c r="DDJ24" s="93"/>
      <c r="DDK24" s="93"/>
      <c r="DDL24" s="93"/>
      <c r="DDM24" s="93"/>
      <c r="DDN24" s="93"/>
      <c r="DDO24" s="93"/>
      <c r="DDP24" s="93"/>
      <c r="DDQ24" s="93"/>
      <c r="DDR24" s="93"/>
      <c r="DDS24" s="93"/>
      <c r="DDT24" s="93"/>
      <c r="DDU24" s="93"/>
      <c r="DDV24" s="93"/>
      <c r="DDW24" s="93"/>
      <c r="DDX24" s="93"/>
      <c r="DDY24" s="93"/>
      <c r="DDZ24" s="93"/>
      <c r="DEA24" s="93"/>
      <c r="DEB24" s="93"/>
      <c r="DEC24" s="93"/>
      <c r="DED24" s="93"/>
      <c r="DEE24" s="93"/>
      <c r="DEF24" s="93"/>
      <c r="DEG24" s="93"/>
      <c r="DEH24" s="93"/>
      <c r="DEI24" s="93"/>
      <c r="DEJ24" s="93"/>
      <c r="DEK24" s="93"/>
      <c r="DEL24" s="93"/>
      <c r="DEM24" s="93"/>
      <c r="DEN24" s="93"/>
      <c r="DEO24" s="93"/>
      <c r="DEP24" s="93"/>
      <c r="DEQ24" s="93"/>
      <c r="DER24" s="93"/>
      <c r="DES24" s="93"/>
      <c r="DET24" s="93"/>
      <c r="DEU24" s="93"/>
      <c r="DEV24" s="93"/>
      <c r="DEW24" s="93"/>
      <c r="DEX24" s="93"/>
      <c r="DEY24" s="93"/>
      <c r="DEZ24" s="93"/>
      <c r="DFA24" s="93"/>
      <c r="DFB24" s="93"/>
      <c r="DFC24" s="93"/>
      <c r="DFD24" s="93"/>
      <c r="DFE24" s="93"/>
      <c r="DFF24" s="93"/>
      <c r="DFG24" s="93"/>
      <c r="DFH24" s="93"/>
      <c r="DFI24" s="93"/>
      <c r="DFJ24" s="93"/>
      <c r="DFK24" s="93"/>
      <c r="DFL24" s="93"/>
      <c r="DFM24" s="93"/>
      <c r="DFN24" s="93"/>
      <c r="DFO24" s="93"/>
      <c r="DFP24" s="93"/>
      <c r="DFQ24" s="93"/>
      <c r="DFR24" s="93"/>
      <c r="DFS24" s="93"/>
      <c r="DFT24" s="93"/>
      <c r="DFU24" s="93"/>
      <c r="DFV24" s="93"/>
      <c r="DFW24" s="93"/>
      <c r="DFX24" s="93"/>
      <c r="DFY24" s="93"/>
      <c r="DFZ24" s="93"/>
      <c r="DGA24" s="93"/>
      <c r="DGB24" s="93"/>
      <c r="DGC24" s="93"/>
      <c r="DGD24" s="93"/>
      <c r="DGE24" s="93"/>
      <c r="DGF24" s="93"/>
      <c r="DGG24" s="93"/>
      <c r="DGH24" s="93"/>
      <c r="DGI24" s="93"/>
      <c r="DGJ24" s="93"/>
      <c r="DGK24" s="93"/>
      <c r="DGL24" s="93"/>
      <c r="DGM24" s="93"/>
      <c r="DGN24" s="93"/>
      <c r="DGO24" s="93"/>
      <c r="DGP24" s="93"/>
      <c r="DGQ24" s="93"/>
      <c r="DGR24" s="93"/>
      <c r="DGS24" s="93"/>
      <c r="DGT24" s="93"/>
      <c r="DGU24" s="93"/>
      <c r="DGV24" s="93"/>
      <c r="DGW24" s="93"/>
      <c r="DGX24" s="93"/>
      <c r="DGY24" s="93"/>
      <c r="DGZ24" s="93"/>
      <c r="DHA24" s="93"/>
      <c r="DHB24" s="93"/>
      <c r="DHC24" s="93"/>
      <c r="DHD24" s="93"/>
      <c r="DHE24" s="93"/>
      <c r="DHF24" s="93"/>
      <c r="DHG24" s="93"/>
      <c r="DHH24" s="93"/>
      <c r="DHI24" s="93"/>
      <c r="DHJ24" s="93"/>
      <c r="DHK24" s="93"/>
      <c r="DHL24" s="93"/>
      <c r="DHM24" s="93"/>
      <c r="DHN24" s="93"/>
      <c r="DHO24" s="93"/>
      <c r="DHP24" s="93"/>
      <c r="DHQ24" s="93"/>
      <c r="DHR24" s="93"/>
      <c r="DHS24" s="93"/>
      <c r="DHT24" s="93"/>
      <c r="DHU24" s="93"/>
      <c r="DHV24" s="93"/>
      <c r="DHW24" s="93"/>
      <c r="DHX24" s="93"/>
      <c r="DHY24" s="93"/>
      <c r="DHZ24" s="93"/>
      <c r="DIA24" s="93"/>
      <c r="DIB24" s="93"/>
      <c r="DIC24" s="93"/>
      <c r="DID24" s="93"/>
      <c r="DIE24" s="93"/>
      <c r="DIF24" s="93"/>
      <c r="DIG24" s="93"/>
      <c r="DIH24" s="93"/>
      <c r="DII24" s="93"/>
      <c r="DIJ24" s="93"/>
      <c r="DIK24" s="93"/>
      <c r="DIL24" s="93"/>
      <c r="DIM24" s="93"/>
      <c r="DIN24" s="93"/>
      <c r="DIO24" s="93"/>
      <c r="DIP24" s="93"/>
      <c r="DIQ24" s="93"/>
      <c r="DIR24" s="93"/>
      <c r="DIS24" s="93"/>
      <c r="DIT24" s="93"/>
      <c r="DIU24" s="93"/>
      <c r="DIV24" s="93"/>
      <c r="DIW24" s="93"/>
      <c r="DIX24" s="93"/>
      <c r="DIY24" s="93"/>
      <c r="DIZ24" s="93"/>
      <c r="DJA24" s="93"/>
      <c r="DJB24" s="93"/>
      <c r="DJC24" s="93"/>
      <c r="DJD24" s="93"/>
      <c r="DJE24" s="93"/>
      <c r="DJF24" s="93"/>
      <c r="DJG24" s="93"/>
      <c r="DJH24" s="93"/>
      <c r="DJI24" s="93"/>
      <c r="DJJ24" s="93"/>
      <c r="DJK24" s="93"/>
      <c r="DJL24" s="93"/>
      <c r="DJM24" s="93"/>
      <c r="DJN24" s="93"/>
      <c r="DJO24" s="93"/>
      <c r="DJP24" s="93"/>
      <c r="DJQ24" s="93"/>
      <c r="DJR24" s="93"/>
      <c r="DJS24" s="93"/>
      <c r="DJT24" s="93"/>
      <c r="DJU24" s="93"/>
      <c r="DJV24" s="93"/>
      <c r="DJW24" s="93"/>
      <c r="DJX24" s="93"/>
      <c r="DJY24" s="93"/>
      <c r="DJZ24" s="93"/>
      <c r="DKA24" s="93"/>
      <c r="DKB24" s="93"/>
      <c r="DKC24" s="93"/>
      <c r="DKD24" s="93"/>
      <c r="DKE24" s="93"/>
      <c r="DKF24" s="93"/>
      <c r="DKG24" s="93"/>
      <c r="DKH24" s="93"/>
      <c r="DKI24" s="93"/>
      <c r="DKJ24" s="93"/>
      <c r="DKK24" s="93"/>
      <c r="DKL24" s="93"/>
      <c r="DKM24" s="93"/>
      <c r="DKN24" s="93"/>
      <c r="DKO24" s="93"/>
      <c r="DKP24" s="93"/>
      <c r="DKQ24" s="93"/>
      <c r="DKR24" s="93"/>
      <c r="DKS24" s="93"/>
      <c r="DKT24" s="93"/>
      <c r="DKU24" s="93"/>
      <c r="DKV24" s="93"/>
      <c r="DKW24" s="93"/>
      <c r="DKX24" s="93"/>
      <c r="DKY24" s="93"/>
      <c r="DKZ24" s="93"/>
      <c r="DLA24" s="93"/>
      <c r="DLB24" s="93"/>
      <c r="DLC24" s="93"/>
      <c r="DLD24" s="93"/>
      <c r="DLE24" s="93"/>
      <c r="DLF24" s="93"/>
      <c r="DLG24" s="93"/>
      <c r="DLH24" s="93"/>
      <c r="DLI24" s="93"/>
      <c r="DLJ24" s="93"/>
      <c r="DLK24" s="93"/>
      <c r="DLL24" s="93"/>
      <c r="DLM24" s="93"/>
      <c r="DLN24" s="93"/>
      <c r="DLO24" s="93"/>
      <c r="DLP24" s="93"/>
      <c r="DLQ24" s="93"/>
      <c r="DLR24" s="93"/>
      <c r="DLS24" s="93"/>
      <c r="DLT24" s="93"/>
      <c r="DLU24" s="93"/>
      <c r="DLV24" s="93"/>
      <c r="DLW24" s="93"/>
      <c r="DLX24" s="93"/>
      <c r="DLY24" s="93"/>
      <c r="DLZ24" s="93"/>
      <c r="DMA24" s="93"/>
      <c r="DMB24" s="93"/>
      <c r="DMC24" s="93"/>
      <c r="DMD24" s="93"/>
      <c r="DME24" s="93"/>
      <c r="DMF24" s="93"/>
      <c r="DMG24" s="93"/>
      <c r="DMH24" s="93"/>
      <c r="DMI24" s="93"/>
      <c r="DMJ24" s="93"/>
      <c r="DMK24" s="93"/>
      <c r="DML24" s="93"/>
      <c r="DMM24" s="93"/>
      <c r="DMN24" s="93"/>
      <c r="DMO24" s="93"/>
      <c r="DMP24" s="93"/>
      <c r="DMQ24" s="93"/>
      <c r="DMR24" s="93"/>
      <c r="DMS24" s="93"/>
      <c r="DMT24" s="93"/>
      <c r="DMU24" s="93"/>
      <c r="DMV24" s="93"/>
      <c r="DMW24" s="93"/>
      <c r="DMX24" s="93"/>
      <c r="DMY24" s="93"/>
      <c r="DMZ24" s="93"/>
      <c r="DNA24" s="93"/>
      <c r="DNB24" s="93"/>
      <c r="DNC24" s="93"/>
      <c r="DND24" s="93"/>
      <c r="DNE24" s="93"/>
      <c r="DNF24" s="93"/>
      <c r="DNG24" s="93"/>
      <c r="DNH24" s="93"/>
      <c r="DNI24" s="93"/>
      <c r="DNJ24" s="93"/>
      <c r="DNK24" s="93"/>
      <c r="DNL24" s="93"/>
      <c r="DNM24" s="93"/>
      <c r="DNN24" s="93"/>
      <c r="DNO24" s="93"/>
      <c r="DNP24" s="93"/>
      <c r="DNQ24" s="93"/>
      <c r="DNR24" s="93"/>
      <c r="DNS24" s="93"/>
      <c r="DNT24" s="93"/>
      <c r="DNU24" s="93"/>
      <c r="DNV24" s="93"/>
      <c r="DNW24" s="93"/>
      <c r="DNX24" s="93"/>
      <c r="DNY24" s="93"/>
      <c r="DNZ24" s="93"/>
      <c r="DOA24" s="93"/>
      <c r="DOB24" s="93"/>
      <c r="DOC24" s="93"/>
      <c r="DOD24" s="93"/>
      <c r="DOE24" s="93"/>
      <c r="DOF24" s="93"/>
      <c r="DOG24" s="93"/>
      <c r="DOH24" s="93"/>
      <c r="DOI24" s="93"/>
      <c r="DOJ24" s="93"/>
      <c r="DOK24" s="93"/>
      <c r="DOL24" s="93"/>
      <c r="DOM24" s="93"/>
      <c r="DON24" s="93"/>
      <c r="DOO24" s="93"/>
      <c r="DOP24" s="93"/>
      <c r="DOQ24" s="93"/>
      <c r="DOR24" s="93"/>
      <c r="DOS24" s="93"/>
      <c r="DOT24" s="93"/>
      <c r="DOU24" s="93"/>
      <c r="DOV24" s="93"/>
      <c r="DOW24" s="93"/>
      <c r="DOX24" s="93"/>
      <c r="DOY24" s="93"/>
      <c r="DOZ24" s="93"/>
      <c r="DPA24" s="93"/>
      <c r="DPB24" s="93"/>
      <c r="DPC24" s="93"/>
      <c r="DPD24" s="93"/>
      <c r="DPE24" s="93"/>
      <c r="DPF24" s="93"/>
      <c r="DPG24" s="93"/>
      <c r="DPH24" s="93"/>
      <c r="DPI24" s="93"/>
      <c r="DPJ24" s="93"/>
      <c r="DPK24" s="93"/>
      <c r="DPL24" s="93"/>
      <c r="DPM24" s="93"/>
      <c r="DPN24" s="93"/>
      <c r="DPO24" s="93"/>
      <c r="DPP24" s="93"/>
      <c r="DPQ24" s="93"/>
      <c r="DPR24" s="93"/>
      <c r="DPS24" s="93"/>
      <c r="DPT24" s="93"/>
      <c r="DPU24" s="93"/>
      <c r="DPV24" s="93"/>
      <c r="DPW24" s="93"/>
      <c r="DPX24" s="93"/>
      <c r="DPY24" s="93"/>
      <c r="DPZ24" s="93"/>
      <c r="DQA24" s="93"/>
      <c r="DQB24" s="93"/>
      <c r="DQC24" s="93"/>
      <c r="DQD24" s="93"/>
      <c r="DQE24" s="93"/>
      <c r="DQF24" s="93"/>
      <c r="DQG24" s="93"/>
      <c r="DQH24" s="93"/>
      <c r="DQI24" s="93"/>
      <c r="DQJ24" s="93"/>
      <c r="DQK24" s="93"/>
      <c r="DQL24" s="93"/>
      <c r="DQM24" s="93"/>
      <c r="DQN24" s="93"/>
      <c r="DQO24" s="93"/>
      <c r="DQP24" s="93"/>
      <c r="DQQ24" s="93"/>
      <c r="DQR24" s="93"/>
      <c r="DQS24" s="93"/>
      <c r="DQT24" s="93"/>
      <c r="DQU24" s="93"/>
      <c r="DQV24" s="93"/>
      <c r="DQW24" s="93"/>
      <c r="DQX24" s="93"/>
      <c r="DQY24" s="93"/>
      <c r="DQZ24" s="93"/>
      <c r="DRA24" s="93"/>
      <c r="DRB24" s="93"/>
      <c r="DRC24" s="93"/>
      <c r="DRD24" s="93"/>
      <c r="DRE24" s="93"/>
      <c r="DRF24" s="93"/>
      <c r="DRG24" s="93"/>
      <c r="DRH24" s="93"/>
      <c r="DRI24" s="93"/>
      <c r="DRJ24" s="93"/>
      <c r="DRK24" s="93"/>
      <c r="DRL24" s="93"/>
      <c r="DRM24" s="93"/>
      <c r="DRN24" s="93"/>
      <c r="DRO24" s="93"/>
      <c r="DRP24" s="93"/>
      <c r="DRQ24" s="93"/>
      <c r="DRR24" s="93"/>
      <c r="DRS24" s="93"/>
      <c r="DRT24" s="93"/>
      <c r="DRU24" s="93"/>
      <c r="DRV24" s="93"/>
      <c r="DRW24" s="93"/>
      <c r="DRX24" s="93"/>
      <c r="DRY24" s="93"/>
      <c r="DRZ24" s="93"/>
      <c r="DSA24" s="93"/>
      <c r="DSB24" s="93"/>
      <c r="DSC24" s="93"/>
      <c r="DSD24" s="93"/>
      <c r="DSE24" s="93"/>
      <c r="DSF24" s="93"/>
      <c r="DSG24" s="93"/>
      <c r="DSH24" s="93"/>
      <c r="DSI24" s="93"/>
      <c r="DSJ24" s="93"/>
      <c r="DSK24" s="93"/>
      <c r="DSL24" s="93"/>
      <c r="DSM24" s="93"/>
      <c r="DSN24" s="93"/>
      <c r="DSO24" s="93"/>
      <c r="DSP24" s="93"/>
      <c r="DSQ24" s="93"/>
      <c r="DSR24" s="93"/>
      <c r="DSS24" s="93"/>
      <c r="DST24" s="93"/>
      <c r="DSU24" s="93"/>
      <c r="DSV24" s="93"/>
      <c r="DSW24" s="93"/>
      <c r="DSX24" s="93"/>
      <c r="DSY24" s="93"/>
      <c r="DSZ24" s="93"/>
      <c r="DTA24" s="93"/>
      <c r="DTB24" s="93"/>
      <c r="DTC24" s="93"/>
      <c r="DTD24" s="93"/>
      <c r="DTE24" s="93"/>
      <c r="DTF24" s="93"/>
      <c r="DTG24" s="93"/>
      <c r="DTH24" s="93"/>
      <c r="DTI24" s="93"/>
      <c r="DTJ24" s="93"/>
      <c r="DTK24" s="93"/>
      <c r="DTL24" s="93"/>
      <c r="DTM24" s="93"/>
      <c r="DTN24" s="93"/>
      <c r="DTO24" s="93"/>
      <c r="DTP24" s="93"/>
      <c r="DTQ24" s="93"/>
      <c r="DTR24" s="93"/>
      <c r="DTS24" s="93"/>
      <c r="DTT24" s="93"/>
      <c r="DTU24" s="93"/>
      <c r="DTV24" s="93"/>
      <c r="DTW24" s="93"/>
      <c r="DTX24" s="93"/>
      <c r="DTY24" s="93"/>
      <c r="DTZ24" s="93"/>
      <c r="DUA24" s="93"/>
      <c r="DUB24" s="93"/>
      <c r="DUC24" s="93"/>
      <c r="DUD24" s="93"/>
      <c r="DUE24" s="93"/>
      <c r="DUF24" s="93"/>
      <c r="DUG24" s="93"/>
      <c r="DUH24" s="93"/>
      <c r="DUI24" s="93"/>
      <c r="DUJ24" s="93"/>
      <c r="DUK24" s="93"/>
      <c r="DUL24" s="93"/>
      <c r="DUM24" s="93"/>
      <c r="DUN24" s="93"/>
      <c r="DUO24" s="93"/>
      <c r="DUP24" s="93"/>
      <c r="DUQ24" s="93"/>
      <c r="DUR24" s="93"/>
      <c r="DUS24" s="93"/>
      <c r="DUT24" s="93"/>
      <c r="DUU24" s="93"/>
      <c r="DUV24" s="93"/>
      <c r="DUW24" s="93"/>
      <c r="DUX24" s="93"/>
      <c r="DUY24" s="93"/>
      <c r="DUZ24" s="93"/>
      <c r="DVA24" s="93"/>
      <c r="DVB24" s="93"/>
      <c r="DVC24" s="93"/>
      <c r="DVD24" s="93"/>
      <c r="DVE24" s="93"/>
      <c r="DVF24" s="93"/>
      <c r="DVG24" s="93"/>
      <c r="DVH24" s="93"/>
      <c r="DVI24" s="93"/>
      <c r="DVJ24" s="93"/>
      <c r="DVK24" s="93"/>
      <c r="DVL24" s="93"/>
      <c r="DVM24" s="93"/>
      <c r="DVN24" s="93"/>
      <c r="DVO24" s="93"/>
      <c r="DVP24" s="93"/>
      <c r="DVQ24" s="93"/>
      <c r="DVR24" s="93"/>
      <c r="DVS24" s="93"/>
      <c r="DVT24" s="93"/>
      <c r="DVU24" s="93"/>
      <c r="DVV24" s="93"/>
      <c r="DVW24" s="93"/>
      <c r="DVX24" s="93"/>
      <c r="DVY24" s="93"/>
      <c r="DVZ24" s="93"/>
      <c r="DWA24" s="93"/>
      <c r="DWB24" s="93"/>
      <c r="DWC24" s="93"/>
      <c r="DWD24" s="93"/>
      <c r="DWE24" s="93"/>
      <c r="DWF24" s="93"/>
      <c r="DWG24" s="93"/>
      <c r="DWH24" s="93"/>
      <c r="DWI24" s="93"/>
      <c r="DWJ24" s="93"/>
      <c r="DWK24" s="93"/>
      <c r="DWL24" s="93"/>
      <c r="DWM24" s="93"/>
      <c r="DWN24" s="93"/>
      <c r="DWO24" s="93"/>
      <c r="DWP24" s="93"/>
      <c r="DWQ24" s="93"/>
      <c r="DWR24" s="93"/>
      <c r="DWS24" s="93"/>
      <c r="DWT24" s="93"/>
      <c r="DWU24" s="93"/>
      <c r="DWV24" s="93"/>
      <c r="DWW24" s="93"/>
      <c r="DWX24" s="93"/>
      <c r="DWY24" s="93"/>
      <c r="DWZ24" s="93"/>
      <c r="DXA24" s="93"/>
      <c r="DXB24" s="93"/>
      <c r="DXC24" s="93"/>
      <c r="DXD24" s="93"/>
      <c r="DXE24" s="93"/>
      <c r="DXF24" s="93"/>
      <c r="DXG24" s="93"/>
      <c r="DXH24" s="93"/>
      <c r="DXI24" s="93"/>
      <c r="DXJ24" s="93"/>
      <c r="DXK24" s="93"/>
      <c r="DXL24" s="93"/>
      <c r="DXM24" s="93"/>
      <c r="DXN24" s="93"/>
      <c r="DXO24" s="93"/>
      <c r="DXP24" s="93"/>
      <c r="DXQ24" s="93"/>
      <c r="DXR24" s="93"/>
      <c r="DXS24" s="93"/>
      <c r="DXT24" s="93"/>
      <c r="DXU24" s="93"/>
      <c r="DXV24" s="93"/>
      <c r="DXW24" s="93"/>
      <c r="DXX24" s="93"/>
      <c r="DXY24" s="93"/>
      <c r="DXZ24" s="93"/>
      <c r="DYA24" s="93"/>
      <c r="DYB24" s="93"/>
      <c r="DYC24" s="93"/>
      <c r="DYD24" s="93"/>
      <c r="DYE24" s="93"/>
      <c r="DYF24" s="93"/>
      <c r="DYG24" s="93"/>
      <c r="DYH24" s="93"/>
      <c r="DYI24" s="93"/>
      <c r="DYJ24" s="93"/>
      <c r="DYK24" s="93"/>
      <c r="DYL24" s="93"/>
      <c r="DYM24" s="93"/>
      <c r="DYN24" s="93"/>
      <c r="DYO24" s="93"/>
      <c r="DYP24" s="93"/>
      <c r="DYQ24" s="93"/>
      <c r="DYR24" s="93"/>
      <c r="DYS24" s="93"/>
      <c r="DYT24" s="93"/>
      <c r="DYU24" s="93"/>
      <c r="DYV24" s="93"/>
      <c r="DYW24" s="93"/>
      <c r="DYX24" s="93"/>
      <c r="DYY24" s="93"/>
      <c r="DYZ24" s="93"/>
      <c r="DZA24" s="93"/>
      <c r="DZB24" s="93"/>
      <c r="DZC24" s="93"/>
      <c r="DZD24" s="93"/>
      <c r="DZE24" s="93"/>
      <c r="DZF24" s="93"/>
      <c r="DZG24" s="93"/>
      <c r="DZH24" s="93"/>
      <c r="DZI24" s="93"/>
      <c r="DZJ24" s="93"/>
      <c r="DZK24" s="93"/>
      <c r="DZL24" s="93"/>
      <c r="DZM24" s="93"/>
      <c r="DZN24" s="93"/>
      <c r="DZO24" s="93"/>
      <c r="DZP24" s="93"/>
      <c r="DZQ24" s="93"/>
      <c r="DZR24" s="93"/>
      <c r="DZS24" s="93"/>
      <c r="DZT24" s="93"/>
      <c r="DZU24" s="93"/>
      <c r="DZV24" s="93"/>
      <c r="DZW24" s="93"/>
      <c r="DZX24" s="93"/>
      <c r="DZY24" s="93"/>
      <c r="DZZ24" s="93"/>
      <c r="EAA24" s="93"/>
      <c r="EAB24" s="93"/>
      <c r="EAC24" s="93"/>
      <c r="EAD24" s="93"/>
      <c r="EAE24" s="93"/>
      <c r="EAF24" s="93"/>
      <c r="EAG24" s="93"/>
      <c r="EAH24" s="93"/>
      <c r="EAI24" s="93"/>
      <c r="EAJ24" s="93"/>
      <c r="EAK24" s="93"/>
      <c r="EAL24" s="93"/>
      <c r="EAM24" s="93"/>
      <c r="EAN24" s="93"/>
      <c r="EAO24" s="93"/>
      <c r="EAP24" s="93"/>
      <c r="EAQ24" s="93"/>
      <c r="EAR24" s="93"/>
      <c r="EAS24" s="93"/>
      <c r="EAT24" s="93"/>
      <c r="EAU24" s="93"/>
      <c r="EAV24" s="93"/>
      <c r="EAW24" s="93"/>
      <c r="EAX24" s="93"/>
      <c r="EAY24" s="93"/>
      <c r="EAZ24" s="93"/>
      <c r="EBA24" s="93"/>
      <c r="EBB24" s="93"/>
      <c r="EBC24" s="93"/>
      <c r="EBD24" s="93"/>
      <c r="EBE24" s="93"/>
      <c r="EBF24" s="93"/>
      <c r="EBG24" s="93"/>
      <c r="EBH24" s="93"/>
      <c r="EBI24" s="93"/>
      <c r="EBJ24" s="93"/>
      <c r="EBK24" s="93"/>
      <c r="EBL24" s="93"/>
      <c r="EBM24" s="93"/>
      <c r="EBN24" s="93"/>
      <c r="EBO24" s="93"/>
      <c r="EBP24" s="93"/>
      <c r="EBQ24" s="93"/>
      <c r="EBR24" s="93"/>
      <c r="EBS24" s="93"/>
      <c r="EBT24" s="93"/>
      <c r="EBU24" s="93"/>
      <c r="EBV24" s="93"/>
      <c r="EBW24" s="93"/>
      <c r="EBX24" s="93"/>
      <c r="EBY24" s="93"/>
      <c r="EBZ24" s="93"/>
      <c r="ECA24" s="93"/>
      <c r="ECB24" s="93"/>
      <c r="ECC24" s="93"/>
      <c r="ECD24" s="93"/>
      <c r="ECE24" s="93"/>
      <c r="ECF24" s="93"/>
      <c r="ECG24" s="93"/>
      <c r="ECH24" s="93"/>
      <c r="ECI24" s="93"/>
      <c r="ECJ24" s="93"/>
      <c r="ECK24" s="93"/>
      <c r="ECL24" s="93"/>
      <c r="ECM24" s="93"/>
      <c r="ECN24" s="93"/>
      <c r="ECO24" s="93"/>
      <c r="ECP24" s="93"/>
      <c r="ECQ24" s="93"/>
      <c r="ECR24" s="93"/>
      <c r="ECS24" s="93"/>
      <c r="ECT24" s="93"/>
      <c r="ECU24" s="93"/>
      <c r="ECV24" s="93"/>
      <c r="ECW24" s="93"/>
      <c r="ECX24" s="93"/>
      <c r="ECY24" s="93"/>
      <c r="ECZ24" s="93"/>
      <c r="EDA24" s="93"/>
      <c r="EDB24" s="93"/>
      <c r="EDC24" s="93"/>
      <c r="EDD24" s="93"/>
      <c r="EDE24" s="93"/>
      <c r="EDF24" s="93"/>
      <c r="EDG24" s="93"/>
      <c r="EDH24" s="93"/>
      <c r="EDI24" s="93"/>
      <c r="EDJ24" s="93"/>
      <c r="EDK24" s="93"/>
      <c r="EDL24" s="93"/>
      <c r="EDM24" s="93"/>
      <c r="EDN24" s="93"/>
      <c r="EDO24" s="93"/>
      <c r="EDP24" s="93"/>
      <c r="EDQ24" s="93"/>
      <c r="EDR24" s="93"/>
      <c r="EDS24" s="93"/>
      <c r="EDT24" s="93"/>
      <c r="EDU24" s="93"/>
      <c r="EDV24" s="93"/>
      <c r="EDW24" s="93"/>
      <c r="EDX24" s="93"/>
      <c r="EDY24" s="93"/>
      <c r="EDZ24" s="93"/>
      <c r="EEA24" s="93"/>
      <c r="EEB24" s="93"/>
      <c r="EEC24" s="93"/>
      <c r="EED24" s="93"/>
      <c r="EEE24" s="93"/>
      <c r="EEF24" s="93"/>
      <c r="EEG24" s="93"/>
      <c r="EEH24" s="93"/>
      <c r="EEI24" s="93"/>
      <c r="EEJ24" s="93"/>
      <c r="EEK24" s="93"/>
      <c r="EEL24" s="93"/>
      <c r="EEM24" s="93"/>
      <c r="EEN24" s="93"/>
      <c r="EEO24" s="93"/>
      <c r="EEP24" s="93"/>
      <c r="EEQ24" s="93"/>
      <c r="EER24" s="93"/>
      <c r="EES24" s="93"/>
      <c r="EET24" s="93"/>
      <c r="EEU24" s="93"/>
      <c r="EEV24" s="93"/>
      <c r="EEW24" s="93"/>
      <c r="EEX24" s="93"/>
      <c r="EEY24" s="93"/>
      <c r="EEZ24" s="93"/>
      <c r="EFA24" s="93"/>
      <c r="EFB24" s="93"/>
      <c r="EFC24" s="93"/>
      <c r="EFD24" s="93"/>
      <c r="EFE24" s="93"/>
      <c r="EFF24" s="93"/>
      <c r="EFG24" s="93"/>
      <c r="EFH24" s="93"/>
      <c r="EFI24" s="93"/>
      <c r="EFJ24" s="93"/>
      <c r="EFK24" s="93"/>
      <c r="EFL24" s="93"/>
      <c r="EFM24" s="93"/>
      <c r="EFN24" s="93"/>
      <c r="EFO24" s="93"/>
      <c r="EFP24" s="93"/>
      <c r="EFQ24" s="93"/>
      <c r="EFR24" s="93"/>
      <c r="EFS24" s="93"/>
      <c r="EFT24" s="93"/>
      <c r="EFU24" s="93"/>
      <c r="EFV24" s="93"/>
      <c r="EFW24" s="93"/>
      <c r="EFX24" s="93"/>
      <c r="EFY24" s="93"/>
      <c r="EFZ24" s="93"/>
      <c r="EGA24" s="93"/>
      <c r="EGB24" s="93"/>
      <c r="EGC24" s="93"/>
      <c r="EGD24" s="93"/>
      <c r="EGE24" s="93"/>
      <c r="EGF24" s="93"/>
      <c r="EGG24" s="93"/>
      <c r="EGH24" s="93"/>
      <c r="EGI24" s="93"/>
      <c r="EGJ24" s="93"/>
      <c r="EGK24" s="93"/>
      <c r="EGL24" s="93"/>
      <c r="EGM24" s="93"/>
      <c r="EGN24" s="93"/>
      <c r="EGO24" s="93"/>
      <c r="EGP24" s="93"/>
      <c r="EGQ24" s="93"/>
      <c r="EGR24" s="93"/>
      <c r="EGS24" s="93"/>
      <c r="EGT24" s="93"/>
      <c r="EGU24" s="93"/>
      <c r="EGV24" s="93"/>
      <c r="EGW24" s="93"/>
      <c r="EGX24" s="93"/>
      <c r="EGY24" s="93"/>
      <c r="EGZ24" s="93"/>
      <c r="EHA24" s="93"/>
      <c r="EHB24" s="93"/>
      <c r="EHC24" s="93"/>
      <c r="EHD24" s="93"/>
      <c r="EHE24" s="93"/>
      <c r="EHF24" s="93"/>
      <c r="EHG24" s="93"/>
      <c r="EHH24" s="93"/>
      <c r="EHI24" s="93"/>
      <c r="EHJ24" s="93"/>
      <c r="EHK24" s="93"/>
      <c r="EHL24" s="93"/>
      <c r="EHM24" s="93"/>
      <c r="EHN24" s="93"/>
      <c r="EHO24" s="93"/>
      <c r="EHP24" s="93"/>
      <c r="EHQ24" s="93"/>
      <c r="EHR24" s="93"/>
      <c r="EHS24" s="93"/>
      <c r="EHT24" s="93"/>
      <c r="EHU24" s="93"/>
      <c r="EHV24" s="93"/>
      <c r="EHW24" s="93"/>
      <c r="EHX24" s="93"/>
      <c r="EHY24" s="93"/>
      <c r="EHZ24" s="93"/>
      <c r="EIA24" s="93"/>
      <c r="EIB24" s="93"/>
      <c r="EIC24" s="93"/>
      <c r="EID24" s="93"/>
      <c r="EIE24" s="93"/>
      <c r="EIF24" s="93"/>
      <c r="EIG24" s="93"/>
      <c r="EIH24" s="93"/>
      <c r="EII24" s="93"/>
      <c r="EIJ24" s="93"/>
      <c r="EIK24" s="93"/>
      <c r="EIL24" s="93"/>
      <c r="EIM24" s="93"/>
      <c r="EIN24" s="93"/>
      <c r="EIO24" s="93"/>
      <c r="EIP24" s="93"/>
      <c r="EIQ24" s="93"/>
      <c r="EIR24" s="93"/>
      <c r="EIS24" s="93"/>
      <c r="EIT24" s="93"/>
      <c r="EIU24" s="93"/>
      <c r="EIV24" s="93"/>
      <c r="EIW24" s="93"/>
      <c r="EIX24" s="93"/>
      <c r="EIY24" s="93"/>
      <c r="EIZ24" s="93"/>
      <c r="EJA24" s="93"/>
      <c r="EJB24" s="93"/>
      <c r="EJC24" s="93"/>
      <c r="EJD24" s="93"/>
      <c r="EJE24" s="93"/>
      <c r="EJF24" s="93"/>
      <c r="EJG24" s="93"/>
      <c r="EJH24" s="93"/>
      <c r="EJI24" s="93"/>
      <c r="EJJ24" s="93"/>
      <c r="EJK24" s="93"/>
      <c r="EJL24" s="93"/>
      <c r="EJM24" s="93"/>
      <c r="EJN24" s="93"/>
      <c r="EJO24" s="93"/>
      <c r="EJP24" s="93"/>
      <c r="EJQ24" s="93"/>
      <c r="EJR24" s="93"/>
      <c r="EJS24" s="93"/>
      <c r="EJT24" s="93"/>
      <c r="EJU24" s="93"/>
      <c r="EJV24" s="93"/>
      <c r="EJW24" s="93"/>
      <c r="EJX24" s="93"/>
      <c r="EJY24" s="93"/>
      <c r="EJZ24" s="93"/>
      <c r="EKA24" s="93"/>
      <c r="EKB24" s="93"/>
      <c r="EKC24" s="93"/>
      <c r="EKD24" s="93"/>
      <c r="EKE24" s="93"/>
      <c r="EKF24" s="93"/>
      <c r="EKG24" s="93"/>
      <c r="EKH24" s="93"/>
      <c r="EKI24" s="93"/>
      <c r="EKJ24" s="93"/>
      <c r="EKK24" s="93"/>
      <c r="EKL24" s="93"/>
      <c r="EKM24" s="93"/>
      <c r="EKN24" s="93"/>
      <c r="EKO24" s="93"/>
      <c r="EKP24" s="93"/>
      <c r="EKQ24" s="93"/>
      <c r="EKR24" s="93"/>
      <c r="EKS24" s="93"/>
      <c r="EKT24" s="93"/>
      <c r="EKU24" s="93"/>
      <c r="EKV24" s="93"/>
      <c r="EKW24" s="93"/>
      <c r="EKX24" s="93"/>
      <c r="EKY24" s="93"/>
      <c r="EKZ24" s="93"/>
      <c r="ELA24" s="93"/>
      <c r="ELB24" s="93"/>
      <c r="ELC24" s="93"/>
      <c r="ELD24" s="93"/>
      <c r="ELE24" s="93"/>
      <c r="ELF24" s="93"/>
      <c r="ELG24" s="93"/>
      <c r="ELH24" s="93"/>
      <c r="ELI24" s="93"/>
      <c r="ELJ24" s="93"/>
      <c r="ELK24" s="93"/>
      <c r="ELL24" s="93"/>
      <c r="ELM24" s="93"/>
      <c r="ELN24" s="93"/>
      <c r="ELO24" s="93"/>
      <c r="ELP24" s="93"/>
      <c r="ELQ24" s="93"/>
      <c r="ELR24" s="93"/>
      <c r="ELS24" s="93"/>
      <c r="ELT24" s="93"/>
      <c r="ELU24" s="93"/>
      <c r="ELV24" s="93"/>
      <c r="ELW24" s="93"/>
      <c r="ELX24" s="93"/>
      <c r="ELY24" s="93"/>
      <c r="ELZ24" s="93"/>
      <c r="EMA24" s="93"/>
      <c r="EMB24" s="93"/>
      <c r="EMC24" s="93"/>
      <c r="EMD24" s="93"/>
      <c r="EME24" s="93"/>
      <c r="EMF24" s="93"/>
      <c r="EMG24" s="93"/>
      <c r="EMH24" s="93"/>
      <c r="EMI24" s="93"/>
      <c r="EMJ24" s="93"/>
      <c r="EMK24" s="93"/>
      <c r="EML24" s="93"/>
      <c r="EMM24" s="93"/>
      <c r="EMN24" s="93"/>
      <c r="EMO24" s="93"/>
      <c r="EMP24" s="93"/>
      <c r="EMQ24" s="93"/>
      <c r="EMR24" s="93"/>
      <c r="EMS24" s="93"/>
      <c r="EMT24" s="93"/>
      <c r="EMU24" s="93"/>
      <c r="EMV24" s="93"/>
      <c r="EMW24" s="93"/>
      <c r="EMX24" s="93"/>
      <c r="EMY24" s="93"/>
      <c r="EMZ24" s="93"/>
      <c r="ENA24" s="93"/>
      <c r="ENB24" s="93"/>
      <c r="ENC24" s="93"/>
      <c r="END24" s="93"/>
      <c r="ENE24" s="93"/>
      <c r="ENF24" s="93"/>
      <c r="ENG24" s="93"/>
      <c r="ENH24" s="93"/>
      <c r="ENI24" s="93"/>
      <c r="ENJ24" s="93"/>
      <c r="ENK24" s="93"/>
      <c r="ENL24" s="93"/>
      <c r="ENM24" s="93"/>
      <c r="ENN24" s="93"/>
      <c r="ENO24" s="93"/>
      <c r="ENP24" s="93"/>
      <c r="ENQ24" s="93"/>
      <c r="ENR24" s="93"/>
      <c r="ENS24" s="93"/>
      <c r="ENT24" s="93"/>
      <c r="ENU24" s="93"/>
      <c r="ENV24" s="93"/>
      <c r="ENW24" s="93"/>
      <c r="ENX24" s="93"/>
      <c r="ENY24" s="93"/>
      <c r="ENZ24" s="93"/>
      <c r="EOA24" s="93"/>
      <c r="EOB24" s="93"/>
      <c r="EOC24" s="93"/>
      <c r="EOD24" s="93"/>
      <c r="EOE24" s="93"/>
      <c r="EOF24" s="93"/>
      <c r="EOG24" s="93"/>
      <c r="EOH24" s="93"/>
      <c r="EOI24" s="93"/>
      <c r="EOJ24" s="93"/>
      <c r="EOK24" s="93"/>
      <c r="EOL24" s="93"/>
      <c r="EOM24" s="93"/>
      <c r="EON24" s="93"/>
      <c r="EOO24" s="93"/>
      <c r="EOP24" s="93"/>
      <c r="EOQ24" s="93"/>
      <c r="EOR24" s="93"/>
      <c r="EOS24" s="93"/>
      <c r="EOT24" s="93"/>
      <c r="EOU24" s="93"/>
      <c r="EOV24" s="93"/>
      <c r="EOW24" s="93"/>
      <c r="EOX24" s="93"/>
      <c r="EOY24" s="93"/>
      <c r="EOZ24" s="93"/>
      <c r="EPA24" s="93"/>
      <c r="EPB24" s="93"/>
      <c r="EPC24" s="93"/>
      <c r="EPD24" s="93"/>
      <c r="EPE24" s="93"/>
      <c r="EPF24" s="93"/>
      <c r="EPG24" s="93"/>
      <c r="EPH24" s="93"/>
      <c r="EPI24" s="93"/>
      <c r="EPJ24" s="93"/>
      <c r="EPK24" s="93"/>
      <c r="EPL24" s="93"/>
      <c r="EPM24" s="93"/>
      <c r="EPN24" s="93"/>
      <c r="EPO24" s="93"/>
      <c r="EPP24" s="93"/>
      <c r="EPQ24" s="93"/>
      <c r="EPR24" s="93"/>
      <c r="EPS24" s="93"/>
      <c r="EPT24" s="93"/>
      <c r="EPU24" s="93"/>
      <c r="EPV24" s="93"/>
      <c r="EPW24" s="93"/>
      <c r="EPX24" s="93"/>
      <c r="EPY24" s="93"/>
      <c r="EPZ24" s="93"/>
      <c r="EQA24" s="93"/>
      <c r="EQB24" s="93"/>
      <c r="EQC24" s="93"/>
      <c r="EQD24" s="93"/>
      <c r="EQE24" s="93"/>
      <c r="EQF24" s="93"/>
      <c r="EQG24" s="93"/>
      <c r="EQH24" s="93"/>
      <c r="EQI24" s="93"/>
      <c r="EQJ24" s="93"/>
      <c r="EQK24" s="93"/>
      <c r="EQL24" s="93"/>
      <c r="EQM24" s="93"/>
      <c r="EQN24" s="93"/>
      <c r="EQO24" s="93"/>
      <c r="EQP24" s="93"/>
      <c r="EQQ24" s="93"/>
      <c r="EQR24" s="93"/>
      <c r="EQS24" s="93"/>
      <c r="EQT24" s="93"/>
      <c r="EQU24" s="93"/>
      <c r="EQV24" s="93"/>
      <c r="EQW24" s="93"/>
      <c r="EQX24" s="93"/>
      <c r="EQY24" s="93"/>
      <c r="EQZ24" s="93"/>
      <c r="ERA24" s="93"/>
      <c r="ERB24" s="93"/>
      <c r="ERC24" s="93"/>
      <c r="ERD24" s="93"/>
      <c r="ERE24" s="93"/>
      <c r="ERF24" s="93"/>
      <c r="ERG24" s="93"/>
      <c r="ERH24" s="93"/>
      <c r="ERI24" s="93"/>
      <c r="ERJ24" s="93"/>
      <c r="ERK24" s="93"/>
      <c r="ERL24" s="93"/>
      <c r="ERM24" s="93"/>
      <c r="ERN24" s="93"/>
      <c r="ERO24" s="93"/>
      <c r="ERP24" s="93"/>
      <c r="ERQ24" s="93"/>
      <c r="ERR24" s="93"/>
      <c r="ERS24" s="93"/>
      <c r="ERT24" s="93"/>
      <c r="ERU24" s="93"/>
      <c r="ERV24" s="93"/>
      <c r="ERW24" s="93"/>
      <c r="ERX24" s="93"/>
      <c r="ERY24" s="93"/>
      <c r="ERZ24" s="93"/>
      <c r="ESA24" s="93"/>
      <c r="ESB24" s="93"/>
      <c r="ESC24" s="93"/>
      <c r="ESD24" s="93"/>
      <c r="ESE24" s="93"/>
      <c r="ESF24" s="93"/>
      <c r="ESG24" s="93"/>
      <c r="ESH24" s="93"/>
      <c r="ESI24" s="93"/>
      <c r="ESJ24" s="93"/>
      <c r="ESK24" s="93"/>
      <c r="ESL24" s="93"/>
      <c r="ESM24" s="93"/>
      <c r="ESN24" s="93"/>
      <c r="ESO24" s="93"/>
      <c r="ESP24" s="93"/>
      <c r="ESQ24" s="93"/>
      <c r="ESR24" s="93"/>
      <c r="ESS24" s="93"/>
      <c r="EST24" s="93"/>
      <c r="ESU24" s="93"/>
      <c r="ESV24" s="93"/>
      <c r="ESW24" s="93"/>
      <c r="ESX24" s="93"/>
      <c r="ESY24" s="93"/>
      <c r="ESZ24" s="93"/>
      <c r="ETA24" s="93"/>
      <c r="ETB24" s="93"/>
      <c r="ETC24" s="93"/>
      <c r="ETD24" s="93"/>
      <c r="ETE24" s="93"/>
      <c r="ETF24" s="93"/>
      <c r="ETG24" s="93"/>
      <c r="ETH24" s="93"/>
      <c r="ETI24" s="93"/>
      <c r="ETJ24" s="93"/>
      <c r="ETK24" s="93"/>
      <c r="ETL24" s="93"/>
      <c r="ETM24" s="93"/>
      <c r="ETN24" s="93"/>
      <c r="ETO24" s="93"/>
      <c r="ETP24" s="93"/>
      <c r="ETQ24" s="93"/>
      <c r="ETR24" s="93"/>
      <c r="ETS24" s="93"/>
      <c r="ETT24" s="93"/>
      <c r="ETU24" s="93"/>
      <c r="ETV24" s="93"/>
      <c r="ETW24" s="93"/>
      <c r="ETX24" s="93"/>
      <c r="ETY24" s="93"/>
      <c r="ETZ24" s="93"/>
      <c r="EUA24" s="93"/>
      <c r="EUB24" s="93"/>
      <c r="EUC24" s="93"/>
      <c r="EUD24" s="93"/>
      <c r="EUE24" s="93"/>
      <c r="EUF24" s="93"/>
      <c r="EUG24" s="93"/>
      <c r="EUH24" s="93"/>
      <c r="EUI24" s="93"/>
      <c r="EUJ24" s="93"/>
      <c r="EUK24" s="93"/>
      <c r="EUL24" s="93"/>
      <c r="EUM24" s="93"/>
      <c r="EUN24" s="93"/>
      <c r="EUO24" s="93"/>
      <c r="EUP24" s="93"/>
      <c r="EUQ24" s="93"/>
      <c r="EUR24" s="93"/>
      <c r="EUS24" s="93"/>
      <c r="EUT24" s="93"/>
      <c r="EUU24" s="93"/>
      <c r="EUV24" s="93"/>
      <c r="EUW24" s="93"/>
      <c r="EUX24" s="93"/>
      <c r="EUY24" s="93"/>
      <c r="EUZ24" s="93"/>
      <c r="EVA24" s="93"/>
      <c r="EVB24" s="93"/>
      <c r="EVC24" s="93"/>
      <c r="EVD24" s="93"/>
      <c r="EVE24" s="93"/>
      <c r="EVF24" s="93"/>
      <c r="EVG24" s="93"/>
      <c r="EVH24" s="93"/>
      <c r="EVI24" s="93"/>
      <c r="EVJ24" s="93"/>
      <c r="EVK24" s="93"/>
      <c r="EVL24" s="93"/>
      <c r="EVM24" s="93"/>
      <c r="EVN24" s="93"/>
      <c r="EVO24" s="93"/>
      <c r="EVP24" s="93"/>
      <c r="EVQ24" s="93"/>
      <c r="EVR24" s="93"/>
      <c r="EVS24" s="93"/>
      <c r="EVT24" s="93"/>
      <c r="EVU24" s="93"/>
      <c r="EVV24" s="93"/>
      <c r="EVW24" s="93"/>
      <c r="EVX24" s="93"/>
      <c r="EVY24" s="93"/>
      <c r="EVZ24" s="93"/>
      <c r="EWA24" s="93"/>
      <c r="EWB24" s="93"/>
      <c r="EWC24" s="93"/>
      <c r="EWD24" s="93"/>
      <c r="EWE24" s="93"/>
      <c r="EWF24" s="93"/>
      <c r="EWG24" s="93"/>
      <c r="EWH24" s="93"/>
      <c r="EWI24" s="93"/>
      <c r="EWJ24" s="93"/>
      <c r="EWK24" s="93"/>
      <c r="EWL24" s="93"/>
      <c r="EWM24" s="93"/>
      <c r="EWN24" s="93"/>
      <c r="EWO24" s="93"/>
      <c r="EWP24" s="93"/>
      <c r="EWQ24" s="93"/>
      <c r="EWR24" s="93"/>
      <c r="EWS24" s="93"/>
      <c r="EWT24" s="93"/>
      <c r="EWU24" s="93"/>
      <c r="EWV24" s="93"/>
      <c r="EWW24" s="93"/>
      <c r="EWX24" s="93"/>
      <c r="EWY24" s="93"/>
      <c r="EWZ24" s="93"/>
      <c r="EXA24" s="93"/>
      <c r="EXB24" s="93"/>
      <c r="EXC24" s="93"/>
      <c r="EXD24" s="93"/>
      <c r="EXE24" s="93"/>
      <c r="EXF24" s="93"/>
      <c r="EXG24" s="93"/>
      <c r="EXH24" s="93"/>
      <c r="EXI24" s="93"/>
      <c r="EXJ24" s="93"/>
      <c r="EXK24" s="93"/>
      <c r="EXL24" s="93"/>
      <c r="EXM24" s="93"/>
      <c r="EXN24" s="93"/>
      <c r="EXO24" s="93"/>
      <c r="EXP24" s="93"/>
      <c r="EXQ24" s="93"/>
      <c r="EXR24" s="93"/>
      <c r="EXS24" s="93"/>
      <c r="EXT24" s="93"/>
      <c r="EXU24" s="93"/>
      <c r="EXV24" s="93"/>
      <c r="EXW24" s="93"/>
      <c r="EXX24" s="93"/>
      <c r="EXY24" s="93"/>
      <c r="EXZ24" s="93"/>
      <c r="EYA24" s="93"/>
      <c r="EYB24" s="93"/>
      <c r="EYC24" s="93"/>
      <c r="EYD24" s="93"/>
      <c r="EYE24" s="93"/>
      <c r="EYF24" s="93"/>
      <c r="EYG24" s="93"/>
      <c r="EYH24" s="93"/>
      <c r="EYI24" s="93"/>
      <c r="EYJ24" s="93"/>
      <c r="EYK24" s="93"/>
      <c r="EYL24" s="93"/>
      <c r="EYM24" s="93"/>
      <c r="EYN24" s="93"/>
      <c r="EYO24" s="93"/>
      <c r="EYP24" s="93"/>
      <c r="EYQ24" s="93"/>
      <c r="EYR24" s="93"/>
      <c r="EYS24" s="93"/>
      <c r="EYT24" s="93"/>
      <c r="EYU24" s="93"/>
      <c r="EYV24" s="93"/>
      <c r="EYW24" s="93"/>
      <c r="EYX24" s="93"/>
      <c r="EYY24" s="93"/>
      <c r="EYZ24" s="93"/>
      <c r="EZA24" s="93"/>
      <c r="EZB24" s="93"/>
      <c r="EZC24" s="93"/>
      <c r="EZD24" s="93"/>
      <c r="EZE24" s="93"/>
      <c r="EZF24" s="93"/>
      <c r="EZG24" s="93"/>
      <c r="EZH24" s="93"/>
      <c r="EZI24" s="93"/>
      <c r="EZJ24" s="93"/>
      <c r="EZK24" s="93"/>
      <c r="EZL24" s="93"/>
      <c r="EZM24" s="93"/>
      <c r="EZN24" s="93"/>
      <c r="EZO24" s="93"/>
      <c r="EZP24" s="93"/>
      <c r="EZQ24" s="93"/>
      <c r="EZR24" s="93"/>
      <c r="EZS24" s="93"/>
      <c r="EZT24" s="93"/>
      <c r="EZU24" s="93"/>
      <c r="EZV24" s="93"/>
      <c r="EZW24" s="93"/>
      <c r="EZX24" s="93"/>
      <c r="EZY24" s="93"/>
      <c r="EZZ24" s="93"/>
      <c r="FAA24" s="93"/>
      <c r="FAB24" s="93"/>
      <c r="FAC24" s="93"/>
      <c r="FAD24" s="93"/>
      <c r="FAE24" s="93"/>
      <c r="FAF24" s="93"/>
      <c r="FAG24" s="93"/>
      <c r="FAH24" s="93"/>
      <c r="FAI24" s="93"/>
      <c r="FAJ24" s="93"/>
      <c r="FAK24" s="93"/>
      <c r="FAL24" s="93"/>
      <c r="FAM24" s="93"/>
      <c r="FAN24" s="93"/>
      <c r="FAO24" s="93"/>
      <c r="FAP24" s="93"/>
      <c r="FAQ24" s="93"/>
      <c r="FAR24" s="93"/>
      <c r="FAS24" s="93"/>
      <c r="FAT24" s="93"/>
      <c r="FAU24" s="93"/>
      <c r="FAV24" s="93"/>
      <c r="FAW24" s="93"/>
      <c r="FAX24" s="93"/>
      <c r="FAY24" s="93"/>
      <c r="FAZ24" s="93"/>
      <c r="FBA24" s="93"/>
      <c r="FBB24" s="93"/>
      <c r="FBC24" s="93"/>
      <c r="FBD24" s="93"/>
      <c r="FBE24" s="93"/>
      <c r="FBF24" s="93"/>
      <c r="FBG24" s="93"/>
      <c r="FBH24" s="93"/>
      <c r="FBI24" s="93"/>
      <c r="FBJ24" s="93"/>
      <c r="FBK24" s="93"/>
      <c r="FBL24" s="93"/>
      <c r="FBM24" s="93"/>
      <c r="FBN24" s="93"/>
      <c r="FBO24" s="93"/>
      <c r="FBP24" s="93"/>
      <c r="FBQ24" s="93"/>
      <c r="FBR24" s="93"/>
      <c r="FBS24" s="93"/>
      <c r="FBT24" s="93"/>
      <c r="FBU24" s="93"/>
      <c r="FBV24" s="93"/>
      <c r="FBW24" s="93"/>
      <c r="FBX24" s="93"/>
      <c r="FBY24" s="93"/>
      <c r="FBZ24" s="93"/>
      <c r="FCA24" s="93"/>
      <c r="FCB24" s="93"/>
      <c r="FCC24" s="93"/>
      <c r="FCD24" s="93"/>
      <c r="FCE24" s="93"/>
      <c r="FCF24" s="93"/>
      <c r="FCG24" s="93"/>
      <c r="FCH24" s="93"/>
      <c r="FCI24" s="93"/>
      <c r="FCJ24" s="93"/>
      <c r="FCK24" s="93"/>
      <c r="FCL24" s="93"/>
      <c r="FCM24" s="93"/>
      <c r="FCN24" s="93"/>
      <c r="FCO24" s="93"/>
      <c r="FCP24" s="93"/>
      <c r="FCQ24" s="93"/>
      <c r="FCR24" s="93"/>
      <c r="FCS24" s="93"/>
      <c r="FCT24" s="93"/>
      <c r="FCU24" s="93"/>
      <c r="FCV24" s="93"/>
      <c r="FCW24" s="93"/>
      <c r="FCX24" s="93"/>
      <c r="FCY24" s="93"/>
      <c r="FCZ24" s="93"/>
      <c r="FDA24" s="93"/>
      <c r="FDB24" s="93"/>
      <c r="FDC24" s="93"/>
      <c r="FDD24" s="93"/>
      <c r="FDE24" s="93"/>
      <c r="FDF24" s="93"/>
      <c r="FDG24" s="93"/>
      <c r="FDH24" s="93"/>
      <c r="FDI24" s="93"/>
      <c r="FDJ24" s="93"/>
      <c r="FDK24" s="93"/>
      <c r="FDL24" s="93"/>
      <c r="FDM24" s="93"/>
      <c r="FDN24" s="93"/>
      <c r="FDO24" s="93"/>
      <c r="FDP24" s="93"/>
      <c r="FDQ24" s="93"/>
      <c r="FDR24" s="93"/>
      <c r="FDS24" s="93"/>
      <c r="FDT24" s="93"/>
      <c r="FDU24" s="93"/>
      <c r="FDV24" s="93"/>
      <c r="FDW24" s="93"/>
      <c r="FDX24" s="93"/>
      <c r="FDY24" s="93"/>
      <c r="FDZ24" s="93"/>
      <c r="FEA24" s="93"/>
      <c r="FEB24" s="93"/>
      <c r="FEC24" s="93"/>
      <c r="FED24" s="93"/>
      <c r="FEE24" s="93"/>
      <c r="FEF24" s="93"/>
      <c r="FEG24" s="93"/>
      <c r="FEH24" s="93"/>
      <c r="FEI24" s="93"/>
      <c r="FEJ24" s="93"/>
      <c r="FEK24" s="93"/>
      <c r="FEL24" s="93"/>
      <c r="FEM24" s="93"/>
      <c r="FEN24" s="93"/>
      <c r="FEO24" s="93"/>
      <c r="FEP24" s="93"/>
      <c r="FEQ24" s="93"/>
      <c r="FER24" s="93"/>
      <c r="FES24" s="93"/>
      <c r="FET24" s="93"/>
      <c r="FEU24" s="93"/>
      <c r="FEV24" s="93"/>
      <c r="FEW24" s="93"/>
      <c r="FEX24" s="93"/>
      <c r="FEY24" s="93"/>
      <c r="FEZ24" s="93"/>
      <c r="FFA24" s="93"/>
      <c r="FFB24" s="93"/>
      <c r="FFC24" s="93"/>
      <c r="FFD24" s="93"/>
      <c r="FFE24" s="93"/>
      <c r="FFF24" s="93"/>
      <c r="FFG24" s="93"/>
      <c r="FFH24" s="93"/>
      <c r="FFI24" s="93"/>
      <c r="FFJ24" s="93"/>
      <c r="FFK24" s="93"/>
      <c r="FFL24" s="93"/>
      <c r="FFM24" s="93"/>
      <c r="FFN24" s="93"/>
      <c r="FFO24" s="93"/>
      <c r="FFP24" s="93"/>
      <c r="FFQ24" s="93"/>
      <c r="FFR24" s="93"/>
      <c r="FFS24" s="93"/>
      <c r="FFT24" s="93"/>
      <c r="FFU24" s="93"/>
      <c r="FFV24" s="93"/>
      <c r="FFW24" s="93"/>
      <c r="FFX24" s="93"/>
      <c r="FFY24" s="93"/>
      <c r="FFZ24" s="93"/>
      <c r="FGA24" s="93"/>
      <c r="FGB24" s="93"/>
      <c r="FGC24" s="93"/>
      <c r="FGD24" s="93"/>
      <c r="FGE24" s="93"/>
      <c r="FGF24" s="93"/>
      <c r="FGG24" s="93"/>
      <c r="FGH24" s="93"/>
      <c r="FGI24" s="93"/>
      <c r="FGJ24" s="93"/>
      <c r="FGK24" s="93"/>
      <c r="FGL24" s="93"/>
      <c r="FGM24" s="93"/>
      <c r="FGN24" s="93"/>
      <c r="FGO24" s="93"/>
      <c r="FGP24" s="93"/>
      <c r="FGQ24" s="93"/>
      <c r="FGR24" s="93"/>
      <c r="FGS24" s="93"/>
      <c r="FGT24" s="93"/>
      <c r="FGU24" s="93"/>
      <c r="FGV24" s="93"/>
      <c r="FGW24" s="93"/>
      <c r="FGX24" s="93"/>
      <c r="FGY24" s="93"/>
      <c r="FGZ24" s="93"/>
      <c r="FHA24" s="93"/>
      <c r="FHB24" s="93"/>
      <c r="FHC24" s="93"/>
      <c r="FHD24" s="93"/>
      <c r="FHE24" s="93"/>
      <c r="FHF24" s="93"/>
      <c r="FHG24" s="93"/>
      <c r="FHH24" s="93"/>
      <c r="FHI24" s="93"/>
      <c r="FHJ24" s="93"/>
      <c r="FHK24" s="93"/>
      <c r="FHL24" s="93"/>
      <c r="FHM24" s="93"/>
      <c r="FHN24" s="93"/>
      <c r="FHO24" s="93"/>
      <c r="FHP24" s="93"/>
      <c r="FHQ24" s="93"/>
      <c r="FHR24" s="93"/>
      <c r="FHS24" s="93"/>
      <c r="FHT24" s="93"/>
      <c r="FHU24" s="93"/>
      <c r="FHV24" s="93"/>
      <c r="FHW24" s="93"/>
      <c r="FHX24" s="93"/>
      <c r="FHY24" s="93"/>
      <c r="FHZ24" s="93"/>
      <c r="FIA24" s="93"/>
      <c r="FIB24" s="93"/>
      <c r="FIC24" s="93"/>
      <c r="FID24" s="93"/>
      <c r="FIE24" s="93"/>
      <c r="FIF24" s="93"/>
      <c r="FIG24" s="93"/>
      <c r="FIH24" s="93"/>
      <c r="FII24" s="93"/>
      <c r="FIJ24" s="93"/>
      <c r="FIK24" s="93"/>
      <c r="FIL24" s="93"/>
      <c r="FIM24" s="93"/>
      <c r="FIN24" s="93"/>
      <c r="FIO24" s="93"/>
      <c r="FIP24" s="93"/>
      <c r="FIQ24" s="93"/>
      <c r="FIR24" s="93"/>
      <c r="FIS24" s="93"/>
      <c r="FIT24" s="93"/>
      <c r="FIU24" s="93"/>
      <c r="FIV24" s="93"/>
      <c r="FIW24" s="93"/>
      <c r="FIX24" s="93"/>
      <c r="FIY24" s="93"/>
      <c r="FIZ24" s="93"/>
      <c r="FJA24" s="93"/>
      <c r="FJB24" s="93"/>
      <c r="FJC24" s="93"/>
      <c r="FJD24" s="93"/>
      <c r="FJE24" s="93"/>
      <c r="FJF24" s="93"/>
      <c r="FJG24" s="93"/>
      <c r="FJH24" s="93"/>
      <c r="FJI24" s="93"/>
      <c r="FJJ24" s="93"/>
      <c r="FJK24" s="93"/>
      <c r="FJL24" s="93"/>
      <c r="FJM24" s="93"/>
      <c r="FJN24" s="93"/>
      <c r="FJO24" s="93"/>
      <c r="FJP24" s="93"/>
      <c r="FJQ24" s="93"/>
      <c r="FJR24" s="93"/>
      <c r="FJS24" s="93"/>
      <c r="FJT24" s="93"/>
      <c r="FJU24" s="93"/>
      <c r="FJV24" s="93"/>
      <c r="FJW24" s="93"/>
      <c r="FJX24" s="93"/>
      <c r="FJY24" s="93"/>
      <c r="FJZ24" s="93"/>
      <c r="FKA24" s="93"/>
      <c r="FKB24" s="93"/>
      <c r="FKC24" s="93"/>
      <c r="FKD24" s="93"/>
      <c r="FKE24" s="93"/>
      <c r="FKF24" s="93"/>
      <c r="FKG24" s="93"/>
      <c r="FKH24" s="93"/>
      <c r="FKI24" s="93"/>
      <c r="FKJ24" s="93"/>
      <c r="FKK24" s="93"/>
      <c r="FKL24" s="93"/>
      <c r="FKM24" s="93"/>
      <c r="FKN24" s="93"/>
      <c r="FKO24" s="93"/>
      <c r="FKP24" s="93"/>
      <c r="FKQ24" s="93"/>
      <c r="FKR24" s="93"/>
      <c r="FKS24" s="93"/>
      <c r="FKT24" s="93"/>
      <c r="FKU24" s="93"/>
      <c r="FKV24" s="93"/>
      <c r="FKW24" s="93"/>
      <c r="FKX24" s="93"/>
      <c r="FKY24" s="93"/>
      <c r="FKZ24" s="93"/>
      <c r="FLA24" s="93"/>
      <c r="FLB24" s="93"/>
      <c r="FLC24" s="93"/>
      <c r="FLD24" s="93"/>
      <c r="FLE24" s="93"/>
      <c r="FLF24" s="93"/>
      <c r="FLG24" s="93"/>
      <c r="FLH24" s="93"/>
      <c r="FLI24" s="93"/>
      <c r="FLJ24" s="93"/>
      <c r="FLK24" s="93"/>
      <c r="FLL24" s="93"/>
      <c r="FLM24" s="93"/>
      <c r="FLN24" s="93"/>
      <c r="FLO24" s="93"/>
      <c r="FLP24" s="93"/>
      <c r="FLQ24" s="93"/>
      <c r="FLR24" s="93"/>
      <c r="FLS24" s="93"/>
      <c r="FLT24" s="93"/>
      <c r="FLU24" s="93"/>
      <c r="FLV24" s="93"/>
      <c r="FLW24" s="93"/>
      <c r="FLX24" s="93"/>
      <c r="FLY24" s="93"/>
      <c r="FLZ24" s="93"/>
      <c r="FMA24" s="93"/>
      <c r="FMB24" s="93"/>
      <c r="FMC24" s="93"/>
      <c r="FMD24" s="93"/>
      <c r="FME24" s="93"/>
      <c r="FMF24" s="93"/>
      <c r="FMG24" s="93"/>
      <c r="FMH24" s="93"/>
      <c r="FMI24" s="93"/>
      <c r="FMJ24" s="93"/>
      <c r="FMK24" s="93"/>
      <c r="FML24" s="93"/>
      <c r="FMM24" s="93"/>
      <c r="FMN24" s="93"/>
      <c r="FMO24" s="93"/>
      <c r="FMP24" s="93"/>
      <c r="FMQ24" s="93"/>
      <c r="FMR24" s="93"/>
      <c r="FMS24" s="93"/>
      <c r="FMT24" s="93"/>
      <c r="FMU24" s="93"/>
      <c r="FMV24" s="93"/>
      <c r="FMW24" s="93"/>
      <c r="FMX24" s="93"/>
      <c r="FMY24" s="93"/>
      <c r="FMZ24" s="93"/>
      <c r="FNA24" s="93"/>
      <c r="FNB24" s="93"/>
      <c r="FNC24" s="93"/>
      <c r="FND24" s="93"/>
      <c r="FNE24" s="93"/>
      <c r="FNF24" s="93"/>
      <c r="FNG24" s="93"/>
      <c r="FNH24" s="93"/>
      <c r="FNI24" s="93"/>
      <c r="FNJ24" s="93"/>
      <c r="FNK24" s="93"/>
      <c r="FNL24" s="93"/>
      <c r="FNM24" s="93"/>
      <c r="FNN24" s="93"/>
      <c r="FNO24" s="93"/>
      <c r="FNP24" s="93"/>
      <c r="FNQ24" s="93"/>
      <c r="FNR24" s="93"/>
      <c r="FNS24" s="93"/>
      <c r="FNT24" s="93"/>
      <c r="FNU24" s="93"/>
      <c r="FNV24" s="93"/>
      <c r="FNW24" s="93"/>
      <c r="FNX24" s="93"/>
      <c r="FNY24" s="93"/>
      <c r="FNZ24" s="93"/>
      <c r="FOA24" s="93"/>
      <c r="FOB24" s="93"/>
      <c r="FOC24" s="93"/>
      <c r="FOD24" s="93"/>
      <c r="FOE24" s="93"/>
      <c r="FOF24" s="93"/>
      <c r="FOG24" s="93"/>
      <c r="FOH24" s="93"/>
      <c r="FOI24" s="93"/>
      <c r="FOJ24" s="93"/>
      <c r="FOK24" s="93"/>
      <c r="FOL24" s="93"/>
      <c r="FOM24" s="93"/>
      <c r="FON24" s="93"/>
      <c r="FOO24" s="93"/>
      <c r="FOP24" s="93"/>
      <c r="FOQ24" s="93"/>
      <c r="FOR24" s="93"/>
      <c r="FOS24" s="93"/>
      <c r="FOT24" s="93"/>
      <c r="FOU24" s="93"/>
      <c r="FOV24" s="93"/>
      <c r="FOW24" s="93"/>
      <c r="FOX24" s="93"/>
      <c r="FOY24" s="93"/>
      <c r="FOZ24" s="93"/>
      <c r="FPA24" s="93"/>
      <c r="FPB24" s="93"/>
      <c r="FPC24" s="93"/>
      <c r="FPD24" s="93"/>
      <c r="FPE24" s="93"/>
      <c r="FPF24" s="93"/>
      <c r="FPG24" s="93"/>
      <c r="FPH24" s="93"/>
      <c r="FPI24" s="93"/>
      <c r="FPJ24" s="93"/>
      <c r="FPK24" s="93"/>
      <c r="FPL24" s="93"/>
      <c r="FPM24" s="93"/>
      <c r="FPN24" s="93"/>
      <c r="FPO24" s="93"/>
      <c r="FPP24" s="93"/>
      <c r="FPQ24" s="93"/>
      <c r="FPR24" s="93"/>
      <c r="FPS24" s="93"/>
      <c r="FPT24" s="93"/>
      <c r="FPU24" s="93"/>
      <c r="FPV24" s="93"/>
      <c r="FPW24" s="93"/>
      <c r="FPX24" s="93"/>
      <c r="FPY24" s="93"/>
      <c r="FPZ24" s="93"/>
      <c r="FQA24" s="93"/>
      <c r="FQB24" s="93"/>
      <c r="FQC24" s="93"/>
      <c r="FQD24" s="93"/>
      <c r="FQE24" s="93"/>
      <c r="FQF24" s="93"/>
      <c r="FQG24" s="93"/>
      <c r="FQH24" s="93"/>
      <c r="FQI24" s="93"/>
      <c r="FQJ24" s="93"/>
      <c r="FQK24" s="93"/>
      <c r="FQL24" s="93"/>
      <c r="FQM24" s="93"/>
      <c r="FQN24" s="93"/>
      <c r="FQO24" s="93"/>
      <c r="FQP24" s="93"/>
      <c r="FQQ24" s="93"/>
      <c r="FQR24" s="93"/>
      <c r="FQS24" s="93"/>
      <c r="FQT24" s="93"/>
      <c r="FQU24" s="93"/>
      <c r="FQV24" s="93"/>
      <c r="FQW24" s="93"/>
      <c r="FQX24" s="93"/>
      <c r="FQY24" s="93"/>
      <c r="FQZ24" s="93"/>
      <c r="FRA24" s="93"/>
      <c r="FRB24" s="93"/>
      <c r="FRC24" s="93"/>
      <c r="FRD24" s="93"/>
      <c r="FRE24" s="93"/>
      <c r="FRF24" s="93"/>
      <c r="FRG24" s="93"/>
      <c r="FRH24" s="93"/>
      <c r="FRI24" s="93"/>
      <c r="FRJ24" s="93"/>
      <c r="FRK24" s="93"/>
      <c r="FRL24" s="93"/>
      <c r="FRM24" s="93"/>
      <c r="FRN24" s="93"/>
      <c r="FRO24" s="93"/>
      <c r="FRP24" s="93"/>
      <c r="FRQ24" s="93"/>
      <c r="FRR24" s="93"/>
      <c r="FRS24" s="93"/>
      <c r="FRT24" s="93"/>
      <c r="FRU24" s="93"/>
      <c r="FRV24" s="93"/>
      <c r="FRW24" s="93"/>
      <c r="FRX24" s="93"/>
      <c r="FRY24" s="93"/>
      <c r="FRZ24" s="93"/>
      <c r="FSA24" s="93"/>
      <c r="FSB24" s="93"/>
      <c r="FSC24" s="93"/>
      <c r="FSD24" s="93"/>
      <c r="FSE24" s="93"/>
      <c r="FSF24" s="93"/>
      <c r="FSG24" s="93"/>
      <c r="FSH24" s="93"/>
      <c r="FSI24" s="93"/>
      <c r="FSJ24" s="93"/>
      <c r="FSK24" s="93"/>
      <c r="FSL24" s="93"/>
      <c r="FSM24" s="93"/>
      <c r="FSN24" s="93"/>
      <c r="FSO24" s="93"/>
      <c r="FSP24" s="93"/>
      <c r="FSQ24" s="93"/>
      <c r="FSR24" s="93"/>
      <c r="FSS24" s="93"/>
      <c r="FST24" s="93"/>
      <c r="FSU24" s="93"/>
      <c r="FSV24" s="93"/>
      <c r="FSW24" s="93"/>
      <c r="FSX24" s="93"/>
      <c r="FSY24" s="93"/>
      <c r="FSZ24" s="93"/>
      <c r="FTA24" s="93"/>
      <c r="FTB24" s="93"/>
      <c r="FTC24" s="93"/>
      <c r="FTD24" s="93"/>
      <c r="FTE24" s="93"/>
      <c r="FTF24" s="93"/>
      <c r="FTG24" s="93"/>
      <c r="FTH24" s="93"/>
      <c r="FTI24" s="93"/>
      <c r="FTJ24" s="93"/>
      <c r="FTK24" s="93"/>
      <c r="FTL24" s="93"/>
      <c r="FTM24" s="93"/>
      <c r="FTN24" s="93"/>
      <c r="FTO24" s="93"/>
      <c r="FTP24" s="93"/>
      <c r="FTQ24" s="93"/>
      <c r="FTR24" s="93"/>
      <c r="FTS24" s="93"/>
      <c r="FTT24" s="93"/>
      <c r="FTU24" s="93"/>
      <c r="FTV24" s="93"/>
      <c r="FTW24" s="93"/>
      <c r="FTX24" s="93"/>
      <c r="FTY24" s="93"/>
      <c r="FTZ24" s="93"/>
      <c r="FUA24" s="93"/>
      <c r="FUB24" s="93"/>
      <c r="FUC24" s="93"/>
      <c r="FUD24" s="93"/>
      <c r="FUE24" s="93"/>
      <c r="FUF24" s="93"/>
      <c r="FUG24" s="93"/>
      <c r="FUH24" s="93"/>
      <c r="FUI24" s="93"/>
      <c r="FUJ24" s="93"/>
      <c r="FUK24" s="93"/>
      <c r="FUL24" s="93"/>
      <c r="FUM24" s="93"/>
      <c r="FUN24" s="93"/>
      <c r="FUO24" s="93"/>
      <c r="FUP24" s="93"/>
      <c r="FUQ24" s="93"/>
      <c r="FUR24" s="93"/>
      <c r="FUS24" s="93"/>
      <c r="FUT24" s="93"/>
      <c r="FUU24" s="93"/>
      <c r="FUV24" s="93"/>
      <c r="FUW24" s="93"/>
      <c r="FUX24" s="93"/>
      <c r="FUY24" s="93"/>
      <c r="FUZ24" s="93"/>
      <c r="FVA24" s="93"/>
      <c r="FVB24" s="93"/>
      <c r="FVC24" s="93"/>
      <c r="FVD24" s="93"/>
      <c r="FVE24" s="93"/>
      <c r="FVF24" s="93"/>
      <c r="FVG24" s="93"/>
      <c r="FVH24" s="93"/>
      <c r="FVI24" s="93"/>
      <c r="FVJ24" s="93"/>
      <c r="FVK24" s="93"/>
      <c r="FVL24" s="93"/>
      <c r="FVM24" s="93"/>
      <c r="FVN24" s="93"/>
      <c r="FVO24" s="93"/>
      <c r="FVP24" s="93"/>
      <c r="FVQ24" s="93"/>
      <c r="FVR24" s="93"/>
      <c r="FVS24" s="93"/>
      <c r="FVT24" s="93"/>
      <c r="FVU24" s="93"/>
      <c r="FVV24" s="93"/>
      <c r="FVW24" s="93"/>
      <c r="FVX24" s="93"/>
      <c r="FVY24" s="93"/>
      <c r="FVZ24" s="93"/>
      <c r="FWA24" s="93"/>
      <c r="FWB24" s="93"/>
      <c r="FWC24" s="93"/>
      <c r="FWD24" s="93"/>
      <c r="FWE24" s="93"/>
      <c r="FWF24" s="93"/>
      <c r="FWG24" s="93"/>
      <c r="FWH24" s="93"/>
      <c r="FWI24" s="93"/>
      <c r="FWJ24" s="93"/>
      <c r="FWK24" s="93"/>
      <c r="FWL24" s="93"/>
      <c r="FWM24" s="93"/>
      <c r="FWN24" s="93"/>
      <c r="FWO24" s="93"/>
      <c r="FWP24" s="93"/>
      <c r="FWQ24" s="93"/>
      <c r="FWR24" s="93"/>
      <c r="FWS24" s="93"/>
      <c r="FWT24" s="93"/>
      <c r="FWU24" s="93"/>
      <c r="FWV24" s="93"/>
      <c r="FWW24" s="93"/>
      <c r="FWX24" s="93"/>
      <c r="FWY24" s="93"/>
      <c r="FWZ24" s="93"/>
      <c r="FXA24" s="93"/>
      <c r="FXB24" s="93"/>
      <c r="FXC24" s="93"/>
      <c r="FXD24" s="93"/>
      <c r="FXE24" s="93"/>
      <c r="FXF24" s="93"/>
      <c r="FXG24" s="93"/>
      <c r="FXH24" s="93"/>
      <c r="FXI24" s="93"/>
      <c r="FXJ24" s="93"/>
      <c r="FXK24" s="93"/>
      <c r="FXL24" s="93"/>
      <c r="FXM24" s="93"/>
      <c r="FXN24" s="93"/>
      <c r="FXO24" s="93"/>
      <c r="FXP24" s="93"/>
      <c r="FXQ24" s="93"/>
      <c r="FXR24" s="93"/>
      <c r="FXS24" s="93"/>
      <c r="FXT24" s="93"/>
      <c r="FXU24" s="93"/>
      <c r="FXV24" s="93"/>
      <c r="FXW24" s="93"/>
      <c r="FXX24" s="93"/>
      <c r="FXY24" s="93"/>
      <c r="FXZ24" s="93"/>
      <c r="FYA24" s="93"/>
      <c r="FYB24" s="93"/>
      <c r="FYC24" s="93"/>
      <c r="FYD24" s="93"/>
      <c r="FYE24" s="93"/>
      <c r="FYF24" s="93"/>
      <c r="FYG24" s="93"/>
      <c r="FYH24" s="93"/>
      <c r="FYI24" s="93"/>
      <c r="FYJ24" s="93"/>
      <c r="FYK24" s="93"/>
      <c r="FYL24" s="93"/>
      <c r="FYM24" s="93"/>
      <c r="FYN24" s="93"/>
      <c r="FYO24" s="93"/>
      <c r="FYP24" s="93"/>
      <c r="FYQ24" s="93"/>
      <c r="FYR24" s="93"/>
      <c r="FYS24" s="93"/>
      <c r="FYT24" s="93"/>
      <c r="FYU24" s="93"/>
      <c r="FYV24" s="93"/>
      <c r="FYW24" s="93"/>
      <c r="FYX24" s="93"/>
      <c r="FYY24" s="93"/>
      <c r="FYZ24" s="93"/>
      <c r="FZA24" s="93"/>
      <c r="FZB24" s="93"/>
      <c r="FZC24" s="93"/>
      <c r="FZD24" s="93"/>
      <c r="FZE24" s="93"/>
      <c r="FZF24" s="93"/>
      <c r="FZG24" s="93"/>
      <c r="FZH24" s="93"/>
      <c r="FZI24" s="93"/>
      <c r="FZJ24" s="93"/>
      <c r="FZK24" s="93"/>
      <c r="FZL24" s="93"/>
      <c r="FZM24" s="93"/>
      <c r="FZN24" s="93"/>
      <c r="FZO24" s="93"/>
      <c r="FZP24" s="93"/>
      <c r="FZQ24" s="93"/>
      <c r="FZR24" s="93"/>
      <c r="FZS24" s="93"/>
      <c r="FZT24" s="93"/>
      <c r="FZU24" s="93"/>
      <c r="FZV24" s="93"/>
      <c r="FZW24" s="93"/>
      <c r="FZX24" s="93"/>
      <c r="FZY24" s="93"/>
      <c r="FZZ24" s="93"/>
      <c r="GAA24" s="93"/>
      <c r="GAB24" s="93"/>
      <c r="GAC24" s="93"/>
      <c r="GAD24" s="93"/>
      <c r="GAE24" s="93"/>
      <c r="GAF24" s="93"/>
      <c r="GAG24" s="93"/>
      <c r="GAH24" s="93"/>
      <c r="GAI24" s="93"/>
      <c r="GAJ24" s="93"/>
      <c r="GAK24" s="93"/>
      <c r="GAL24" s="93"/>
      <c r="GAM24" s="93"/>
      <c r="GAN24" s="93"/>
      <c r="GAO24" s="93"/>
      <c r="GAP24" s="93"/>
      <c r="GAQ24" s="93"/>
      <c r="GAR24" s="93"/>
      <c r="GAS24" s="93"/>
      <c r="GAT24" s="93"/>
      <c r="GAU24" s="93"/>
      <c r="GAV24" s="93"/>
      <c r="GAW24" s="93"/>
      <c r="GAX24" s="93"/>
      <c r="GAY24" s="93"/>
      <c r="GAZ24" s="93"/>
      <c r="GBA24" s="93"/>
      <c r="GBB24" s="93"/>
      <c r="GBC24" s="93"/>
      <c r="GBD24" s="93"/>
      <c r="GBE24" s="93"/>
      <c r="GBF24" s="93"/>
      <c r="GBG24" s="93"/>
      <c r="GBH24" s="93"/>
      <c r="GBI24" s="93"/>
      <c r="GBJ24" s="93"/>
      <c r="GBK24" s="93"/>
      <c r="GBL24" s="93"/>
      <c r="GBM24" s="93"/>
      <c r="GBN24" s="93"/>
      <c r="GBO24" s="93"/>
      <c r="GBP24" s="93"/>
      <c r="GBQ24" s="93"/>
      <c r="GBR24" s="93"/>
      <c r="GBS24" s="93"/>
      <c r="GBT24" s="93"/>
      <c r="GBU24" s="93"/>
      <c r="GBV24" s="93"/>
      <c r="GBW24" s="93"/>
      <c r="GBX24" s="93"/>
      <c r="GBY24" s="93"/>
      <c r="GBZ24" s="93"/>
      <c r="GCA24" s="93"/>
      <c r="GCB24" s="93"/>
      <c r="GCC24" s="93"/>
      <c r="GCD24" s="93"/>
      <c r="GCE24" s="93"/>
      <c r="GCF24" s="93"/>
      <c r="GCG24" s="93"/>
      <c r="GCH24" s="93"/>
      <c r="GCI24" s="93"/>
      <c r="GCJ24" s="93"/>
      <c r="GCK24" s="93"/>
      <c r="GCL24" s="93"/>
      <c r="GCM24" s="93"/>
      <c r="GCN24" s="93"/>
      <c r="GCO24" s="93"/>
      <c r="GCP24" s="93"/>
      <c r="GCQ24" s="93"/>
      <c r="GCR24" s="93"/>
      <c r="GCS24" s="93"/>
      <c r="GCT24" s="93"/>
      <c r="GCU24" s="93"/>
      <c r="GCV24" s="93"/>
      <c r="GCW24" s="93"/>
      <c r="GCX24" s="93"/>
      <c r="GCY24" s="93"/>
      <c r="GCZ24" s="93"/>
      <c r="GDA24" s="93"/>
      <c r="GDB24" s="93"/>
      <c r="GDC24" s="93"/>
      <c r="GDD24" s="93"/>
      <c r="GDE24" s="93"/>
      <c r="GDF24" s="93"/>
      <c r="GDG24" s="93"/>
      <c r="GDH24" s="93"/>
      <c r="GDI24" s="93"/>
      <c r="GDJ24" s="93"/>
      <c r="GDK24" s="93"/>
      <c r="GDL24" s="93"/>
      <c r="GDM24" s="93"/>
      <c r="GDN24" s="93"/>
      <c r="GDO24" s="93"/>
      <c r="GDP24" s="93"/>
      <c r="GDQ24" s="93"/>
      <c r="GDR24" s="93"/>
      <c r="GDS24" s="93"/>
      <c r="GDT24" s="93"/>
      <c r="GDU24" s="93"/>
      <c r="GDV24" s="93"/>
      <c r="GDW24" s="93"/>
      <c r="GDX24" s="93"/>
      <c r="GDY24" s="93"/>
      <c r="GDZ24" s="93"/>
      <c r="GEA24" s="93"/>
      <c r="GEB24" s="93"/>
      <c r="GEC24" s="93"/>
      <c r="GED24" s="93"/>
      <c r="GEE24" s="93"/>
      <c r="GEF24" s="93"/>
      <c r="GEG24" s="93"/>
      <c r="GEH24" s="93"/>
      <c r="GEI24" s="93"/>
      <c r="GEJ24" s="93"/>
      <c r="GEK24" s="93"/>
      <c r="GEL24" s="93"/>
      <c r="GEM24" s="93"/>
      <c r="GEN24" s="93"/>
      <c r="GEO24" s="93"/>
      <c r="GEP24" s="93"/>
      <c r="GEQ24" s="93"/>
      <c r="GER24" s="93"/>
      <c r="GES24" s="93"/>
      <c r="GET24" s="93"/>
      <c r="GEU24" s="93"/>
      <c r="GEV24" s="93"/>
      <c r="GEW24" s="93"/>
      <c r="GEX24" s="93"/>
      <c r="GEY24" s="93"/>
      <c r="GEZ24" s="93"/>
      <c r="GFA24" s="93"/>
      <c r="GFB24" s="93"/>
      <c r="GFC24" s="93"/>
      <c r="GFD24" s="93"/>
      <c r="GFE24" s="93"/>
      <c r="GFF24" s="93"/>
      <c r="GFG24" s="93"/>
      <c r="GFH24" s="93"/>
      <c r="GFI24" s="93"/>
      <c r="GFJ24" s="93"/>
      <c r="GFK24" s="93"/>
      <c r="GFL24" s="93"/>
      <c r="GFM24" s="93"/>
      <c r="GFN24" s="93"/>
      <c r="GFO24" s="93"/>
      <c r="GFP24" s="93"/>
      <c r="GFQ24" s="93"/>
      <c r="GFR24" s="93"/>
      <c r="GFS24" s="93"/>
      <c r="GFT24" s="93"/>
      <c r="GFU24" s="93"/>
      <c r="GFV24" s="93"/>
      <c r="GFW24" s="93"/>
      <c r="GFX24" s="93"/>
      <c r="GFY24" s="93"/>
      <c r="GFZ24" s="93"/>
      <c r="GGA24" s="93"/>
      <c r="GGB24" s="93"/>
      <c r="GGC24" s="93"/>
      <c r="GGD24" s="93"/>
      <c r="GGE24" s="93"/>
      <c r="GGF24" s="93"/>
      <c r="GGG24" s="93"/>
      <c r="GGH24" s="93"/>
      <c r="GGI24" s="93"/>
      <c r="GGJ24" s="93"/>
      <c r="GGK24" s="93"/>
      <c r="GGL24" s="93"/>
      <c r="GGM24" s="93"/>
      <c r="GGN24" s="93"/>
      <c r="GGO24" s="93"/>
      <c r="GGP24" s="93"/>
      <c r="GGQ24" s="93"/>
      <c r="GGR24" s="93"/>
      <c r="GGS24" s="93"/>
      <c r="GGT24" s="93"/>
      <c r="GGU24" s="93"/>
      <c r="GGV24" s="93"/>
      <c r="GGW24" s="93"/>
      <c r="GGX24" s="93"/>
      <c r="GGY24" s="93"/>
      <c r="GGZ24" s="93"/>
      <c r="GHA24" s="93"/>
      <c r="GHB24" s="93"/>
      <c r="GHC24" s="93"/>
      <c r="GHD24" s="93"/>
      <c r="GHE24" s="93"/>
      <c r="GHF24" s="93"/>
      <c r="GHG24" s="93"/>
      <c r="GHH24" s="93"/>
      <c r="GHI24" s="93"/>
      <c r="GHJ24" s="93"/>
      <c r="GHK24" s="93"/>
      <c r="GHL24" s="93"/>
      <c r="GHM24" s="93"/>
      <c r="GHN24" s="93"/>
      <c r="GHO24" s="93"/>
      <c r="GHP24" s="93"/>
      <c r="GHQ24" s="93"/>
      <c r="GHR24" s="93"/>
      <c r="GHS24" s="93"/>
      <c r="GHT24" s="93"/>
      <c r="GHU24" s="93"/>
      <c r="GHV24" s="93"/>
      <c r="GHW24" s="93"/>
      <c r="GHX24" s="93"/>
      <c r="GHY24" s="93"/>
      <c r="GHZ24" s="93"/>
      <c r="GIA24" s="93"/>
      <c r="GIB24" s="93"/>
      <c r="GIC24" s="93"/>
      <c r="GID24" s="93"/>
      <c r="GIE24" s="93"/>
      <c r="GIF24" s="93"/>
      <c r="GIG24" s="93"/>
      <c r="GIH24" s="93"/>
      <c r="GII24" s="93"/>
      <c r="GIJ24" s="93"/>
      <c r="GIK24" s="93"/>
      <c r="GIL24" s="93"/>
      <c r="GIM24" s="93"/>
      <c r="GIN24" s="93"/>
      <c r="GIO24" s="93"/>
      <c r="GIP24" s="93"/>
      <c r="GIQ24" s="93"/>
      <c r="GIR24" s="93"/>
      <c r="GIS24" s="93"/>
      <c r="GIT24" s="93"/>
      <c r="GIU24" s="93"/>
      <c r="GIV24" s="93"/>
      <c r="GIW24" s="93"/>
      <c r="GIX24" s="93"/>
      <c r="GIY24" s="93"/>
      <c r="GIZ24" s="93"/>
      <c r="GJA24" s="93"/>
      <c r="GJB24" s="93"/>
      <c r="GJC24" s="93"/>
      <c r="GJD24" s="93"/>
      <c r="GJE24" s="93"/>
      <c r="GJF24" s="93"/>
      <c r="GJG24" s="93"/>
      <c r="GJH24" s="93"/>
      <c r="GJI24" s="93"/>
      <c r="GJJ24" s="93"/>
      <c r="GJK24" s="93"/>
      <c r="GJL24" s="93"/>
      <c r="GJM24" s="93"/>
      <c r="GJN24" s="93"/>
      <c r="GJO24" s="93"/>
      <c r="GJP24" s="93"/>
      <c r="GJQ24" s="93"/>
      <c r="GJR24" s="93"/>
      <c r="GJS24" s="93"/>
      <c r="GJT24" s="93"/>
      <c r="GJU24" s="93"/>
      <c r="GJV24" s="93"/>
      <c r="GJW24" s="93"/>
      <c r="GJX24" s="93"/>
      <c r="GJY24" s="93"/>
      <c r="GJZ24" s="93"/>
      <c r="GKA24" s="93"/>
      <c r="GKB24" s="93"/>
      <c r="GKC24" s="93"/>
      <c r="GKD24" s="93"/>
      <c r="GKE24" s="93"/>
      <c r="GKF24" s="93"/>
      <c r="GKG24" s="93"/>
      <c r="GKH24" s="93"/>
      <c r="GKI24" s="93"/>
      <c r="GKJ24" s="93"/>
      <c r="GKK24" s="93"/>
      <c r="GKL24" s="93"/>
      <c r="GKM24" s="93"/>
      <c r="GKN24" s="93"/>
      <c r="GKO24" s="93"/>
      <c r="GKP24" s="93"/>
      <c r="GKQ24" s="93"/>
      <c r="GKR24" s="93"/>
      <c r="GKS24" s="93"/>
      <c r="GKT24" s="93"/>
      <c r="GKU24" s="93"/>
      <c r="GKV24" s="93"/>
      <c r="GKW24" s="93"/>
      <c r="GKX24" s="93"/>
      <c r="GKY24" s="93"/>
      <c r="GKZ24" s="93"/>
      <c r="GLA24" s="93"/>
      <c r="GLB24" s="93"/>
      <c r="GLC24" s="93"/>
      <c r="GLD24" s="93"/>
      <c r="GLE24" s="93"/>
      <c r="GLF24" s="93"/>
      <c r="GLG24" s="93"/>
      <c r="GLH24" s="93"/>
      <c r="GLI24" s="93"/>
      <c r="GLJ24" s="93"/>
      <c r="GLK24" s="93"/>
      <c r="GLL24" s="93"/>
      <c r="GLM24" s="93"/>
      <c r="GLN24" s="93"/>
      <c r="GLO24" s="93"/>
      <c r="GLP24" s="93"/>
      <c r="GLQ24" s="93"/>
      <c r="GLR24" s="93"/>
      <c r="GLS24" s="93"/>
      <c r="GLT24" s="93"/>
      <c r="GLU24" s="93"/>
      <c r="GLV24" s="93"/>
      <c r="GLW24" s="93"/>
      <c r="GLX24" s="93"/>
      <c r="GLY24" s="93"/>
      <c r="GLZ24" s="93"/>
      <c r="GMA24" s="93"/>
      <c r="GMB24" s="93"/>
      <c r="GMC24" s="93"/>
      <c r="GMD24" s="93"/>
      <c r="GME24" s="93"/>
      <c r="GMF24" s="93"/>
      <c r="GMG24" s="93"/>
      <c r="GMH24" s="93"/>
      <c r="GMI24" s="93"/>
      <c r="GMJ24" s="93"/>
      <c r="GMK24" s="93"/>
      <c r="GML24" s="93"/>
      <c r="GMM24" s="93"/>
      <c r="GMN24" s="93"/>
      <c r="GMO24" s="93"/>
      <c r="GMP24" s="93"/>
      <c r="GMQ24" s="93"/>
      <c r="GMR24" s="93"/>
      <c r="GMS24" s="93"/>
      <c r="GMT24" s="93"/>
      <c r="GMU24" s="93"/>
      <c r="GMV24" s="93"/>
      <c r="GMW24" s="93"/>
      <c r="GMX24" s="93"/>
      <c r="GMY24" s="93"/>
      <c r="GMZ24" s="93"/>
      <c r="GNA24" s="93"/>
      <c r="GNB24" s="93"/>
      <c r="GNC24" s="93"/>
      <c r="GND24" s="93"/>
      <c r="GNE24" s="93"/>
      <c r="GNF24" s="93"/>
      <c r="GNG24" s="93"/>
      <c r="GNH24" s="93"/>
      <c r="GNI24" s="93"/>
      <c r="GNJ24" s="93"/>
      <c r="GNK24" s="93"/>
      <c r="GNL24" s="93"/>
      <c r="GNM24" s="93"/>
      <c r="GNN24" s="93"/>
      <c r="GNO24" s="93"/>
      <c r="GNP24" s="93"/>
      <c r="GNQ24" s="93"/>
      <c r="GNR24" s="93"/>
      <c r="GNS24" s="93"/>
      <c r="GNT24" s="93"/>
      <c r="GNU24" s="93"/>
      <c r="GNV24" s="93"/>
      <c r="GNW24" s="93"/>
      <c r="GNX24" s="93"/>
      <c r="GNY24" s="93"/>
      <c r="GNZ24" s="93"/>
      <c r="GOA24" s="93"/>
      <c r="GOB24" s="93"/>
      <c r="GOC24" s="93"/>
      <c r="GOD24" s="93"/>
      <c r="GOE24" s="93"/>
      <c r="GOF24" s="93"/>
      <c r="GOG24" s="93"/>
      <c r="GOH24" s="93"/>
      <c r="GOI24" s="93"/>
      <c r="GOJ24" s="93"/>
      <c r="GOK24" s="93"/>
      <c r="GOL24" s="93"/>
      <c r="GOM24" s="93"/>
      <c r="GON24" s="93"/>
      <c r="GOO24" s="93"/>
      <c r="GOP24" s="93"/>
      <c r="GOQ24" s="93"/>
      <c r="GOR24" s="93"/>
      <c r="GOS24" s="93"/>
      <c r="GOT24" s="93"/>
      <c r="GOU24" s="93"/>
      <c r="GOV24" s="93"/>
      <c r="GOW24" s="93"/>
      <c r="GOX24" s="93"/>
      <c r="GOY24" s="93"/>
      <c r="GOZ24" s="93"/>
      <c r="GPA24" s="93"/>
      <c r="GPB24" s="93"/>
      <c r="GPC24" s="93"/>
      <c r="GPD24" s="93"/>
      <c r="GPE24" s="93"/>
      <c r="GPF24" s="93"/>
      <c r="GPG24" s="93"/>
      <c r="GPH24" s="93"/>
      <c r="GPI24" s="93"/>
      <c r="GPJ24" s="93"/>
      <c r="GPK24" s="93"/>
      <c r="GPL24" s="93"/>
      <c r="GPM24" s="93"/>
      <c r="GPN24" s="93"/>
      <c r="GPO24" s="93"/>
      <c r="GPP24" s="93"/>
      <c r="GPQ24" s="93"/>
      <c r="GPR24" s="93"/>
      <c r="GPS24" s="93"/>
      <c r="GPT24" s="93"/>
      <c r="GPU24" s="93"/>
      <c r="GPV24" s="93"/>
      <c r="GPW24" s="93"/>
      <c r="GPX24" s="93"/>
      <c r="GPY24" s="93"/>
      <c r="GPZ24" s="93"/>
      <c r="GQA24" s="93"/>
      <c r="GQB24" s="93"/>
      <c r="GQC24" s="93"/>
      <c r="GQD24" s="93"/>
      <c r="GQE24" s="93"/>
      <c r="GQF24" s="93"/>
      <c r="GQG24" s="93"/>
      <c r="GQH24" s="93"/>
      <c r="GQI24" s="93"/>
      <c r="GQJ24" s="93"/>
      <c r="GQK24" s="93"/>
      <c r="GQL24" s="93"/>
      <c r="GQM24" s="93"/>
      <c r="GQN24" s="93"/>
      <c r="GQO24" s="93"/>
      <c r="GQP24" s="93"/>
      <c r="GQQ24" s="93"/>
      <c r="GQR24" s="93"/>
      <c r="GQS24" s="93"/>
      <c r="GQT24" s="93"/>
      <c r="GQU24" s="93"/>
      <c r="GQV24" s="93"/>
      <c r="GQW24" s="93"/>
      <c r="GQX24" s="93"/>
      <c r="GQY24" s="93"/>
      <c r="GQZ24" s="93"/>
      <c r="GRA24" s="93"/>
      <c r="GRB24" s="93"/>
      <c r="GRC24" s="93"/>
      <c r="GRD24" s="93"/>
      <c r="GRE24" s="93"/>
      <c r="GRF24" s="93"/>
      <c r="GRG24" s="93"/>
      <c r="GRH24" s="93"/>
      <c r="GRI24" s="93"/>
      <c r="GRJ24" s="93"/>
      <c r="GRK24" s="93"/>
      <c r="GRL24" s="93"/>
      <c r="GRM24" s="93"/>
      <c r="GRN24" s="93"/>
      <c r="GRO24" s="93"/>
      <c r="GRP24" s="93"/>
      <c r="GRQ24" s="93"/>
      <c r="GRR24" s="93"/>
      <c r="GRS24" s="93"/>
      <c r="GRT24" s="93"/>
      <c r="GRU24" s="93"/>
      <c r="GRV24" s="93"/>
      <c r="GRW24" s="93"/>
      <c r="GRX24" s="93"/>
      <c r="GRY24" s="93"/>
      <c r="GRZ24" s="93"/>
      <c r="GSA24" s="93"/>
      <c r="GSB24" s="93"/>
      <c r="GSC24" s="93"/>
      <c r="GSD24" s="93"/>
      <c r="GSE24" s="93"/>
      <c r="GSF24" s="93"/>
      <c r="GSG24" s="93"/>
      <c r="GSH24" s="93"/>
      <c r="GSI24" s="93"/>
      <c r="GSJ24" s="93"/>
      <c r="GSK24" s="93"/>
      <c r="GSL24" s="93"/>
      <c r="GSM24" s="93"/>
      <c r="GSN24" s="93"/>
      <c r="GSO24" s="93"/>
      <c r="GSP24" s="93"/>
      <c r="GSQ24" s="93"/>
      <c r="GSR24" s="93"/>
      <c r="GSS24" s="93"/>
      <c r="GST24" s="93"/>
      <c r="GSU24" s="93"/>
      <c r="GSV24" s="93"/>
      <c r="GSW24" s="93"/>
      <c r="GSX24" s="93"/>
      <c r="GSY24" s="93"/>
      <c r="GSZ24" s="93"/>
      <c r="GTA24" s="93"/>
      <c r="GTB24" s="93"/>
      <c r="GTC24" s="93"/>
      <c r="GTD24" s="93"/>
      <c r="GTE24" s="93"/>
      <c r="GTF24" s="93"/>
      <c r="GTG24" s="93"/>
      <c r="GTH24" s="93"/>
      <c r="GTI24" s="93"/>
      <c r="GTJ24" s="93"/>
      <c r="GTK24" s="93"/>
      <c r="GTL24" s="93"/>
      <c r="GTM24" s="93"/>
      <c r="GTN24" s="93"/>
      <c r="GTO24" s="93"/>
      <c r="GTP24" s="93"/>
      <c r="GTQ24" s="93"/>
      <c r="GTR24" s="93"/>
      <c r="GTS24" s="93"/>
      <c r="GTT24" s="93"/>
      <c r="GTU24" s="93"/>
      <c r="GTV24" s="93"/>
      <c r="GTW24" s="93"/>
      <c r="GTX24" s="93"/>
      <c r="GTY24" s="93"/>
      <c r="GTZ24" s="93"/>
      <c r="GUA24" s="93"/>
      <c r="GUB24" s="93"/>
      <c r="GUC24" s="93"/>
      <c r="GUD24" s="93"/>
      <c r="GUE24" s="93"/>
      <c r="GUF24" s="93"/>
      <c r="GUG24" s="93"/>
      <c r="GUH24" s="93"/>
      <c r="GUI24" s="93"/>
      <c r="GUJ24" s="93"/>
      <c r="GUK24" s="93"/>
      <c r="GUL24" s="93"/>
      <c r="GUM24" s="93"/>
      <c r="GUN24" s="93"/>
      <c r="GUO24" s="93"/>
      <c r="GUP24" s="93"/>
      <c r="GUQ24" s="93"/>
      <c r="GUR24" s="93"/>
      <c r="GUS24" s="93"/>
      <c r="GUT24" s="93"/>
      <c r="GUU24" s="93"/>
      <c r="GUV24" s="93"/>
      <c r="GUW24" s="93"/>
      <c r="GUX24" s="93"/>
      <c r="GUY24" s="93"/>
      <c r="GUZ24" s="93"/>
      <c r="GVA24" s="93"/>
      <c r="GVB24" s="93"/>
      <c r="GVC24" s="93"/>
      <c r="GVD24" s="93"/>
      <c r="GVE24" s="93"/>
      <c r="GVF24" s="93"/>
      <c r="GVG24" s="93"/>
      <c r="GVH24" s="93"/>
      <c r="GVI24" s="93"/>
      <c r="GVJ24" s="93"/>
      <c r="GVK24" s="93"/>
      <c r="GVL24" s="93"/>
      <c r="GVM24" s="93"/>
      <c r="GVN24" s="93"/>
      <c r="GVO24" s="93"/>
      <c r="GVP24" s="93"/>
      <c r="GVQ24" s="93"/>
      <c r="GVR24" s="93"/>
      <c r="GVS24" s="93"/>
      <c r="GVT24" s="93"/>
      <c r="GVU24" s="93"/>
      <c r="GVV24" s="93"/>
      <c r="GVW24" s="93"/>
      <c r="GVX24" s="93"/>
      <c r="GVY24" s="93"/>
      <c r="GVZ24" s="93"/>
      <c r="GWA24" s="93"/>
      <c r="GWB24" s="93"/>
      <c r="GWC24" s="93"/>
      <c r="GWD24" s="93"/>
      <c r="GWE24" s="93"/>
      <c r="GWF24" s="93"/>
      <c r="GWG24" s="93"/>
      <c r="GWH24" s="93"/>
      <c r="GWI24" s="93"/>
      <c r="GWJ24" s="93"/>
      <c r="GWK24" s="93"/>
      <c r="GWL24" s="93"/>
      <c r="GWM24" s="93"/>
      <c r="GWN24" s="93"/>
      <c r="GWO24" s="93"/>
      <c r="GWP24" s="93"/>
      <c r="GWQ24" s="93"/>
      <c r="GWR24" s="93"/>
      <c r="GWS24" s="93"/>
      <c r="GWT24" s="93"/>
      <c r="GWU24" s="93"/>
      <c r="GWV24" s="93"/>
      <c r="GWW24" s="93"/>
      <c r="GWX24" s="93"/>
      <c r="GWY24" s="93"/>
      <c r="GWZ24" s="93"/>
      <c r="GXA24" s="93"/>
      <c r="GXB24" s="93"/>
      <c r="GXC24" s="93"/>
      <c r="GXD24" s="93"/>
      <c r="GXE24" s="93"/>
      <c r="GXF24" s="93"/>
      <c r="GXG24" s="93"/>
      <c r="GXH24" s="93"/>
      <c r="GXI24" s="93"/>
      <c r="GXJ24" s="93"/>
      <c r="GXK24" s="93"/>
      <c r="GXL24" s="93"/>
      <c r="GXM24" s="93"/>
      <c r="GXN24" s="93"/>
      <c r="GXO24" s="93"/>
      <c r="GXP24" s="93"/>
      <c r="GXQ24" s="93"/>
      <c r="GXR24" s="93"/>
      <c r="GXS24" s="93"/>
      <c r="GXT24" s="93"/>
      <c r="GXU24" s="93"/>
      <c r="GXV24" s="93"/>
      <c r="GXW24" s="93"/>
      <c r="GXX24" s="93"/>
      <c r="GXY24" s="93"/>
      <c r="GXZ24" s="93"/>
      <c r="GYA24" s="93"/>
      <c r="GYB24" s="93"/>
      <c r="GYC24" s="93"/>
      <c r="GYD24" s="93"/>
      <c r="GYE24" s="93"/>
      <c r="GYF24" s="93"/>
      <c r="GYG24" s="93"/>
      <c r="GYH24" s="93"/>
      <c r="GYI24" s="93"/>
      <c r="GYJ24" s="93"/>
      <c r="GYK24" s="93"/>
      <c r="GYL24" s="93"/>
      <c r="GYM24" s="93"/>
      <c r="GYN24" s="93"/>
      <c r="GYO24" s="93"/>
      <c r="GYP24" s="93"/>
      <c r="GYQ24" s="93"/>
      <c r="GYR24" s="93"/>
      <c r="GYS24" s="93"/>
      <c r="GYT24" s="93"/>
      <c r="GYU24" s="93"/>
      <c r="GYV24" s="93"/>
      <c r="GYW24" s="93"/>
      <c r="GYX24" s="93"/>
      <c r="GYY24" s="93"/>
      <c r="GYZ24" s="93"/>
      <c r="GZA24" s="93"/>
      <c r="GZB24" s="93"/>
      <c r="GZC24" s="93"/>
      <c r="GZD24" s="93"/>
      <c r="GZE24" s="93"/>
      <c r="GZF24" s="93"/>
      <c r="GZG24" s="93"/>
      <c r="GZH24" s="93"/>
      <c r="GZI24" s="93"/>
      <c r="GZJ24" s="93"/>
      <c r="GZK24" s="93"/>
      <c r="GZL24" s="93"/>
      <c r="GZM24" s="93"/>
      <c r="GZN24" s="93"/>
      <c r="GZO24" s="93"/>
      <c r="GZP24" s="93"/>
      <c r="GZQ24" s="93"/>
      <c r="GZR24" s="93"/>
      <c r="GZS24" s="93"/>
      <c r="GZT24" s="93"/>
      <c r="GZU24" s="93"/>
      <c r="GZV24" s="93"/>
      <c r="GZW24" s="93"/>
      <c r="GZX24" s="93"/>
      <c r="GZY24" s="93"/>
      <c r="GZZ24" s="93"/>
      <c r="HAA24" s="93"/>
      <c r="HAB24" s="93"/>
      <c r="HAC24" s="93"/>
      <c r="HAD24" s="93"/>
      <c r="HAE24" s="93"/>
      <c r="HAF24" s="93"/>
      <c r="HAG24" s="93"/>
      <c r="HAH24" s="93"/>
      <c r="HAI24" s="93"/>
      <c r="HAJ24" s="93"/>
      <c r="HAK24" s="93"/>
      <c r="HAL24" s="93"/>
      <c r="HAM24" s="93"/>
      <c r="HAN24" s="93"/>
      <c r="HAO24" s="93"/>
      <c r="HAP24" s="93"/>
      <c r="HAQ24" s="93"/>
      <c r="HAR24" s="93"/>
      <c r="HAS24" s="93"/>
      <c r="HAT24" s="93"/>
      <c r="HAU24" s="93"/>
      <c r="HAV24" s="93"/>
      <c r="HAW24" s="93"/>
      <c r="HAX24" s="93"/>
      <c r="HAY24" s="93"/>
      <c r="HAZ24" s="93"/>
      <c r="HBA24" s="93"/>
      <c r="HBB24" s="93"/>
      <c r="HBC24" s="93"/>
      <c r="HBD24" s="93"/>
      <c r="HBE24" s="93"/>
      <c r="HBF24" s="93"/>
      <c r="HBG24" s="93"/>
      <c r="HBH24" s="93"/>
      <c r="HBI24" s="93"/>
      <c r="HBJ24" s="93"/>
      <c r="HBK24" s="93"/>
      <c r="HBL24" s="93"/>
      <c r="HBM24" s="93"/>
      <c r="HBN24" s="93"/>
      <c r="HBO24" s="93"/>
      <c r="HBP24" s="93"/>
      <c r="HBQ24" s="93"/>
      <c r="HBR24" s="93"/>
      <c r="HBS24" s="93"/>
      <c r="HBT24" s="93"/>
      <c r="HBU24" s="93"/>
      <c r="HBV24" s="93"/>
      <c r="HBW24" s="93"/>
      <c r="HBX24" s="93"/>
      <c r="HBY24" s="93"/>
      <c r="HBZ24" s="93"/>
      <c r="HCA24" s="93"/>
      <c r="HCB24" s="93"/>
      <c r="HCC24" s="93"/>
      <c r="HCD24" s="93"/>
      <c r="HCE24" s="93"/>
      <c r="HCF24" s="93"/>
      <c r="HCG24" s="93"/>
      <c r="HCH24" s="93"/>
      <c r="HCI24" s="93"/>
      <c r="HCJ24" s="93"/>
      <c r="HCK24" s="93"/>
      <c r="HCL24" s="93"/>
      <c r="HCM24" s="93"/>
      <c r="HCN24" s="93"/>
      <c r="HCO24" s="93"/>
      <c r="HCP24" s="93"/>
      <c r="HCQ24" s="93"/>
      <c r="HCR24" s="93"/>
      <c r="HCS24" s="93"/>
      <c r="HCT24" s="93"/>
      <c r="HCU24" s="93"/>
      <c r="HCV24" s="93"/>
      <c r="HCW24" s="93"/>
      <c r="HCX24" s="93"/>
      <c r="HCY24" s="93"/>
      <c r="HCZ24" s="93"/>
      <c r="HDA24" s="93"/>
      <c r="HDB24" s="93"/>
      <c r="HDC24" s="93"/>
      <c r="HDD24" s="93"/>
      <c r="HDE24" s="93"/>
      <c r="HDF24" s="93"/>
      <c r="HDG24" s="93"/>
      <c r="HDH24" s="93"/>
      <c r="HDI24" s="93"/>
      <c r="HDJ24" s="93"/>
      <c r="HDK24" s="93"/>
      <c r="HDL24" s="93"/>
      <c r="HDM24" s="93"/>
      <c r="HDN24" s="93"/>
      <c r="HDO24" s="93"/>
      <c r="HDP24" s="93"/>
      <c r="HDQ24" s="93"/>
      <c r="HDR24" s="93"/>
      <c r="HDS24" s="93"/>
      <c r="HDT24" s="93"/>
      <c r="HDU24" s="93"/>
      <c r="HDV24" s="93"/>
      <c r="HDW24" s="93"/>
      <c r="HDX24" s="93"/>
      <c r="HDY24" s="93"/>
      <c r="HDZ24" s="93"/>
      <c r="HEA24" s="93"/>
      <c r="HEB24" s="93"/>
      <c r="HEC24" s="93"/>
      <c r="HED24" s="93"/>
      <c r="HEE24" s="93"/>
      <c r="HEF24" s="93"/>
      <c r="HEG24" s="93"/>
      <c r="HEH24" s="93"/>
      <c r="HEI24" s="93"/>
      <c r="HEJ24" s="93"/>
      <c r="HEK24" s="93"/>
      <c r="HEL24" s="93"/>
      <c r="HEM24" s="93"/>
      <c r="HEN24" s="93"/>
      <c r="HEO24" s="93"/>
      <c r="HEP24" s="93"/>
      <c r="HEQ24" s="93"/>
      <c r="HER24" s="93"/>
      <c r="HES24" s="93"/>
      <c r="HET24" s="93"/>
      <c r="HEU24" s="93"/>
      <c r="HEV24" s="93"/>
      <c r="HEW24" s="93"/>
      <c r="HEX24" s="93"/>
      <c r="HEY24" s="93"/>
      <c r="HEZ24" s="93"/>
      <c r="HFA24" s="93"/>
      <c r="HFB24" s="93"/>
      <c r="HFC24" s="93"/>
      <c r="HFD24" s="93"/>
      <c r="HFE24" s="93"/>
      <c r="HFF24" s="93"/>
      <c r="HFG24" s="93"/>
      <c r="HFH24" s="93"/>
      <c r="HFI24" s="93"/>
      <c r="HFJ24" s="93"/>
      <c r="HFK24" s="93"/>
      <c r="HFL24" s="93"/>
      <c r="HFM24" s="93"/>
      <c r="HFN24" s="93"/>
      <c r="HFO24" s="93"/>
      <c r="HFP24" s="93"/>
      <c r="HFQ24" s="93"/>
      <c r="HFR24" s="93"/>
      <c r="HFS24" s="93"/>
      <c r="HFT24" s="93"/>
      <c r="HFU24" s="93"/>
      <c r="HFV24" s="93"/>
      <c r="HFW24" s="93"/>
      <c r="HFX24" s="93"/>
      <c r="HFY24" s="93"/>
      <c r="HFZ24" s="93"/>
      <c r="HGA24" s="93"/>
      <c r="HGB24" s="93"/>
      <c r="HGC24" s="93"/>
      <c r="HGD24" s="93"/>
      <c r="HGE24" s="93"/>
      <c r="HGF24" s="93"/>
      <c r="HGG24" s="93"/>
      <c r="HGH24" s="93"/>
      <c r="HGI24" s="93"/>
      <c r="HGJ24" s="93"/>
      <c r="HGK24" s="93"/>
      <c r="HGL24" s="93"/>
      <c r="HGM24" s="93"/>
      <c r="HGN24" s="93"/>
      <c r="HGO24" s="93"/>
      <c r="HGP24" s="93"/>
      <c r="HGQ24" s="93"/>
      <c r="HGR24" s="93"/>
      <c r="HGS24" s="93"/>
      <c r="HGT24" s="93"/>
      <c r="HGU24" s="93"/>
      <c r="HGV24" s="93"/>
      <c r="HGW24" s="93"/>
      <c r="HGX24" s="93"/>
      <c r="HGY24" s="93"/>
      <c r="HGZ24" s="93"/>
      <c r="HHA24" s="93"/>
      <c r="HHB24" s="93"/>
      <c r="HHC24" s="93"/>
      <c r="HHD24" s="93"/>
      <c r="HHE24" s="93"/>
      <c r="HHF24" s="93"/>
      <c r="HHG24" s="93"/>
      <c r="HHH24" s="93"/>
      <c r="HHI24" s="93"/>
      <c r="HHJ24" s="93"/>
      <c r="HHK24" s="93"/>
      <c r="HHL24" s="93"/>
      <c r="HHM24" s="93"/>
      <c r="HHN24" s="93"/>
      <c r="HHO24" s="93"/>
      <c r="HHP24" s="93"/>
      <c r="HHQ24" s="93"/>
      <c r="HHR24" s="93"/>
      <c r="HHS24" s="93"/>
      <c r="HHT24" s="93"/>
      <c r="HHU24" s="93"/>
      <c r="HHV24" s="93"/>
      <c r="HHW24" s="93"/>
      <c r="HHX24" s="93"/>
      <c r="HHY24" s="93"/>
      <c r="HHZ24" s="93"/>
      <c r="HIA24" s="93"/>
      <c r="HIB24" s="93"/>
      <c r="HIC24" s="93"/>
      <c r="HID24" s="93"/>
      <c r="HIE24" s="93"/>
      <c r="HIF24" s="93"/>
      <c r="HIG24" s="93"/>
      <c r="HIH24" s="93"/>
      <c r="HII24" s="93"/>
      <c r="HIJ24" s="93"/>
      <c r="HIK24" s="93"/>
      <c r="HIL24" s="93"/>
      <c r="HIM24" s="93"/>
      <c r="HIN24" s="93"/>
      <c r="HIO24" s="93"/>
      <c r="HIP24" s="93"/>
      <c r="HIQ24" s="93"/>
      <c r="HIR24" s="93"/>
      <c r="HIS24" s="93"/>
      <c r="HIT24" s="93"/>
      <c r="HIU24" s="93"/>
      <c r="HIV24" s="93"/>
      <c r="HIW24" s="93"/>
      <c r="HIX24" s="93"/>
      <c r="HIY24" s="93"/>
      <c r="HIZ24" s="93"/>
      <c r="HJA24" s="93"/>
      <c r="HJB24" s="93"/>
      <c r="HJC24" s="93"/>
      <c r="HJD24" s="93"/>
      <c r="HJE24" s="93"/>
      <c r="HJF24" s="93"/>
      <c r="HJG24" s="93"/>
      <c r="HJH24" s="93"/>
      <c r="HJI24" s="93"/>
      <c r="HJJ24" s="93"/>
      <c r="HJK24" s="93"/>
      <c r="HJL24" s="93"/>
      <c r="HJM24" s="93"/>
      <c r="HJN24" s="93"/>
      <c r="HJO24" s="93"/>
      <c r="HJP24" s="93"/>
      <c r="HJQ24" s="93"/>
      <c r="HJR24" s="93"/>
      <c r="HJS24" s="93"/>
      <c r="HJT24" s="93"/>
      <c r="HJU24" s="93"/>
      <c r="HJV24" s="93"/>
      <c r="HJW24" s="93"/>
      <c r="HJX24" s="93"/>
      <c r="HJY24" s="93"/>
      <c r="HJZ24" s="93"/>
      <c r="HKA24" s="93"/>
      <c r="HKB24" s="93"/>
      <c r="HKC24" s="93"/>
      <c r="HKD24" s="93"/>
      <c r="HKE24" s="93"/>
      <c r="HKF24" s="93"/>
      <c r="HKG24" s="93"/>
      <c r="HKH24" s="93"/>
      <c r="HKI24" s="93"/>
      <c r="HKJ24" s="93"/>
      <c r="HKK24" s="93"/>
      <c r="HKL24" s="93"/>
      <c r="HKM24" s="93"/>
      <c r="HKN24" s="93"/>
      <c r="HKO24" s="93"/>
      <c r="HKP24" s="93"/>
      <c r="HKQ24" s="93"/>
      <c r="HKR24" s="93"/>
      <c r="HKS24" s="93"/>
      <c r="HKT24" s="93"/>
      <c r="HKU24" s="93"/>
      <c r="HKV24" s="93"/>
      <c r="HKW24" s="93"/>
      <c r="HKX24" s="93"/>
      <c r="HKY24" s="93"/>
      <c r="HKZ24" s="93"/>
      <c r="HLA24" s="93"/>
      <c r="HLB24" s="93"/>
      <c r="HLC24" s="93"/>
      <c r="HLD24" s="93"/>
      <c r="HLE24" s="93"/>
      <c r="HLF24" s="93"/>
      <c r="HLG24" s="93"/>
      <c r="HLH24" s="93"/>
      <c r="HLI24" s="93"/>
      <c r="HLJ24" s="93"/>
      <c r="HLK24" s="93"/>
      <c r="HLL24" s="93"/>
      <c r="HLM24" s="93"/>
      <c r="HLN24" s="93"/>
      <c r="HLO24" s="93"/>
      <c r="HLP24" s="93"/>
      <c r="HLQ24" s="93"/>
      <c r="HLR24" s="93"/>
      <c r="HLS24" s="93"/>
      <c r="HLT24" s="93"/>
      <c r="HLU24" s="93"/>
      <c r="HLV24" s="93"/>
      <c r="HLW24" s="93"/>
      <c r="HLX24" s="93"/>
      <c r="HLY24" s="93"/>
      <c r="HLZ24" s="93"/>
      <c r="HMA24" s="93"/>
      <c r="HMB24" s="93"/>
      <c r="HMC24" s="93"/>
      <c r="HMD24" s="93"/>
      <c r="HME24" s="93"/>
      <c r="HMF24" s="93"/>
      <c r="HMG24" s="93"/>
      <c r="HMH24" s="93"/>
      <c r="HMI24" s="93"/>
      <c r="HMJ24" s="93"/>
      <c r="HMK24" s="93"/>
      <c r="HML24" s="93"/>
      <c r="HMM24" s="93"/>
      <c r="HMN24" s="93"/>
      <c r="HMO24" s="93"/>
      <c r="HMP24" s="93"/>
      <c r="HMQ24" s="93"/>
      <c r="HMR24" s="93"/>
      <c r="HMS24" s="93"/>
      <c r="HMT24" s="93"/>
      <c r="HMU24" s="93"/>
      <c r="HMV24" s="93"/>
      <c r="HMW24" s="93"/>
      <c r="HMX24" s="93"/>
      <c r="HMY24" s="93"/>
      <c r="HMZ24" s="93"/>
      <c r="HNA24" s="93"/>
      <c r="HNB24" s="93"/>
      <c r="HNC24" s="93"/>
      <c r="HND24" s="93"/>
      <c r="HNE24" s="93"/>
      <c r="HNF24" s="93"/>
      <c r="HNG24" s="93"/>
      <c r="HNH24" s="93"/>
      <c r="HNI24" s="93"/>
      <c r="HNJ24" s="93"/>
      <c r="HNK24" s="93"/>
      <c r="HNL24" s="93"/>
      <c r="HNM24" s="93"/>
      <c r="HNN24" s="93"/>
      <c r="HNO24" s="93"/>
      <c r="HNP24" s="93"/>
      <c r="HNQ24" s="93"/>
      <c r="HNR24" s="93"/>
      <c r="HNS24" s="93"/>
      <c r="HNT24" s="93"/>
      <c r="HNU24" s="93"/>
      <c r="HNV24" s="93"/>
      <c r="HNW24" s="93"/>
      <c r="HNX24" s="93"/>
      <c r="HNY24" s="93"/>
      <c r="HNZ24" s="93"/>
      <c r="HOA24" s="93"/>
      <c r="HOB24" s="93"/>
      <c r="HOC24" s="93"/>
      <c r="HOD24" s="93"/>
      <c r="HOE24" s="93"/>
      <c r="HOF24" s="93"/>
      <c r="HOG24" s="93"/>
      <c r="HOH24" s="93"/>
      <c r="HOI24" s="93"/>
      <c r="HOJ24" s="93"/>
      <c r="HOK24" s="93"/>
      <c r="HOL24" s="93"/>
      <c r="HOM24" s="93"/>
      <c r="HON24" s="93"/>
      <c r="HOO24" s="93"/>
      <c r="HOP24" s="93"/>
      <c r="HOQ24" s="93"/>
      <c r="HOR24" s="93"/>
      <c r="HOS24" s="93"/>
      <c r="HOT24" s="93"/>
      <c r="HOU24" s="93"/>
      <c r="HOV24" s="93"/>
      <c r="HOW24" s="93"/>
      <c r="HOX24" s="93"/>
      <c r="HOY24" s="93"/>
      <c r="HOZ24" s="93"/>
      <c r="HPA24" s="93"/>
      <c r="HPB24" s="93"/>
      <c r="HPC24" s="93"/>
      <c r="HPD24" s="93"/>
      <c r="HPE24" s="93"/>
      <c r="HPF24" s="93"/>
      <c r="HPG24" s="93"/>
      <c r="HPH24" s="93"/>
      <c r="HPI24" s="93"/>
      <c r="HPJ24" s="93"/>
      <c r="HPK24" s="93"/>
      <c r="HPL24" s="93"/>
      <c r="HPM24" s="93"/>
      <c r="HPN24" s="93"/>
      <c r="HPO24" s="93"/>
      <c r="HPP24" s="93"/>
      <c r="HPQ24" s="93"/>
      <c r="HPR24" s="93"/>
      <c r="HPS24" s="93"/>
      <c r="HPT24" s="93"/>
      <c r="HPU24" s="93"/>
      <c r="HPV24" s="93"/>
      <c r="HPW24" s="93"/>
      <c r="HPX24" s="93"/>
      <c r="HPY24" s="93"/>
      <c r="HPZ24" s="93"/>
      <c r="HQA24" s="93"/>
      <c r="HQB24" s="93"/>
      <c r="HQC24" s="93"/>
      <c r="HQD24" s="93"/>
      <c r="HQE24" s="93"/>
      <c r="HQF24" s="93"/>
      <c r="HQG24" s="93"/>
      <c r="HQH24" s="93"/>
      <c r="HQI24" s="93"/>
      <c r="HQJ24" s="93"/>
      <c r="HQK24" s="93"/>
      <c r="HQL24" s="93"/>
      <c r="HQM24" s="93"/>
      <c r="HQN24" s="93"/>
      <c r="HQO24" s="93"/>
      <c r="HQP24" s="93"/>
      <c r="HQQ24" s="93"/>
      <c r="HQR24" s="93"/>
      <c r="HQS24" s="93"/>
      <c r="HQT24" s="93"/>
      <c r="HQU24" s="93"/>
      <c r="HQV24" s="93"/>
      <c r="HQW24" s="93"/>
      <c r="HQX24" s="93"/>
      <c r="HQY24" s="93"/>
      <c r="HQZ24" s="93"/>
      <c r="HRA24" s="93"/>
      <c r="HRB24" s="93"/>
      <c r="HRC24" s="93"/>
      <c r="HRD24" s="93"/>
      <c r="HRE24" s="93"/>
      <c r="HRF24" s="93"/>
      <c r="HRG24" s="93"/>
      <c r="HRH24" s="93"/>
      <c r="HRI24" s="93"/>
      <c r="HRJ24" s="93"/>
      <c r="HRK24" s="93"/>
      <c r="HRL24" s="93"/>
      <c r="HRM24" s="93"/>
      <c r="HRN24" s="93"/>
      <c r="HRO24" s="93"/>
      <c r="HRP24" s="93"/>
      <c r="HRQ24" s="93"/>
      <c r="HRR24" s="93"/>
      <c r="HRS24" s="93"/>
      <c r="HRT24" s="93"/>
      <c r="HRU24" s="93"/>
      <c r="HRV24" s="93"/>
      <c r="HRW24" s="93"/>
      <c r="HRX24" s="93"/>
      <c r="HRY24" s="93"/>
      <c r="HRZ24" s="93"/>
      <c r="HSA24" s="93"/>
      <c r="HSB24" s="93"/>
      <c r="HSC24" s="93"/>
      <c r="HSD24" s="93"/>
      <c r="HSE24" s="93"/>
      <c r="HSF24" s="93"/>
      <c r="HSG24" s="93"/>
      <c r="HSH24" s="93"/>
      <c r="HSI24" s="93"/>
      <c r="HSJ24" s="93"/>
      <c r="HSK24" s="93"/>
      <c r="HSL24" s="93"/>
      <c r="HSM24" s="93"/>
      <c r="HSN24" s="93"/>
      <c r="HSO24" s="93"/>
      <c r="HSP24" s="93"/>
      <c r="HSQ24" s="93"/>
      <c r="HSR24" s="93"/>
      <c r="HSS24" s="93"/>
      <c r="HST24" s="93"/>
      <c r="HSU24" s="93"/>
      <c r="HSV24" s="93"/>
      <c r="HSW24" s="93"/>
      <c r="HSX24" s="93"/>
      <c r="HSY24" s="93"/>
      <c r="HSZ24" s="93"/>
      <c r="HTA24" s="93"/>
      <c r="HTB24" s="93"/>
      <c r="HTC24" s="93"/>
      <c r="HTD24" s="93"/>
      <c r="HTE24" s="93"/>
      <c r="HTF24" s="93"/>
      <c r="HTG24" s="93"/>
      <c r="HTH24" s="93"/>
      <c r="HTI24" s="93"/>
      <c r="HTJ24" s="93"/>
      <c r="HTK24" s="93"/>
      <c r="HTL24" s="93"/>
      <c r="HTM24" s="93"/>
      <c r="HTN24" s="93"/>
      <c r="HTO24" s="93"/>
      <c r="HTP24" s="93"/>
      <c r="HTQ24" s="93"/>
      <c r="HTR24" s="93"/>
      <c r="HTS24" s="93"/>
      <c r="HTT24" s="93"/>
      <c r="HTU24" s="93"/>
      <c r="HTV24" s="93"/>
      <c r="HTW24" s="93"/>
      <c r="HTX24" s="93"/>
      <c r="HTY24" s="93"/>
      <c r="HTZ24" s="93"/>
      <c r="HUA24" s="93"/>
      <c r="HUB24" s="93"/>
      <c r="HUC24" s="93"/>
      <c r="HUD24" s="93"/>
      <c r="HUE24" s="93"/>
      <c r="HUF24" s="93"/>
      <c r="HUG24" s="93"/>
      <c r="HUH24" s="93"/>
      <c r="HUI24" s="93"/>
      <c r="HUJ24" s="93"/>
      <c r="HUK24" s="93"/>
      <c r="HUL24" s="93"/>
      <c r="HUM24" s="93"/>
      <c r="HUN24" s="93"/>
      <c r="HUO24" s="93"/>
      <c r="HUP24" s="93"/>
      <c r="HUQ24" s="93"/>
      <c r="HUR24" s="93"/>
      <c r="HUS24" s="93"/>
      <c r="HUT24" s="93"/>
      <c r="HUU24" s="93"/>
      <c r="HUV24" s="93"/>
      <c r="HUW24" s="93"/>
      <c r="HUX24" s="93"/>
      <c r="HUY24" s="93"/>
      <c r="HUZ24" s="93"/>
      <c r="HVA24" s="93"/>
      <c r="HVB24" s="93"/>
      <c r="HVC24" s="93"/>
      <c r="HVD24" s="93"/>
      <c r="HVE24" s="93"/>
      <c r="HVF24" s="93"/>
      <c r="HVG24" s="93"/>
      <c r="HVH24" s="93"/>
      <c r="HVI24" s="93"/>
      <c r="HVJ24" s="93"/>
      <c r="HVK24" s="93"/>
      <c r="HVL24" s="93"/>
      <c r="HVM24" s="93"/>
      <c r="HVN24" s="93"/>
      <c r="HVO24" s="93"/>
      <c r="HVP24" s="93"/>
      <c r="HVQ24" s="93"/>
      <c r="HVR24" s="93"/>
      <c r="HVS24" s="93"/>
      <c r="HVT24" s="93"/>
      <c r="HVU24" s="93"/>
      <c r="HVV24" s="93"/>
      <c r="HVW24" s="93"/>
      <c r="HVX24" s="93"/>
      <c r="HVY24" s="93"/>
      <c r="HVZ24" s="93"/>
      <c r="HWA24" s="93"/>
      <c r="HWB24" s="93"/>
      <c r="HWC24" s="93"/>
      <c r="HWD24" s="93"/>
      <c r="HWE24" s="93"/>
      <c r="HWF24" s="93"/>
      <c r="HWG24" s="93"/>
      <c r="HWH24" s="93"/>
      <c r="HWI24" s="93"/>
      <c r="HWJ24" s="93"/>
      <c r="HWK24" s="93"/>
      <c r="HWL24" s="93"/>
      <c r="HWM24" s="93"/>
      <c r="HWN24" s="93"/>
      <c r="HWO24" s="93"/>
      <c r="HWP24" s="93"/>
      <c r="HWQ24" s="93"/>
      <c r="HWR24" s="93"/>
      <c r="HWS24" s="93"/>
      <c r="HWT24" s="93"/>
      <c r="HWU24" s="93"/>
      <c r="HWV24" s="93"/>
      <c r="HWW24" s="93"/>
      <c r="HWX24" s="93"/>
      <c r="HWY24" s="93"/>
      <c r="HWZ24" s="93"/>
      <c r="HXA24" s="93"/>
      <c r="HXB24" s="93"/>
      <c r="HXC24" s="93"/>
      <c r="HXD24" s="93"/>
      <c r="HXE24" s="93"/>
      <c r="HXF24" s="93"/>
      <c r="HXG24" s="93"/>
      <c r="HXH24" s="93"/>
      <c r="HXI24" s="93"/>
      <c r="HXJ24" s="93"/>
      <c r="HXK24" s="93"/>
      <c r="HXL24" s="93"/>
      <c r="HXM24" s="93"/>
      <c r="HXN24" s="93"/>
      <c r="HXO24" s="93"/>
      <c r="HXP24" s="93"/>
      <c r="HXQ24" s="93"/>
      <c r="HXR24" s="93"/>
      <c r="HXS24" s="93"/>
      <c r="HXT24" s="93"/>
      <c r="HXU24" s="93"/>
      <c r="HXV24" s="93"/>
      <c r="HXW24" s="93"/>
      <c r="HXX24" s="93"/>
      <c r="HXY24" s="93"/>
      <c r="HXZ24" s="93"/>
      <c r="HYA24" s="93"/>
      <c r="HYB24" s="93"/>
      <c r="HYC24" s="93"/>
      <c r="HYD24" s="93"/>
      <c r="HYE24" s="93"/>
      <c r="HYF24" s="93"/>
      <c r="HYG24" s="93"/>
      <c r="HYH24" s="93"/>
      <c r="HYI24" s="93"/>
      <c r="HYJ24" s="93"/>
      <c r="HYK24" s="93"/>
      <c r="HYL24" s="93"/>
      <c r="HYM24" s="93"/>
      <c r="HYN24" s="93"/>
      <c r="HYO24" s="93"/>
      <c r="HYP24" s="93"/>
      <c r="HYQ24" s="93"/>
      <c r="HYR24" s="93"/>
      <c r="HYS24" s="93"/>
      <c r="HYT24" s="93"/>
      <c r="HYU24" s="93"/>
      <c r="HYV24" s="93"/>
      <c r="HYW24" s="93"/>
      <c r="HYX24" s="93"/>
      <c r="HYY24" s="93"/>
      <c r="HYZ24" s="93"/>
      <c r="HZA24" s="93"/>
      <c r="HZB24" s="93"/>
      <c r="HZC24" s="93"/>
      <c r="HZD24" s="93"/>
      <c r="HZE24" s="93"/>
      <c r="HZF24" s="93"/>
      <c r="HZG24" s="93"/>
      <c r="HZH24" s="93"/>
      <c r="HZI24" s="93"/>
      <c r="HZJ24" s="93"/>
      <c r="HZK24" s="93"/>
      <c r="HZL24" s="93"/>
      <c r="HZM24" s="93"/>
      <c r="HZN24" s="93"/>
      <c r="HZO24" s="93"/>
      <c r="HZP24" s="93"/>
      <c r="HZQ24" s="93"/>
      <c r="HZR24" s="93"/>
      <c r="HZS24" s="93"/>
      <c r="HZT24" s="93"/>
      <c r="HZU24" s="93"/>
      <c r="HZV24" s="93"/>
      <c r="HZW24" s="93"/>
      <c r="HZX24" s="93"/>
      <c r="HZY24" s="93"/>
      <c r="HZZ24" s="93"/>
      <c r="IAA24" s="93"/>
      <c r="IAB24" s="93"/>
      <c r="IAC24" s="93"/>
      <c r="IAD24" s="93"/>
      <c r="IAE24" s="93"/>
      <c r="IAF24" s="93"/>
      <c r="IAG24" s="93"/>
      <c r="IAH24" s="93"/>
      <c r="IAI24" s="93"/>
      <c r="IAJ24" s="93"/>
      <c r="IAK24" s="93"/>
      <c r="IAL24" s="93"/>
      <c r="IAM24" s="93"/>
      <c r="IAN24" s="93"/>
      <c r="IAO24" s="93"/>
      <c r="IAP24" s="93"/>
      <c r="IAQ24" s="93"/>
      <c r="IAR24" s="93"/>
      <c r="IAS24" s="93"/>
      <c r="IAT24" s="93"/>
      <c r="IAU24" s="93"/>
      <c r="IAV24" s="93"/>
      <c r="IAW24" s="93"/>
      <c r="IAX24" s="93"/>
      <c r="IAY24" s="93"/>
      <c r="IAZ24" s="93"/>
      <c r="IBA24" s="93"/>
      <c r="IBB24" s="93"/>
      <c r="IBC24" s="93"/>
      <c r="IBD24" s="93"/>
      <c r="IBE24" s="93"/>
      <c r="IBF24" s="93"/>
      <c r="IBG24" s="93"/>
      <c r="IBH24" s="93"/>
      <c r="IBI24" s="93"/>
      <c r="IBJ24" s="93"/>
      <c r="IBK24" s="93"/>
      <c r="IBL24" s="93"/>
      <c r="IBM24" s="93"/>
      <c r="IBN24" s="93"/>
      <c r="IBO24" s="93"/>
      <c r="IBP24" s="93"/>
      <c r="IBQ24" s="93"/>
      <c r="IBR24" s="93"/>
      <c r="IBS24" s="93"/>
      <c r="IBT24" s="93"/>
      <c r="IBU24" s="93"/>
      <c r="IBV24" s="93"/>
      <c r="IBW24" s="93"/>
      <c r="IBX24" s="93"/>
      <c r="IBY24" s="93"/>
      <c r="IBZ24" s="93"/>
      <c r="ICA24" s="93"/>
      <c r="ICB24" s="93"/>
      <c r="ICC24" s="93"/>
      <c r="ICD24" s="93"/>
      <c r="ICE24" s="93"/>
      <c r="ICF24" s="93"/>
      <c r="ICG24" s="93"/>
      <c r="ICH24" s="93"/>
      <c r="ICI24" s="93"/>
      <c r="ICJ24" s="93"/>
      <c r="ICK24" s="93"/>
      <c r="ICL24" s="93"/>
      <c r="ICM24" s="93"/>
      <c r="ICN24" s="93"/>
      <c r="ICO24" s="93"/>
      <c r="ICP24" s="93"/>
      <c r="ICQ24" s="93"/>
      <c r="ICR24" s="93"/>
      <c r="ICS24" s="93"/>
      <c r="ICT24" s="93"/>
      <c r="ICU24" s="93"/>
      <c r="ICV24" s="93"/>
      <c r="ICW24" s="93"/>
      <c r="ICX24" s="93"/>
      <c r="ICY24" s="93"/>
      <c r="ICZ24" s="93"/>
      <c r="IDA24" s="93"/>
      <c r="IDB24" s="93"/>
      <c r="IDC24" s="93"/>
      <c r="IDD24" s="93"/>
      <c r="IDE24" s="93"/>
      <c r="IDF24" s="93"/>
      <c r="IDG24" s="93"/>
      <c r="IDH24" s="93"/>
      <c r="IDI24" s="93"/>
      <c r="IDJ24" s="93"/>
      <c r="IDK24" s="93"/>
      <c r="IDL24" s="93"/>
      <c r="IDM24" s="93"/>
      <c r="IDN24" s="93"/>
      <c r="IDO24" s="93"/>
      <c r="IDP24" s="93"/>
      <c r="IDQ24" s="93"/>
      <c r="IDR24" s="93"/>
      <c r="IDS24" s="93"/>
      <c r="IDT24" s="93"/>
      <c r="IDU24" s="93"/>
      <c r="IDV24" s="93"/>
      <c r="IDW24" s="93"/>
      <c r="IDX24" s="93"/>
      <c r="IDY24" s="93"/>
      <c r="IDZ24" s="93"/>
      <c r="IEA24" s="93"/>
      <c r="IEB24" s="93"/>
      <c r="IEC24" s="93"/>
      <c r="IED24" s="93"/>
      <c r="IEE24" s="93"/>
      <c r="IEF24" s="93"/>
      <c r="IEG24" s="93"/>
      <c r="IEH24" s="93"/>
      <c r="IEI24" s="93"/>
      <c r="IEJ24" s="93"/>
      <c r="IEK24" s="93"/>
      <c r="IEL24" s="93"/>
      <c r="IEM24" s="93"/>
      <c r="IEN24" s="93"/>
      <c r="IEO24" s="93"/>
      <c r="IEP24" s="93"/>
      <c r="IEQ24" s="93"/>
      <c r="IER24" s="93"/>
      <c r="IES24" s="93"/>
      <c r="IET24" s="93"/>
      <c r="IEU24" s="93"/>
      <c r="IEV24" s="93"/>
      <c r="IEW24" s="93"/>
      <c r="IEX24" s="93"/>
      <c r="IEY24" s="93"/>
      <c r="IEZ24" s="93"/>
      <c r="IFA24" s="93"/>
      <c r="IFB24" s="93"/>
      <c r="IFC24" s="93"/>
      <c r="IFD24" s="93"/>
      <c r="IFE24" s="93"/>
      <c r="IFF24" s="93"/>
      <c r="IFG24" s="93"/>
      <c r="IFH24" s="93"/>
      <c r="IFI24" s="93"/>
      <c r="IFJ24" s="93"/>
      <c r="IFK24" s="93"/>
      <c r="IFL24" s="93"/>
      <c r="IFM24" s="93"/>
      <c r="IFN24" s="93"/>
      <c r="IFO24" s="93"/>
      <c r="IFP24" s="93"/>
      <c r="IFQ24" s="93"/>
      <c r="IFR24" s="93"/>
      <c r="IFS24" s="93"/>
      <c r="IFT24" s="93"/>
      <c r="IFU24" s="93"/>
      <c r="IFV24" s="93"/>
      <c r="IFW24" s="93"/>
      <c r="IFX24" s="93"/>
      <c r="IFY24" s="93"/>
      <c r="IFZ24" s="93"/>
      <c r="IGA24" s="93"/>
      <c r="IGB24" s="93"/>
      <c r="IGC24" s="93"/>
      <c r="IGD24" s="93"/>
      <c r="IGE24" s="93"/>
      <c r="IGF24" s="93"/>
      <c r="IGG24" s="93"/>
      <c r="IGH24" s="93"/>
      <c r="IGI24" s="93"/>
      <c r="IGJ24" s="93"/>
      <c r="IGK24" s="93"/>
      <c r="IGL24" s="93"/>
      <c r="IGM24" s="93"/>
      <c r="IGN24" s="93"/>
      <c r="IGO24" s="93"/>
      <c r="IGP24" s="93"/>
      <c r="IGQ24" s="93"/>
      <c r="IGR24" s="93"/>
      <c r="IGS24" s="93"/>
      <c r="IGT24" s="93"/>
      <c r="IGU24" s="93"/>
      <c r="IGV24" s="93"/>
      <c r="IGW24" s="93"/>
      <c r="IGX24" s="93"/>
      <c r="IGY24" s="93"/>
      <c r="IGZ24" s="93"/>
      <c r="IHA24" s="93"/>
      <c r="IHB24" s="93"/>
      <c r="IHC24" s="93"/>
      <c r="IHD24" s="93"/>
      <c r="IHE24" s="93"/>
      <c r="IHF24" s="93"/>
      <c r="IHG24" s="93"/>
      <c r="IHH24" s="93"/>
      <c r="IHI24" s="93"/>
      <c r="IHJ24" s="93"/>
      <c r="IHK24" s="93"/>
      <c r="IHL24" s="93"/>
      <c r="IHM24" s="93"/>
      <c r="IHN24" s="93"/>
      <c r="IHO24" s="93"/>
      <c r="IHP24" s="93"/>
      <c r="IHQ24" s="93"/>
      <c r="IHR24" s="93"/>
      <c r="IHS24" s="93"/>
      <c r="IHT24" s="93"/>
      <c r="IHU24" s="93"/>
      <c r="IHV24" s="93"/>
      <c r="IHW24" s="93"/>
      <c r="IHX24" s="93"/>
      <c r="IHY24" s="93"/>
      <c r="IHZ24" s="93"/>
      <c r="IIA24" s="93"/>
      <c r="IIB24" s="93"/>
      <c r="IIC24" s="93"/>
      <c r="IID24" s="93"/>
      <c r="IIE24" s="93"/>
      <c r="IIF24" s="93"/>
      <c r="IIG24" s="93"/>
      <c r="IIH24" s="93"/>
      <c r="III24" s="93"/>
      <c r="IIJ24" s="93"/>
      <c r="IIK24" s="93"/>
      <c r="IIL24" s="93"/>
      <c r="IIM24" s="93"/>
      <c r="IIN24" s="93"/>
      <c r="IIO24" s="93"/>
      <c r="IIP24" s="93"/>
      <c r="IIQ24" s="93"/>
      <c r="IIR24" s="93"/>
      <c r="IIS24" s="93"/>
      <c r="IIT24" s="93"/>
      <c r="IIU24" s="93"/>
      <c r="IIV24" s="93"/>
      <c r="IIW24" s="93"/>
      <c r="IIX24" s="93"/>
      <c r="IIY24" s="93"/>
      <c r="IIZ24" s="93"/>
      <c r="IJA24" s="93"/>
      <c r="IJB24" s="93"/>
      <c r="IJC24" s="93"/>
      <c r="IJD24" s="93"/>
      <c r="IJE24" s="93"/>
      <c r="IJF24" s="93"/>
      <c r="IJG24" s="93"/>
      <c r="IJH24" s="93"/>
      <c r="IJI24" s="93"/>
      <c r="IJJ24" s="93"/>
      <c r="IJK24" s="93"/>
      <c r="IJL24" s="93"/>
      <c r="IJM24" s="93"/>
      <c r="IJN24" s="93"/>
      <c r="IJO24" s="93"/>
      <c r="IJP24" s="93"/>
      <c r="IJQ24" s="93"/>
      <c r="IJR24" s="93"/>
      <c r="IJS24" s="93"/>
      <c r="IJT24" s="93"/>
      <c r="IJU24" s="93"/>
      <c r="IJV24" s="93"/>
      <c r="IJW24" s="93"/>
      <c r="IJX24" s="93"/>
      <c r="IJY24" s="93"/>
      <c r="IJZ24" s="93"/>
      <c r="IKA24" s="93"/>
      <c r="IKB24" s="93"/>
      <c r="IKC24" s="93"/>
      <c r="IKD24" s="93"/>
      <c r="IKE24" s="93"/>
      <c r="IKF24" s="93"/>
      <c r="IKG24" s="93"/>
      <c r="IKH24" s="93"/>
      <c r="IKI24" s="93"/>
      <c r="IKJ24" s="93"/>
      <c r="IKK24" s="93"/>
      <c r="IKL24" s="93"/>
      <c r="IKM24" s="93"/>
      <c r="IKN24" s="93"/>
      <c r="IKO24" s="93"/>
      <c r="IKP24" s="93"/>
      <c r="IKQ24" s="93"/>
      <c r="IKR24" s="93"/>
      <c r="IKS24" s="93"/>
      <c r="IKT24" s="93"/>
      <c r="IKU24" s="93"/>
      <c r="IKV24" s="93"/>
      <c r="IKW24" s="93"/>
      <c r="IKX24" s="93"/>
      <c r="IKY24" s="93"/>
      <c r="IKZ24" s="93"/>
      <c r="ILA24" s="93"/>
      <c r="ILB24" s="93"/>
      <c r="ILC24" s="93"/>
      <c r="ILD24" s="93"/>
      <c r="ILE24" s="93"/>
      <c r="ILF24" s="93"/>
      <c r="ILG24" s="93"/>
      <c r="ILH24" s="93"/>
      <c r="ILI24" s="93"/>
      <c r="ILJ24" s="93"/>
      <c r="ILK24" s="93"/>
      <c r="ILL24" s="93"/>
      <c r="ILM24" s="93"/>
      <c r="ILN24" s="93"/>
      <c r="ILO24" s="93"/>
      <c r="ILP24" s="93"/>
      <c r="ILQ24" s="93"/>
      <c r="ILR24" s="93"/>
      <c r="ILS24" s="93"/>
      <c r="ILT24" s="93"/>
      <c r="ILU24" s="93"/>
      <c r="ILV24" s="93"/>
      <c r="ILW24" s="93"/>
      <c r="ILX24" s="93"/>
      <c r="ILY24" s="93"/>
      <c r="ILZ24" s="93"/>
      <c r="IMA24" s="93"/>
      <c r="IMB24" s="93"/>
      <c r="IMC24" s="93"/>
      <c r="IMD24" s="93"/>
      <c r="IME24" s="93"/>
      <c r="IMF24" s="93"/>
      <c r="IMG24" s="93"/>
      <c r="IMH24" s="93"/>
      <c r="IMI24" s="93"/>
      <c r="IMJ24" s="93"/>
      <c r="IMK24" s="93"/>
      <c r="IML24" s="93"/>
      <c r="IMM24" s="93"/>
      <c r="IMN24" s="93"/>
      <c r="IMO24" s="93"/>
      <c r="IMP24" s="93"/>
      <c r="IMQ24" s="93"/>
      <c r="IMR24" s="93"/>
      <c r="IMS24" s="93"/>
      <c r="IMT24" s="93"/>
      <c r="IMU24" s="93"/>
      <c r="IMV24" s="93"/>
      <c r="IMW24" s="93"/>
      <c r="IMX24" s="93"/>
      <c r="IMY24" s="93"/>
      <c r="IMZ24" s="93"/>
      <c r="INA24" s="93"/>
      <c r="INB24" s="93"/>
      <c r="INC24" s="93"/>
      <c r="IND24" s="93"/>
      <c r="INE24" s="93"/>
      <c r="INF24" s="93"/>
      <c r="ING24" s="93"/>
      <c r="INH24" s="93"/>
      <c r="INI24" s="93"/>
      <c r="INJ24" s="93"/>
      <c r="INK24" s="93"/>
      <c r="INL24" s="93"/>
      <c r="INM24" s="93"/>
      <c r="INN24" s="93"/>
      <c r="INO24" s="93"/>
      <c r="INP24" s="93"/>
      <c r="INQ24" s="93"/>
      <c r="INR24" s="93"/>
      <c r="INS24" s="93"/>
      <c r="INT24" s="93"/>
      <c r="INU24" s="93"/>
      <c r="INV24" s="93"/>
      <c r="INW24" s="93"/>
      <c r="INX24" s="93"/>
      <c r="INY24" s="93"/>
      <c r="INZ24" s="93"/>
      <c r="IOA24" s="93"/>
      <c r="IOB24" s="93"/>
      <c r="IOC24" s="93"/>
      <c r="IOD24" s="93"/>
      <c r="IOE24" s="93"/>
      <c r="IOF24" s="93"/>
      <c r="IOG24" s="93"/>
      <c r="IOH24" s="93"/>
      <c r="IOI24" s="93"/>
      <c r="IOJ24" s="93"/>
      <c r="IOK24" s="93"/>
      <c r="IOL24" s="93"/>
      <c r="IOM24" s="93"/>
      <c r="ION24" s="93"/>
      <c r="IOO24" s="93"/>
      <c r="IOP24" s="93"/>
      <c r="IOQ24" s="93"/>
      <c r="IOR24" s="93"/>
      <c r="IOS24" s="93"/>
      <c r="IOT24" s="93"/>
      <c r="IOU24" s="93"/>
      <c r="IOV24" s="93"/>
      <c r="IOW24" s="93"/>
      <c r="IOX24" s="93"/>
      <c r="IOY24" s="93"/>
      <c r="IOZ24" s="93"/>
      <c r="IPA24" s="93"/>
      <c r="IPB24" s="93"/>
      <c r="IPC24" s="93"/>
      <c r="IPD24" s="93"/>
      <c r="IPE24" s="93"/>
      <c r="IPF24" s="93"/>
      <c r="IPG24" s="93"/>
      <c r="IPH24" s="93"/>
      <c r="IPI24" s="93"/>
      <c r="IPJ24" s="93"/>
      <c r="IPK24" s="93"/>
      <c r="IPL24" s="93"/>
      <c r="IPM24" s="93"/>
      <c r="IPN24" s="93"/>
      <c r="IPO24" s="93"/>
      <c r="IPP24" s="93"/>
      <c r="IPQ24" s="93"/>
      <c r="IPR24" s="93"/>
      <c r="IPS24" s="93"/>
      <c r="IPT24" s="93"/>
      <c r="IPU24" s="93"/>
      <c r="IPV24" s="93"/>
      <c r="IPW24" s="93"/>
      <c r="IPX24" s="93"/>
      <c r="IPY24" s="93"/>
      <c r="IPZ24" s="93"/>
      <c r="IQA24" s="93"/>
      <c r="IQB24" s="93"/>
      <c r="IQC24" s="93"/>
      <c r="IQD24" s="93"/>
      <c r="IQE24" s="93"/>
      <c r="IQF24" s="93"/>
      <c r="IQG24" s="93"/>
      <c r="IQH24" s="93"/>
      <c r="IQI24" s="93"/>
      <c r="IQJ24" s="93"/>
      <c r="IQK24" s="93"/>
      <c r="IQL24" s="93"/>
      <c r="IQM24" s="93"/>
      <c r="IQN24" s="93"/>
      <c r="IQO24" s="93"/>
      <c r="IQP24" s="93"/>
      <c r="IQQ24" s="93"/>
      <c r="IQR24" s="93"/>
      <c r="IQS24" s="93"/>
      <c r="IQT24" s="93"/>
      <c r="IQU24" s="93"/>
      <c r="IQV24" s="93"/>
      <c r="IQW24" s="93"/>
      <c r="IQX24" s="93"/>
      <c r="IQY24" s="93"/>
      <c r="IQZ24" s="93"/>
      <c r="IRA24" s="93"/>
      <c r="IRB24" s="93"/>
      <c r="IRC24" s="93"/>
      <c r="IRD24" s="93"/>
      <c r="IRE24" s="93"/>
      <c r="IRF24" s="93"/>
      <c r="IRG24" s="93"/>
      <c r="IRH24" s="93"/>
      <c r="IRI24" s="93"/>
      <c r="IRJ24" s="93"/>
      <c r="IRK24" s="93"/>
      <c r="IRL24" s="93"/>
      <c r="IRM24" s="93"/>
      <c r="IRN24" s="93"/>
      <c r="IRO24" s="93"/>
      <c r="IRP24" s="93"/>
      <c r="IRQ24" s="93"/>
      <c r="IRR24" s="93"/>
      <c r="IRS24" s="93"/>
      <c r="IRT24" s="93"/>
      <c r="IRU24" s="93"/>
      <c r="IRV24" s="93"/>
      <c r="IRW24" s="93"/>
      <c r="IRX24" s="93"/>
      <c r="IRY24" s="93"/>
      <c r="IRZ24" s="93"/>
      <c r="ISA24" s="93"/>
      <c r="ISB24" s="93"/>
      <c r="ISC24" s="93"/>
      <c r="ISD24" s="93"/>
      <c r="ISE24" s="93"/>
      <c r="ISF24" s="93"/>
      <c r="ISG24" s="93"/>
      <c r="ISH24" s="93"/>
      <c r="ISI24" s="93"/>
      <c r="ISJ24" s="93"/>
      <c r="ISK24" s="93"/>
      <c r="ISL24" s="93"/>
      <c r="ISM24" s="93"/>
      <c r="ISN24" s="93"/>
      <c r="ISO24" s="93"/>
      <c r="ISP24" s="93"/>
      <c r="ISQ24" s="93"/>
      <c r="ISR24" s="93"/>
      <c r="ISS24" s="93"/>
      <c r="IST24" s="93"/>
      <c r="ISU24" s="93"/>
      <c r="ISV24" s="93"/>
      <c r="ISW24" s="93"/>
      <c r="ISX24" s="93"/>
      <c r="ISY24" s="93"/>
      <c r="ISZ24" s="93"/>
      <c r="ITA24" s="93"/>
      <c r="ITB24" s="93"/>
      <c r="ITC24" s="93"/>
      <c r="ITD24" s="93"/>
      <c r="ITE24" s="93"/>
      <c r="ITF24" s="93"/>
      <c r="ITG24" s="93"/>
      <c r="ITH24" s="93"/>
      <c r="ITI24" s="93"/>
      <c r="ITJ24" s="93"/>
      <c r="ITK24" s="93"/>
      <c r="ITL24" s="93"/>
      <c r="ITM24" s="93"/>
      <c r="ITN24" s="93"/>
      <c r="ITO24" s="93"/>
      <c r="ITP24" s="93"/>
      <c r="ITQ24" s="93"/>
      <c r="ITR24" s="93"/>
      <c r="ITS24" s="93"/>
      <c r="ITT24" s="93"/>
      <c r="ITU24" s="93"/>
      <c r="ITV24" s="93"/>
      <c r="ITW24" s="93"/>
      <c r="ITX24" s="93"/>
      <c r="ITY24" s="93"/>
      <c r="ITZ24" s="93"/>
      <c r="IUA24" s="93"/>
      <c r="IUB24" s="93"/>
      <c r="IUC24" s="93"/>
      <c r="IUD24" s="93"/>
      <c r="IUE24" s="93"/>
      <c r="IUF24" s="93"/>
      <c r="IUG24" s="93"/>
      <c r="IUH24" s="93"/>
      <c r="IUI24" s="93"/>
      <c r="IUJ24" s="93"/>
      <c r="IUK24" s="93"/>
      <c r="IUL24" s="93"/>
      <c r="IUM24" s="93"/>
      <c r="IUN24" s="93"/>
      <c r="IUO24" s="93"/>
      <c r="IUP24" s="93"/>
      <c r="IUQ24" s="93"/>
      <c r="IUR24" s="93"/>
      <c r="IUS24" s="93"/>
      <c r="IUT24" s="93"/>
      <c r="IUU24" s="93"/>
      <c r="IUV24" s="93"/>
      <c r="IUW24" s="93"/>
      <c r="IUX24" s="93"/>
      <c r="IUY24" s="93"/>
      <c r="IUZ24" s="93"/>
      <c r="IVA24" s="93"/>
      <c r="IVB24" s="93"/>
      <c r="IVC24" s="93"/>
      <c r="IVD24" s="93"/>
      <c r="IVE24" s="93"/>
      <c r="IVF24" s="93"/>
      <c r="IVG24" s="93"/>
      <c r="IVH24" s="93"/>
      <c r="IVI24" s="93"/>
      <c r="IVJ24" s="93"/>
      <c r="IVK24" s="93"/>
      <c r="IVL24" s="93"/>
      <c r="IVM24" s="93"/>
      <c r="IVN24" s="93"/>
      <c r="IVO24" s="93"/>
      <c r="IVP24" s="93"/>
      <c r="IVQ24" s="93"/>
      <c r="IVR24" s="93"/>
      <c r="IVS24" s="93"/>
      <c r="IVT24" s="93"/>
      <c r="IVU24" s="93"/>
      <c r="IVV24" s="93"/>
      <c r="IVW24" s="93"/>
      <c r="IVX24" s="93"/>
      <c r="IVY24" s="93"/>
      <c r="IVZ24" s="93"/>
      <c r="IWA24" s="93"/>
      <c r="IWB24" s="93"/>
      <c r="IWC24" s="93"/>
      <c r="IWD24" s="93"/>
      <c r="IWE24" s="93"/>
      <c r="IWF24" s="93"/>
      <c r="IWG24" s="93"/>
      <c r="IWH24" s="93"/>
      <c r="IWI24" s="93"/>
      <c r="IWJ24" s="93"/>
      <c r="IWK24" s="93"/>
      <c r="IWL24" s="93"/>
      <c r="IWM24" s="93"/>
      <c r="IWN24" s="93"/>
      <c r="IWO24" s="93"/>
      <c r="IWP24" s="93"/>
      <c r="IWQ24" s="93"/>
      <c r="IWR24" s="93"/>
      <c r="IWS24" s="93"/>
      <c r="IWT24" s="93"/>
      <c r="IWU24" s="93"/>
      <c r="IWV24" s="93"/>
      <c r="IWW24" s="93"/>
      <c r="IWX24" s="93"/>
      <c r="IWY24" s="93"/>
      <c r="IWZ24" s="93"/>
      <c r="IXA24" s="93"/>
      <c r="IXB24" s="93"/>
      <c r="IXC24" s="93"/>
      <c r="IXD24" s="93"/>
      <c r="IXE24" s="93"/>
      <c r="IXF24" s="93"/>
      <c r="IXG24" s="93"/>
      <c r="IXH24" s="93"/>
      <c r="IXI24" s="93"/>
      <c r="IXJ24" s="93"/>
      <c r="IXK24" s="93"/>
      <c r="IXL24" s="93"/>
      <c r="IXM24" s="93"/>
      <c r="IXN24" s="93"/>
      <c r="IXO24" s="93"/>
      <c r="IXP24" s="93"/>
      <c r="IXQ24" s="93"/>
      <c r="IXR24" s="93"/>
      <c r="IXS24" s="93"/>
      <c r="IXT24" s="93"/>
      <c r="IXU24" s="93"/>
      <c r="IXV24" s="93"/>
      <c r="IXW24" s="93"/>
      <c r="IXX24" s="93"/>
      <c r="IXY24" s="93"/>
      <c r="IXZ24" s="93"/>
      <c r="IYA24" s="93"/>
      <c r="IYB24" s="93"/>
      <c r="IYC24" s="93"/>
      <c r="IYD24" s="93"/>
      <c r="IYE24" s="93"/>
      <c r="IYF24" s="93"/>
      <c r="IYG24" s="93"/>
      <c r="IYH24" s="93"/>
      <c r="IYI24" s="93"/>
      <c r="IYJ24" s="93"/>
      <c r="IYK24" s="93"/>
      <c r="IYL24" s="93"/>
      <c r="IYM24" s="93"/>
      <c r="IYN24" s="93"/>
      <c r="IYO24" s="93"/>
      <c r="IYP24" s="93"/>
      <c r="IYQ24" s="93"/>
      <c r="IYR24" s="93"/>
      <c r="IYS24" s="93"/>
      <c r="IYT24" s="93"/>
      <c r="IYU24" s="93"/>
      <c r="IYV24" s="93"/>
      <c r="IYW24" s="93"/>
      <c r="IYX24" s="93"/>
      <c r="IYY24" s="93"/>
      <c r="IYZ24" s="93"/>
      <c r="IZA24" s="93"/>
      <c r="IZB24" s="93"/>
      <c r="IZC24" s="93"/>
      <c r="IZD24" s="93"/>
      <c r="IZE24" s="93"/>
      <c r="IZF24" s="93"/>
      <c r="IZG24" s="93"/>
      <c r="IZH24" s="93"/>
      <c r="IZI24" s="93"/>
      <c r="IZJ24" s="93"/>
      <c r="IZK24" s="93"/>
      <c r="IZL24" s="93"/>
      <c r="IZM24" s="93"/>
      <c r="IZN24" s="93"/>
      <c r="IZO24" s="93"/>
      <c r="IZP24" s="93"/>
      <c r="IZQ24" s="93"/>
      <c r="IZR24" s="93"/>
      <c r="IZS24" s="93"/>
      <c r="IZT24" s="93"/>
      <c r="IZU24" s="93"/>
      <c r="IZV24" s="93"/>
      <c r="IZW24" s="93"/>
      <c r="IZX24" s="93"/>
      <c r="IZY24" s="93"/>
      <c r="IZZ24" s="93"/>
      <c r="JAA24" s="93"/>
      <c r="JAB24" s="93"/>
      <c r="JAC24" s="93"/>
      <c r="JAD24" s="93"/>
      <c r="JAE24" s="93"/>
      <c r="JAF24" s="93"/>
      <c r="JAG24" s="93"/>
      <c r="JAH24" s="93"/>
      <c r="JAI24" s="93"/>
      <c r="JAJ24" s="93"/>
      <c r="JAK24" s="93"/>
      <c r="JAL24" s="93"/>
      <c r="JAM24" s="93"/>
      <c r="JAN24" s="93"/>
      <c r="JAO24" s="93"/>
      <c r="JAP24" s="93"/>
      <c r="JAQ24" s="93"/>
      <c r="JAR24" s="93"/>
      <c r="JAS24" s="93"/>
      <c r="JAT24" s="93"/>
      <c r="JAU24" s="93"/>
      <c r="JAV24" s="93"/>
      <c r="JAW24" s="93"/>
      <c r="JAX24" s="93"/>
      <c r="JAY24" s="93"/>
      <c r="JAZ24" s="93"/>
      <c r="JBA24" s="93"/>
      <c r="JBB24" s="93"/>
      <c r="JBC24" s="93"/>
      <c r="JBD24" s="93"/>
      <c r="JBE24" s="93"/>
      <c r="JBF24" s="93"/>
      <c r="JBG24" s="93"/>
      <c r="JBH24" s="93"/>
      <c r="JBI24" s="93"/>
      <c r="JBJ24" s="93"/>
      <c r="JBK24" s="93"/>
      <c r="JBL24" s="93"/>
      <c r="JBM24" s="93"/>
      <c r="JBN24" s="93"/>
      <c r="JBO24" s="93"/>
      <c r="JBP24" s="93"/>
      <c r="JBQ24" s="93"/>
      <c r="JBR24" s="93"/>
      <c r="JBS24" s="93"/>
      <c r="JBT24" s="93"/>
      <c r="JBU24" s="93"/>
      <c r="JBV24" s="93"/>
      <c r="JBW24" s="93"/>
      <c r="JBX24" s="93"/>
      <c r="JBY24" s="93"/>
      <c r="JBZ24" s="93"/>
      <c r="JCA24" s="93"/>
      <c r="JCB24" s="93"/>
      <c r="JCC24" s="93"/>
      <c r="JCD24" s="93"/>
      <c r="JCE24" s="93"/>
      <c r="JCF24" s="93"/>
      <c r="JCG24" s="93"/>
      <c r="JCH24" s="93"/>
      <c r="JCI24" s="93"/>
      <c r="JCJ24" s="93"/>
      <c r="JCK24" s="93"/>
      <c r="JCL24" s="93"/>
      <c r="JCM24" s="93"/>
      <c r="JCN24" s="93"/>
      <c r="JCO24" s="93"/>
      <c r="JCP24" s="93"/>
      <c r="JCQ24" s="93"/>
      <c r="JCR24" s="93"/>
      <c r="JCS24" s="93"/>
      <c r="JCT24" s="93"/>
      <c r="JCU24" s="93"/>
      <c r="JCV24" s="93"/>
      <c r="JCW24" s="93"/>
      <c r="JCX24" s="93"/>
      <c r="JCY24" s="93"/>
      <c r="JCZ24" s="93"/>
      <c r="JDA24" s="93"/>
      <c r="JDB24" s="93"/>
      <c r="JDC24" s="93"/>
      <c r="JDD24" s="93"/>
      <c r="JDE24" s="93"/>
      <c r="JDF24" s="93"/>
      <c r="JDG24" s="93"/>
      <c r="JDH24" s="93"/>
      <c r="JDI24" s="93"/>
      <c r="JDJ24" s="93"/>
      <c r="JDK24" s="93"/>
      <c r="JDL24" s="93"/>
      <c r="JDM24" s="93"/>
      <c r="JDN24" s="93"/>
      <c r="JDO24" s="93"/>
      <c r="JDP24" s="93"/>
      <c r="JDQ24" s="93"/>
      <c r="JDR24" s="93"/>
      <c r="JDS24" s="93"/>
      <c r="JDT24" s="93"/>
      <c r="JDU24" s="93"/>
      <c r="JDV24" s="93"/>
      <c r="JDW24" s="93"/>
      <c r="JDX24" s="93"/>
      <c r="JDY24" s="93"/>
      <c r="JDZ24" s="93"/>
      <c r="JEA24" s="93"/>
      <c r="JEB24" s="93"/>
      <c r="JEC24" s="93"/>
      <c r="JED24" s="93"/>
      <c r="JEE24" s="93"/>
      <c r="JEF24" s="93"/>
      <c r="JEG24" s="93"/>
      <c r="JEH24" s="93"/>
      <c r="JEI24" s="93"/>
      <c r="JEJ24" s="93"/>
      <c r="JEK24" s="93"/>
      <c r="JEL24" s="93"/>
      <c r="JEM24" s="93"/>
      <c r="JEN24" s="93"/>
      <c r="JEO24" s="93"/>
      <c r="JEP24" s="93"/>
      <c r="JEQ24" s="93"/>
      <c r="JER24" s="93"/>
      <c r="JES24" s="93"/>
      <c r="JET24" s="93"/>
      <c r="JEU24" s="93"/>
      <c r="JEV24" s="93"/>
      <c r="JEW24" s="93"/>
      <c r="JEX24" s="93"/>
      <c r="JEY24" s="93"/>
      <c r="JEZ24" s="93"/>
      <c r="JFA24" s="93"/>
      <c r="JFB24" s="93"/>
      <c r="JFC24" s="93"/>
      <c r="JFD24" s="93"/>
      <c r="JFE24" s="93"/>
      <c r="JFF24" s="93"/>
      <c r="JFG24" s="93"/>
      <c r="JFH24" s="93"/>
      <c r="JFI24" s="93"/>
      <c r="JFJ24" s="93"/>
      <c r="JFK24" s="93"/>
      <c r="JFL24" s="93"/>
      <c r="JFM24" s="93"/>
      <c r="JFN24" s="93"/>
      <c r="JFO24" s="93"/>
      <c r="JFP24" s="93"/>
      <c r="JFQ24" s="93"/>
      <c r="JFR24" s="93"/>
      <c r="JFS24" s="93"/>
      <c r="JFT24" s="93"/>
      <c r="JFU24" s="93"/>
      <c r="JFV24" s="93"/>
      <c r="JFW24" s="93"/>
      <c r="JFX24" s="93"/>
      <c r="JFY24" s="93"/>
      <c r="JFZ24" s="93"/>
      <c r="JGA24" s="93"/>
      <c r="JGB24" s="93"/>
      <c r="JGC24" s="93"/>
      <c r="JGD24" s="93"/>
      <c r="JGE24" s="93"/>
      <c r="JGF24" s="93"/>
      <c r="JGG24" s="93"/>
      <c r="JGH24" s="93"/>
      <c r="JGI24" s="93"/>
      <c r="JGJ24" s="93"/>
      <c r="JGK24" s="93"/>
      <c r="JGL24" s="93"/>
      <c r="JGM24" s="93"/>
      <c r="JGN24" s="93"/>
      <c r="JGO24" s="93"/>
      <c r="JGP24" s="93"/>
      <c r="JGQ24" s="93"/>
      <c r="JGR24" s="93"/>
      <c r="JGS24" s="93"/>
      <c r="JGT24" s="93"/>
      <c r="JGU24" s="93"/>
      <c r="JGV24" s="93"/>
      <c r="JGW24" s="93"/>
      <c r="JGX24" s="93"/>
      <c r="JGY24" s="93"/>
      <c r="JGZ24" s="93"/>
      <c r="JHA24" s="93"/>
      <c r="JHB24" s="93"/>
      <c r="JHC24" s="93"/>
      <c r="JHD24" s="93"/>
      <c r="JHE24" s="93"/>
      <c r="JHF24" s="93"/>
      <c r="JHG24" s="93"/>
      <c r="JHH24" s="93"/>
      <c r="JHI24" s="93"/>
      <c r="JHJ24" s="93"/>
      <c r="JHK24" s="93"/>
      <c r="JHL24" s="93"/>
      <c r="JHM24" s="93"/>
      <c r="JHN24" s="93"/>
      <c r="JHO24" s="93"/>
      <c r="JHP24" s="93"/>
      <c r="JHQ24" s="93"/>
      <c r="JHR24" s="93"/>
      <c r="JHS24" s="93"/>
      <c r="JHT24" s="93"/>
      <c r="JHU24" s="93"/>
      <c r="JHV24" s="93"/>
      <c r="JHW24" s="93"/>
      <c r="JHX24" s="93"/>
      <c r="JHY24" s="93"/>
      <c r="JHZ24" s="93"/>
      <c r="JIA24" s="93"/>
      <c r="JIB24" s="93"/>
      <c r="JIC24" s="93"/>
      <c r="JID24" s="93"/>
      <c r="JIE24" s="93"/>
      <c r="JIF24" s="93"/>
      <c r="JIG24" s="93"/>
      <c r="JIH24" s="93"/>
      <c r="JII24" s="93"/>
      <c r="JIJ24" s="93"/>
      <c r="JIK24" s="93"/>
      <c r="JIL24" s="93"/>
      <c r="JIM24" s="93"/>
      <c r="JIN24" s="93"/>
      <c r="JIO24" s="93"/>
      <c r="JIP24" s="93"/>
      <c r="JIQ24" s="93"/>
      <c r="JIR24" s="93"/>
      <c r="JIS24" s="93"/>
      <c r="JIT24" s="93"/>
      <c r="JIU24" s="93"/>
      <c r="JIV24" s="93"/>
      <c r="JIW24" s="93"/>
      <c r="JIX24" s="93"/>
      <c r="JIY24" s="93"/>
      <c r="JIZ24" s="93"/>
      <c r="JJA24" s="93"/>
      <c r="JJB24" s="93"/>
      <c r="JJC24" s="93"/>
      <c r="JJD24" s="93"/>
      <c r="JJE24" s="93"/>
      <c r="JJF24" s="93"/>
      <c r="JJG24" s="93"/>
      <c r="JJH24" s="93"/>
      <c r="JJI24" s="93"/>
      <c r="JJJ24" s="93"/>
      <c r="JJK24" s="93"/>
      <c r="JJL24" s="93"/>
      <c r="JJM24" s="93"/>
      <c r="JJN24" s="93"/>
      <c r="JJO24" s="93"/>
      <c r="JJP24" s="93"/>
      <c r="JJQ24" s="93"/>
      <c r="JJR24" s="93"/>
      <c r="JJS24" s="93"/>
      <c r="JJT24" s="93"/>
      <c r="JJU24" s="93"/>
      <c r="JJV24" s="93"/>
      <c r="JJW24" s="93"/>
      <c r="JJX24" s="93"/>
      <c r="JJY24" s="93"/>
      <c r="JJZ24" s="93"/>
      <c r="JKA24" s="93"/>
      <c r="JKB24" s="93"/>
      <c r="JKC24" s="93"/>
      <c r="JKD24" s="93"/>
      <c r="JKE24" s="93"/>
      <c r="JKF24" s="93"/>
      <c r="JKG24" s="93"/>
      <c r="JKH24" s="93"/>
      <c r="JKI24" s="93"/>
      <c r="JKJ24" s="93"/>
      <c r="JKK24" s="93"/>
      <c r="JKL24" s="93"/>
      <c r="JKM24" s="93"/>
      <c r="JKN24" s="93"/>
      <c r="JKO24" s="93"/>
      <c r="JKP24" s="93"/>
      <c r="JKQ24" s="93"/>
      <c r="JKR24" s="93"/>
      <c r="JKS24" s="93"/>
      <c r="JKT24" s="93"/>
      <c r="JKU24" s="93"/>
      <c r="JKV24" s="93"/>
      <c r="JKW24" s="93"/>
      <c r="JKX24" s="93"/>
      <c r="JKY24" s="93"/>
      <c r="JKZ24" s="93"/>
      <c r="JLA24" s="93"/>
      <c r="JLB24" s="93"/>
      <c r="JLC24" s="93"/>
      <c r="JLD24" s="93"/>
      <c r="JLE24" s="93"/>
      <c r="JLF24" s="93"/>
      <c r="JLG24" s="93"/>
      <c r="JLH24" s="93"/>
      <c r="JLI24" s="93"/>
      <c r="JLJ24" s="93"/>
      <c r="JLK24" s="93"/>
      <c r="JLL24" s="93"/>
      <c r="JLM24" s="93"/>
      <c r="JLN24" s="93"/>
      <c r="JLO24" s="93"/>
      <c r="JLP24" s="93"/>
      <c r="JLQ24" s="93"/>
      <c r="JLR24" s="93"/>
      <c r="JLS24" s="93"/>
      <c r="JLT24" s="93"/>
      <c r="JLU24" s="93"/>
      <c r="JLV24" s="93"/>
      <c r="JLW24" s="93"/>
      <c r="JLX24" s="93"/>
      <c r="JLY24" s="93"/>
      <c r="JLZ24" s="93"/>
      <c r="JMA24" s="93"/>
      <c r="JMB24" s="93"/>
      <c r="JMC24" s="93"/>
      <c r="JMD24" s="93"/>
      <c r="JME24" s="93"/>
      <c r="JMF24" s="93"/>
      <c r="JMG24" s="93"/>
      <c r="JMH24" s="93"/>
      <c r="JMI24" s="93"/>
      <c r="JMJ24" s="93"/>
      <c r="JMK24" s="93"/>
      <c r="JML24" s="93"/>
      <c r="JMM24" s="93"/>
      <c r="JMN24" s="93"/>
      <c r="JMO24" s="93"/>
      <c r="JMP24" s="93"/>
      <c r="JMQ24" s="93"/>
      <c r="JMR24" s="93"/>
      <c r="JMS24" s="93"/>
      <c r="JMT24" s="93"/>
      <c r="JMU24" s="93"/>
      <c r="JMV24" s="93"/>
      <c r="JMW24" s="93"/>
      <c r="JMX24" s="93"/>
      <c r="JMY24" s="93"/>
      <c r="JMZ24" s="93"/>
      <c r="JNA24" s="93"/>
      <c r="JNB24" s="93"/>
      <c r="JNC24" s="93"/>
      <c r="JND24" s="93"/>
      <c r="JNE24" s="93"/>
      <c r="JNF24" s="93"/>
      <c r="JNG24" s="93"/>
      <c r="JNH24" s="93"/>
      <c r="JNI24" s="93"/>
      <c r="JNJ24" s="93"/>
      <c r="JNK24" s="93"/>
      <c r="JNL24" s="93"/>
      <c r="JNM24" s="93"/>
      <c r="JNN24" s="93"/>
      <c r="JNO24" s="93"/>
      <c r="JNP24" s="93"/>
      <c r="JNQ24" s="93"/>
      <c r="JNR24" s="93"/>
      <c r="JNS24" s="93"/>
      <c r="JNT24" s="93"/>
      <c r="JNU24" s="93"/>
      <c r="JNV24" s="93"/>
      <c r="JNW24" s="93"/>
      <c r="JNX24" s="93"/>
      <c r="JNY24" s="93"/>
      <c r="JNZ24" s="93"/>
      <c r="JOA24" s="93"/>
      <c r="JOB24" s="93"/>
      <c r="JOC24" s="93"/>
      <c r="JOD24" s="93"/>
      <c r="JOE24" s="93"/>
      <c r="JOF24" s="93"/>
      <c r="JOG24" s="93"/>
      <c r="JOH24" s="93"/>
      <c r="JOI24" s="93"/>
      <c r="JOJ24" s="93"/>
      <c r="JOK24" s="93"/>
      <c r="JOL24" s="93"/>
      <c r="JOM24" s="93"/>
      <c r="JON24" s="93"/>
      <c r="JOO24" s="93"/>
      <c r="JOP24" s="93"/>
      <c r="JOQ24" s="93"/>
      <c r="JOR24" s="93"/>
      <c r="JOS24" s="93"/>
      <c r="JOT24" s="93"/>
      <c r="JOU24" s="93"/>
      <c r="JOV24" s="93"/>
      <c r="JOW24" s="93"/>
      <c r="JOX24" s="93"/>
      <c r="JOY24" s="93"/>
      <c r="JOZ24" s="93"/>
      <c r="JPA24" s="93"/>
      <c r="JPB24" s="93"/>
      <c r="JPC24" s="93"/>
      <c r="JPD24" s="93"/>
      <c r="JPE24" s="93"/>
      <c r="JPF24" s="93"/>
      <c r="JPG24" s="93"/>
      <c r="JPH24" s="93"/>
      <c r="JPI24" s="93"/>
      <c r="JPJ24" s="93"/>
      <c r="JPK24" s="93"/>
      <c r="JPL24" s="93"/>
      <c r="JPM24" s="93"/>
      <c r="JPN24" s="93"/>
      <c r="JPO24" s="93"/>
      <c r="JPP24" s="93"/>
      <c r="JPQ24" s="93"/>
      <c r="JPR24" s="93"/>
      <c r="JPS24" s="93"/>
      <c r="JPT24" s="93"/>
      <c r="JPU24" s="93"/>
      <c r="JPV24" s="93"/>
      <c r="JPW24" s="93"/>
      <c r="JPX24" s="93"/>
      <c r="JPY24" s="93"/>
      <c r="JPZ24" s="93"/>
      <c r="JQA24" s="93"/>
      <c r="JQB24" s="93"/>
      <c r="JQC24" s="93"/>
      <c r="JQD24" s="93"/>
      <c r="JQE24" s="93"/>
      <c r="JQF24" s="93"/>
      <c r="JQG24" s="93"/>
      <c r="JQH24" s="93"/>
      <c r="JQI24" s="93"/>
      <c r="JQJ24" s="93"/>
      <c r="JQK24" s="93"/>
      <c r="JQL24" s="93"/>
      <c r="JQM24" s="93"/>
      <c r="JQN24" s="93"/>
      <c r="JQO24" s="93"/>
      <c r="JQP24" s="93"/>
      <c r="JQQ24" s="93"/>
      <c r="JQR24" s="93"/>
      <c r="JQS24" s="93"/>
      <c r="JQT24" s="93"/>
      <c r="JQU24" s="93"/>
      <c r="JQV24" s="93"/>
      <c r="JQW24" s="93"/>
      <c r="JQX24" s="93"/>
      <c r="JQY24" s="93"/>
      <c r="JQZ24" s="93"/>
      <c r="JRA24" s="93"/>
      <c r="JRB24" s="93"/>
      <c r="JRC24" s="93"/>
      <c r="JRD24" s="93"/>
      <c r="JRE24" s="93"/>
      <c r="JRF24" s="93"/>
      <c r="JRG24" s="93"/>
      <c r="JRH24" s="93"/>
      <c r="JRI24" s="93"/>
      <c r="JRJ24" s="93"/>
      <c r="JRK24" s="93"/>
      <c r="JRL24" s="93"/>
      <c r="JRM24" s="93"/>
      <c r="JRN24" s="93"/>
      <c r="JRO24" s="93"/>
      <c r="JRP24" s="93"/>
      <c r="JRQ24" s="93"/>
      <c r="JRR24" s="93"/>
      <c r="JRS24" s="93"/>
      <c r="JRT24" s="93"/>
      <c r="JRU24" s="93"/>
      <c r="JRV24" s="93"/>
      <c r="JRW24" s="93"/>
      <c r="JRX24" s="93"/>
      <c r="JRY24" s="93"/>
      <c r="JRZ24" s="93"/>
      <c r="JSA24" s="93"/>
      <c r="JSB24" s="93"/>
      <c r="JSC24" s="93"/>
      <c r="JSD24" s="93"/>
      <c r="JSE24" s="93"/>
      <c r="JSF24" s="93"/>
      <c r="JSG24" s="93"/>
      <c r="JSH24" s="93"/>
      <c r="JSI24" s="93"/>
      <c r="JSJ24" s="93"/>
      <c r="JSK24" s="93"/>
      <c r="JSL24" s="93"/>
      <c r="JSM24" s="93"/>
      <c r="JSN24" s="93"/>
      <c r="JSO24" s="93"/>
      <c r="JSP24" s="93"/>
      <c r="JSQ24" s="93"/>
      <c r="JSR24" s="93"/>
      <c r="JSS24" s="93"/>
      <c r="JST24" s="93"/>
      <c r="JSU24" s="93"/>
      <c r="JSV24" s="93"/>
      <c r="JSW24" s="93"/>
      <c r="JSX24" s="93"/>
      <c r="JSY24" s="93"/>
      <c r="JSZ24" s="93"/>
      <c r="JTA24" s="93"/>
      <c r="JTB24" s="93"/>
      <c r="JTC24" s="93"/>
      <c r="JTD24" s="93"/>
      <c r="JTE24" s="93"/>
      <c r="JTF24" s="93"/>
      <c r="JTG24" s="93"/>
      <c r="JTH24" s="93"/>
      <c r="JTI24" s="93"/>
      <c r="JTJ24" s="93"/>
      <c r="JTK24" s="93"/>
      <c r="JTL24" s="93"/>
      <c r="JTM24" s="93"/>
      <c r="JTN24" s="93"/>
      <c r="JTO24" s="93"/>
      <c r="JTP24" s="93"/>
      <c r="JTQ24" s="93"/>
      <c r="JTR24" s="93"/>
      <c r="JTS24" s="93"/>
      <c r="JTT24" s="93"/>
      <c r="JTU24" s="93"/>
      <c r="JTV24" s="93"/>
      <c r="JTW24" s="93"/>
      <c r="JTX24" s="93"/>
      <c r="JTY24" s="93"/>
      <c r="JTZ24" s="93"/>
      <c r="JUA24" s="93"/>
      <c r="JUB24" s="93"/>
      <c r="JUC24" s="93"/>
      <c r="JUD24" s="93"/>
      <c r="JUE24" s="93"/>
      <c r="JUF24" s="93"/>
      <c r="JUG24" s="93"/>
      <c r="JUH24" s="93"/>
      <c r="JUI24" s="93"/>
      <c r="JUJ24" s="93"/>
      <c r="JUK24" s="93"/>
      <c r="JUL24" s="93"/>
      <c r="JUM24" s="93"/>
      <c r="JUN24" s="93"/>
      <c r="JUO24" s="93"/>
      <c r="JUP24" s="93"/>
      <c r="JUQ24" s="93"/>
      <c r="JUR24" s="93"/>
      <c r="JUS24" s="93"/>
      <c r="JUT24" s="93"/>
      <c r="JUU24" s="93"/>
      <c r="JUV24" s="93"/>
      <c r="JUW24" s="93"/>
      <c r="JUX24" s="93"/>
      <c r="JUY24" s="93"/>
      <c r="JUZ24" s="93"/>
      <c r="JVA24" s="93"/>
      <c r="JVB24" s="93"/>
      <c r="JVC24" s="93"/>
      <c r="JVD24" s="93"/>
      <c r="JVE24" s="93"/>
      <c r="JVF24" s="93"/>
      <c r="JVG24" s="93"/>
      <c r="JVH24" s="93"/>
      <c r="JVI24" s="93"/>
      <c r="JVJ24" s="93"/>
      <c r="JVK24" s="93"/>
      <c r="JVL24" s="93"/>
      <c r="JVM24" s="93"/>
      <c r="JVN24" s="93"/>
      <c r="JVO24" s="93"/>
      <c r="JVP24" s="93"/>
      <c r="JVQ24" s="93"/>
      <c r="JVR24" s="93"/>
      <c r="JVS24" s="93"/>
      <c r="JVT24" s="93"/>
      <c r="JVU24" s="93"/>
      <c r="JVV24" s="93"/>
      <c r="JVW24" s="93"/>
      <c r="JVX24" s="93"/>
      <c r="JVY24" s="93"/>
      <c r="JVZ24" s="93"/>
      <c r="JWA24" s="93"/>
      <c r="JWB24" s="93"/>
      <c r="JWC24" s="93"/>
      <c r="JWD24" s="93"/>
      <c r="JWE24" s="93"/>
      <c r="JWF24" s="93"/>
      <c r="JWG24" s="93"/>
      <c r="JWH24" s="93"/>
      <c r="JWI24" s="93"/>
      <c r="JWJ24" s="93"/>
      <c r="JWK24" s="93"/>
      <c r="JWL24" s="93"/>
      <c r="JWM24" s="93"/>
      <c r="JWN24" s="93"/>
      <c r="JWO24" s="93"/>
      <c r="JWP24" s="93"/>
      <c r="JWQ24" s="93"/>
      <c r="JWR24" s="93"/>
      <c r="JWS24" s="93"/>
      <c r="JWT24" s="93"/>
      <c r="JWU24" s="93"/>
      <c r="JWV24" s="93"/>
      <c r="JWW24" s="93"/>
      <c r="JWX24" s="93"/>
      <c r="JWY24" s="93"/>
      <c r="JWZ24" s="93"/>
      <c r="JXA24" s="93"/>
      <c r="JXB24" s="93"/>
      <c r="JXC24" s="93"/>
      <c r="JXD24" s="93"/>
      <c r="JXE24" s="93"/>
      <c r="JXF24" s="93"/>
      <c r="JXG24" s="93"/>
      <c r="JXH24" s="93"/>
      <c r="JXI24" s="93"/>
      <c r="JXJ24" s="93"/>
      <c r="JXK24" s="93"/>
      <c r="JXL24" s="93"/>
      <c r="JXM24" s="93"/>
      <c r="JXN24" s="93"/>
      <c r="JXO24" s="93"/>
      <c r="JXP24" s="93"/>
      <c r="JXQ24" s="93"/>
      <c r="JXR24" s="93"/>
      <c r="JXS24" s="93"/>
      <c r="JXT24" s="93"/>
      <c r="JXU24" s="93"/>
      <c r="JXV24" s="93"/>
      <c r="JXW24" s="93"/>
      <c r="JXX24" s="93"/>
      <c r="JXY24" s="93"/>
      <c r="JXZ24" s="93"/>
      <c r="JYA24" s="93"/>
      <c r="JYB24" s="93"/>
      <c r="JYC24" s="93"/>
      <c r="JYD24" s="93"/>
      <c r="JYE24" s="93"/>
      <c r="JYF24" s="93"/>
      <c r="JYG24" s="93"/>
      <c r="JYH24" s="93"/>
      <c r="JYI24" s="93"/>
      <c r="JYJ24" s="93"/>
      <c r="JYK24" s="93"/>
      <c r="JYL24" s="93"/>
      <c r="JYM24" s="93"/>
      <c r="JYN24" s="93"/>
      <c r="JYO24" s="93"/>
      <c r="JYP24" s="93"/>
      <c r="JYQ24" s="93"/>
      <c r="JYR24" s="93"/>
      <c r="JYS24" s="93"/>
      <c r="JYT24" s="93"/>
      <c r="JYU24" s="93"/>
      <c r="JYV24" s="93"/>
      <c r="JYW24" s="93"/>
      <c r="JYX24" s="93"/>
      <c r="JYY24" s="93"/>
      <c r="JYZ24" s="93"/>
      <c r="JZA24" s="93"/>
      <c r="JZB24" s="93"/>
      <c r="JZC24" s="93"/>
      <c r="JZD24" s="93"/>
      <c r="JZE24" s="93"/>
      <c r="JZF24" s="93"/>
      <c r="JZG24" s="93"/>
      <c r="JZH24" s="93"/>
      <c r="JZI24" s="93"/>
      <c r="JZJ24" s="93"/>
      <c r="JZK24" s="93"/>
      <c r="JZL24" s="93"/>
      <c r="JZM24" s="93"/>
      <c r="JZN24" s="93"/>
      <c r="JZO24" s="93"/>
      <c r="JZP24" s="93"/>
      <c r="JZQ24" s="93"/>
      <c r="JZR24" s="93"/>
      <c r="JZS24" s="93"/>
      <c r="JZT24" s="93"/>
      <c r="JZU24" s="93"/>
      <c r="JZV24" s="93"/>
      <c r="JZW24" s="93"/>
      <c r="JZX24" s="93"/>
      <c r="JZY24" s="93"/>
      <c r="JZZ24" s="93"/>
      <c r="KAA24" s="93"/>
      <c r="KAB24" s="93"/>
      <c r="KAC24" s="93"/>
      <c r="KAD24" s="93"/>
      <c r="KAE24" s="93"/>
      <c r="KAF24" s="93"/>
      <c r="KAG24" s="93"/>
      <c r="KAH24" s="93"/>
      <c r="KAI24" s="93"/>
      <c r="KAJ24" s="93"/>
      <c r="KAK24" s="93"/>
      <c r="KAL24" s="93"/>
      <c r="KAM24" s="93"/>
      <c r="KAN24" s="93"/>
      <c r="KAO24" s="93"/>
      <c r="KAP24" s="93"/>
      <c r="KAQ24" s="93"/>
      <c r="KAR24" s="93"/>
      <c r="KAS24" s="93"/>
      <c r="KAT24" s="93"/>
      <c r="KAU24" s="93"/>
      <c r="KAV24" s="93"/>
      <c r="KAW24" s="93"/>
      <c r="KAX24" s="93"/>
      <c r="KAY24" s="93"/>
      <c r="KAZ24" s="93"/>
      <c r="KBA24" s="93"/>
      <c r="KBB24" s="93"/>
      <c r="KBC24" s="93"/>
      <c r="KBD24" s="93"/>
      <c r="KBE24" s="93"/>
      <c r="KBF24" s="93"/>
      <c r="KBG24" s="93"/>
      <c r="KBH24" s="93"/>
      <c r="KBI24" s="93"/>
      <c r="KBJ24" s="93"/>
      <c r="KBK24" s="93"/>
      <c r="KBL24" s="93"/>
      <c r="KBM24" s="93"/>
      <c r="KBN24" s="93"/>
      <c r="KBO24" s="93"/>
      <c r="KBP24" s="93"/>
      <c r="KBQ24" s="93"/>
      <c r="KBR24" s="93"/>
      <c r="KBS24" s="93"/>
      <c r="KBT24" s="93"/>
      <c r="KBU24" s="93"/>
      <c r="KBV24" s="93"/>
      <c r="KBW24" s="93"/>
      <c r="KBX24" s="93"/>
      <c r="KBY24" s="93"/>
      <c r="KBZ24" s="93"/>
      <c r="KCA24" s="93"/>
      <c r="KCB24" s="93"/>
      <c r="KCC24" s="93"/>
      <c r="KCD24" s="93"/>
      <c r="KCE24" s="93"/>
      <c r="KCF24" s="93"/>
      <c r="KCG24" s="93"/>
      <c r="KCH24" s="93"/>
      <c r="KCI24" s="93"/>
      <c r="KCJ24" s="93"/>
      <c r="KCK24" s="93"/>
      <c r="KCL24" s="93"/>
      <c r="KCM24" s="93"/>
      <c r="KCN24" s="93"/>
      <c r="KCO24" s="93"/>
      <c r="KCP24" s="93"/>
      <c r="KCQ24" s="93"/>
      <c r="KCR24" s="93"/>
      <c r="KCS24" s="93"/>
      <c r="KCT24" s="93"/>
      <c r="KCU24" s="93"/>
      <c r="KCV24" s="93"/>
      <c r="KCW24" s="93"/>
      <c r="KCX24" s="93"/>
      <c r="KCY24" s="93"/>
      <c r="KCZ24" s="93"/>
      <c r="KDA24" s="93"/>
      <c r="KDB24" s="93"/>
      <c r="KDC24" s="93"/>
      <c r="KDD24" s="93"/>
      <c r="KDE24" s="93"/>
      <c r="KDF24" s="93"/>
      <c r="KDG24" s="93"/>
      <c r="KDH24" s="93"/>
      <c r="KDI24" s="93"/>
      <c r="KDJ24" s="93"/>
      <c r="KDK24" s="93"/>
      <c r="KDL24" s="93"/>
      <c r="KDM24" s="93"/>
      <c r="KDN24" s="93"/>
      <c r="KDO24" s="93"/>
      <c r="KDP24" s="93"/>
      <c r="KDQ24" s="93"/>
      <c r="KDR24" s="93"/>
      <c r="KDS24" s="93"/>
      <c r="KDT24" s="93"/>
      <c r="KDU24" s="93"/>
      <c r="KDV24" s="93"/>
      <c r="KDW24" s="93"/>
      <c r="KDX24" s="93"/>
      <c r="KDY24" s="93"/>
      <c r="KDZ24" s="93"/>
      <c r="KEA24" s="93"/>
      <c r="KEB24" s="93"/>
      <c r="KEC24" s="93"/>
      <c r="KED24" s="93"/>
      <c r="KEE24" s="93"/>
      <c r="KEF24" s="93"/>
      <c r="KEG24" s="93"/>
      <c r="KEH24" s="93"/>
      <c r="KEI24" s="93"/>
      <c r="KEJ24" s="93"/>
      <c r="KEK24" s="93"/>
      <c r="KEL24" s="93"/>
      <c r="KEM24" s="93"/>
      <c r="KEN24" s="93"/>
      <c r="KEO24" s="93"/>
      <c r="KEP24" s="93"/>
      <c r="KEQ24" s="93"/>
      <c r="KER24" s="93"/>
      <c r="KES24" s="93"/>
      <c r="KET24" s="93"/>
      <c r="KEU24" s="93"/>
      <c r="KEV24" s="93"/>
      <c r="KEW24" s="93"/>
      <c r="KEX24" s="93"/>
      <c r="KEY24" s="93"/>
      <c r="KEZ24" s="93"/>
      <c r="KFA24" s="93"/>
      <c r="KFB24" s="93"/>
      <c r="KFC24" s="93"/>
      <c r="KFD24" s="93"/>
      <c r="KFE24" s="93"/>
      <c r="KFF24" s="93"/>
      <c r="KFG24" s="93"/>
      <c r="KFH24" s="93"/>
      <c r="KFI24" s="93"/>
      <c r="KFJ24" s="93"/>
      <c r="KFK24" s="93"/>
      <c r="KFL24" s="93"/>
      <c r="KFM24" s="93"/>
      <c r="KFN24" s="93"/>
      <c r="KFO24" s="93"/>
      <c r="KFP24" s="93"/>
      <c r="KFQ24" s="93"/>
      <c r="KFR24" s="93"/>
      <c r="KFS24" s="93"/>
      <c r="KFT24" s="93"/>
      <c r="KFU24" s="93"/>
      <c r="KFV24" s="93"/>
      <c r="KFW24" s="93"/>
      <c r="KFX24" s="93"/>
      <c r="KFY24" s="93"/>
      <c r="KFZ24" s="93"/>
      <c r="KGA24" s="93"/>
      <c r="KGB24" s="93"/>
      <c r="KGC24" s="93"/>
      <c r="KGD24" s="93"/>
      <c r="KGE24" s="93"/>
      <c r="KGF24" s="93"/>
      <c r="KGG24" s="93"/>
      <c r="KGH24" s="93"/>
      <c r="KGI24" s="93"/>
      <c r="KGJ24" s="93"/>
      <c r="KGK24" s="93"/>
      <c r="KGL24" s="93"/>
      <c r="KGM24" s="93"/>
      <c r="KGN24" s="93"/>
      <c r="KGO24" s="93"/>
      <c r="KGP24" s="93"/>
      <c r="KGQ24" s="93"/>
      <c r="KGR24" s="93"/>
      <c r="KGS24" s="93"/>
      <c r="KGT24" s="93"/>
      <c r="KGU24" s="93"/>
      <c r="KGV24" s="93"/>
      <c r="KGW24" s="93"/>
      <c r="KGX24" s="93"/>
      <c r="KGY24" s="93"/>
      <c r="KGZ24" s="93"/>
      <c r="KHA24" s="93"/>
      <c r="KHB24" s="93"/>
      <c r="KHC24" s="93"/>
      <c r="KHD24" s="93"/>
      <c r="KHE24" s="93"/>
      <c r="KHF24" s="93"/>
      <c r="KHG24" s="93"/>
      <c r="KHH24" s="93"/>
      <c r="KHI24" s="93"/>
      <c r="KHJ24" s="93"/>
      <c r="KHK24" s="93"/>
      <c r="KHL24" s="93"/>
      <c r="KHM24" s="93"/>
      <c r="KHN24" s="93"/>
      <c r="KHO24" s="93"/>
      <c r="KHP24" s="93"/>
      <c r="KHQ24" s="93"/>
      <c r="KHR24" s="93"/>
      <c r="KHS24" s="93"/>
      <c r="KHT24" s="93"/>
      <c r="KHU24" s="93"/>
      <c r="KHV24" s="93"/>
      <c r="KHW24" s="93"/>
      <c r="KHX24" s="93"/>
      <c r="KHY24" s="93"/>
      <c r="KHZ24" s="93"/>
      <c r="KIA24" s="93"/>
      <c r="KIB24" s="93"/>
      <c r="KIC24" s="93"/>
      <c r="KID24" s="93"/>
      <c r="KIE24" s="93"/>
      <c r="KIF24" s="93"/>
      <c r="KIG24" s="93"/>
      <c r="KIH24" s="93"/>
      <c r="KII24" s="93"/>
      <c r="KIJ24" s="93"/>
      <c r="KIK24" s="93"/>
      <c r="KIL24" s="93"/>
      <c r="KIM24" s="93"/>
      <c r="KIN24" s="93"/>
      <c r="KIO24" s="93"/>
      <c r="KIP24" s="93"/>
      <c r="KIQ24" s="93"/>
      <c r="KIR24" s="93"/>
      <c r="KIS24" s="93"/>
      <c r="KIT24" s="93"/>
      <c r="KIU24" s="93"/>
      <c r="KIV24" s="93"/>
      <c r="KIW24" s="93"/>
      <c r="KIX24" s="93"/>
      <c r="KIY24" s="93"/>
      <c r="KIZ24" s="93"/>
      <c r="KJA24" s="93"/>
      <c r="KJB24" s="93"/>
      <c r="KJC24" s="93"/>
      <c r="KJD24" s="93"/>
      <c r="KJE24" s="93"/>
      <c r="KJF24" s="93"/>
      <c r="KJG24" s="93"/>
      <c r="KJH24" s="93"/>
      <c r="KJI24" s="93"/>
      <c r="KJJ24" s="93"/>
      <c r="KJK24" s="93"/>
      <c r="KJL24" s="93"/>
      <c r="KJM24" s="93"/>
      <c r="KJN24" s="93"/>
      <c r="KJO24" s="93"/>
      <c r="KJP24" s="93"/>
      <c r="KJQ24" s="93"/>
      <c r="KJR24" s="93"/>
      <c r="KJS24" s="93"/>
      <c r="KJT24" s="93"/>
      <c r="KJU24" s="93"/>
      <c r="KJV24" s="93"/>
      <c r="KJW24" s="93"/>
      <c r="KJX24" s="93"/>
      <c r="KJY24" s="93"/>
      <c r="KJZ24" s="93"/>
      <c r="KKA24" s="93"/>
      <c r="KKB24" s="93"/>
      <c r="KKC24" s="93"/>
      <c r="KKD24" s="93"/>
      <c r="KKE24" s="93"/>
      <c r="KKF24" s="93"/>
      <c r="KKG24" s="93"/>
      <c r="KKH24" s="93"/>
      <c r="KKI24" s="93"/>
      <c r="KKJ24" s="93"/>
      <c r="KKK24" s="93"/>
      <c r="KKL24" s="93"/>
      <c r="KKM24" s="93"/>
      <c r="KKN24" s="93"/>
      <c r="KKO24" s="93"/>
      <c r="KKP24" s="93"/>
      <c r="KKQ24" s="93"/>
      <c r="KKR24" s="93"/>
      <c r="KKS24" s="93"/>
      <c r="KKT24" s="93"/>
      <c r="KKU24" s="93"/>
      <c r="KKV24" s="93"/>
      <c r="KKW24" s="93"/>
      <c r="KKX24" s="93"/>
      <c r="KKY24" s="93"/>
      <c r="KKZ24" s="93"/>
      <c r="KLA24" s="93"/>
      <c r="KLB24" s="93"/>
      <c r="KLC24" s="93"/>
      <c r="KLD24" s="93"/>
      <c r="KLE24" s="93"/>
      <c r="KLF24" s="93"/>
      <c r="KLG24" s="93"/>
      <c r="KLH24" s="93"/>
      <c r="KLI24" s="93"/>
      <c r="KLJ24" s="93"/>
      <c r="KLK24" s="93"/>
      <c r="KLL24" s="93"/>
      <c r="KLM24" s="93"/>
      <c r="KLN24" s="93"/>
      <c r="KLO24" s="93"/>
      <c r="KLP24" s="93"/>
      <c r="KLQ24" s="93"/>
      <c r="KLR24" s="93"/>
      <c r="KLS24" s="93"/>
      <c r="KLT24" s="93"/>
      <c r="KLU24" s="93"/>
      <c r="KLV24" s="93"/>
      <c r="KLW24" s="93"/>
      <c r="KLX24" s="93"/>
      <c r="KLY24" s="93"/>
      <c r="KLZ24" s="93"/>
      <c r="KMA24" s="93"/>
      <c r="KMB24" s="93"/>
      <c r="KMC24" s="93"/>
      <c r="KMD24" s="93"/>
      <c r="KME24" s="93"/>
      <c r="KMF24" s="93"/>
      <c r="KMG24" s="93"/>
      <c r="KMH24" s="93"/>
      <c r="KMI24" s="93"/>
      <c r="KMJ24" s="93"/>
      <c r="KMK24" s="93"/>
      <c r="KML24" s="93"/>
      <c r="KMM24" s="93"/>
      <c r="KMN24" s="93"/>
      <c r="KMO24" s="93"/>
      <c r="KMP24" s="93"/>
      <c r="KMQ24" s="93"/>
      <c r="KMR24" s="93"/>
      <c r="KMS24" s="93"/>
      <c r="KMT24" s="93"/>
      <c r="KMU24" s="93"/>
      <c r="KMV24" s="93"/>
      <c r="KMW24" s="93"/>
      <c r="KMX24" s="93"/>
      <c r="KMY24" s="93"/>
      <c r="KMZ24" s="93"/>
      <c r="KNA24" s="93"/>
      <c r="KNB24" s="93"/>
      <c r="KNC24" s="93"/>
      <c r="KND24" s="93"/>
      <c r="KNE24" s="93"/>
      <c r="KNF24" s="93"/>
      <c r="KNG24" s="93"/>
      <c r="KNH24" s="93"/>
      <c r="KNI24" s="93"/>
      <c r="KNJ24" s="93"/>
      <c r="KNK24" s="93"/>
      <c r="KNL24" s="93"/>
      <c r="KNM24" s="93"/>
      <c r="KNN24" s="93"/>
      <c r="KNO24" s="93"/>
      <c r="KNP24" s="93"/>
      <c r="KNQ24" s="93"/>
      <c r="KNR24" s="93"/>
      <c r="KNS24" s="93"/>
      <c r="KNT24" s="93"/>
      <c r="KNU24" s="93"/>
      <c r="KNV24" s="93"/>
      <c r="KNW24" s="93"/>
      <c r="KNX24" s="93"/>
      <c r="KNY24" s="93"/>
      <c r="KNZ24" s="93"/>
      <c r="KOA24" s="93"/>
      <c r="KOB24" s="93"/>
      <c r="KOC24" s="93"/>
      <c r="KOD24" s="93"/>
      <c r="KOE24" s="93"/>
      <c r="KOF24" s="93"/>
      <c r="KOG24" s="93"/>
      <c r="KOH24" s="93"/>
      <c r="KOI24" s="93"/>
      <c r="KOJ24" s="93"/>
      <c r="KOK24" s="93"/>
      <c r="KOL24" s="93"/>
      <c r="KOM24" s="93"/>
      <c r="KON24" s="93"/>
      <c r="KOO24" s="93"/>
      <c r="KOP24" s="93"/>
      <c r="KOQ24" s="93"/>
      <c r="KOR24" s="93"/>
      <c r="KOS24" s="93"/>
      <c r="KOT24" s="93"/>
      <c r="KOU24" s="93"/>
      <c r="KOV24" s="93"/>
      <c r="KOW24" s="93"/>
      <c r="KOX24" s="93"/>
      <c r="KOY24" s="93"/>
      <c r="KOZ24" s="93"/>
      <c r="KPA24" s="93"/>
      <c r="KPB24" s="93"/>
      <c r="KPC24" s="93"/>
      <c r="KPD24" s="93"/>
      <c r="KPE24" s="93"/>
      <c r="KPF24" s="93"/>
      <c r="KPG24" s="93"/>
      <c r="KPH24" s="93"/>
      <c r="KPI24" s="93"/>
      <c r="KPJ24" s="93"/>
      <c r="KPK24" s="93"/>
      <c r="KPL24" s="93"/>
      <c r="KPM24" s="93"/>
      <c r="KPN24" s="93"/>
      <c r="KPO24" s="93"/>
      <c r="KPP24" s="93"/>
      <c r="KPQ24" s="93"/>
      <c r="KPR24" s="93"/>
      <c r="KPS24" s="93"/>
      <c r="KPT24" s="93"/>
      <c r="KPU24" s="93"/>
      <c r="KPV24" s="93"/>
      <c r="KPW24" s="93"/>
      <c r="KPX24" s="93"/>
      <c r="KPY24" s="93"/>
      <c r="KPZ24" s="93"/>
      <c r="KQA24" s="93"/>
      <c r="KQB24" s="93"/>
      <c r="KQC24" s="93"/>
      <c r="KQD24" s="93"/>
      <c r="KQE24" s="93"/>
      <c r="KQF24" s="93"/>
      <c r="KQG24" s="93"/>
      <c r="KQH24" s="93"/>
      <c r="KQI24" s="93"/>
      <c r="KQJ24" s="93"/>
      <c r="KQK24" s="93"/>
      <c r="KQL24" s="93"/>
      <c r="KQM24" s="93"/>
      <c r="KQN24" s="93"/>
      <c r="KQO24" s="93"/>
      <c r="KQP24" s="93"/>
      <c r="KQQ24" s="93"/>
      <c r="KQR24" s="93"/>
      <c r="KQS24" s="93"/>
      <c r="KQT24" s="93"/>
      <c r="KQU24" s="93"/>
      <c r="KQV24" s="93"/>
      <c r="KQW24" s="93"/>
      <c r="KQX24" s="93"/>
      <c r="KQY24" s="93"/>
      <c r="KQZ24" s="93"/>
      <c r="KRA24" s="93"/>
      <c r="KRB24" s="93"/>
      <c r="KRC24" s="93"/>
      <c r="KRD24" s="93"/>
      <c r="KRE24" s="93"/>
      <c r="KRF24" s="93"/>
      <c r="KRG24" s="93"/>
      <c r="KRH24" s="93"/>
      <c r="KRI24" s="93"/>
      <c r="KRJ24" s="93"/>
      <c r="KRK24" s="93"/>
      <c r="KRL24" s="93"/>
      <c r="KRM24" s="93"/>
      <c r="KRN24" s="93"/>
      <c r="KRO24" s="93"/>
      <c r="KRP24" s="93"/>
      <c r="KRQ24" s="93"/>
      <c r="KRR24" s="93"/>
      <c r="KRS24" s="93"/>
      <c r="KRT24" s="93"/>
      <c r="KRU24" s="93"/>
      <c r="KRV24" s="93"/>
      <c r="KRW24" s="93"/>
      <c r="KRX24" s="93"/>
      <c r="KRY24" s="93"/>
      <c r="KRZ24" s="93"/>
      <c r="KSA24" s="93"/>
      <c r="KSB24" s="93"/>
      <c r="KSC24" s="93"/>
      <c r="KSD24" s="93"/>
      <c r="KSE24" s="93"/>
      <c r="KSF24" s="93"/>
      <c r="KSG24" s="93"/>
      <c r="KSH24" s="93"/>
      <c r="KSI24" s="93"/>
      <c r="KSJ24" s="93"/>
      <c r="KSK24" s="93"/>
      <c r="KSL24" s="93"/>
      <c r="KSM24" s="93"/>
      <c r="KSN24" s="93"/>
      <c r="KSO24" s="93"/>
      <c r="KSP24" s="93"/>
      <c r="KSQ24" s="93"/>
      <c r="KSR24" s="93"/>
      <c r="KSS24" s="93"/>
      <c r="KST24" s="93"/>
      <c r="KSU24" s="93"/>
      <c r="KSV24" s="93"/>
      <c r="KSW24" s="93"/>
      <c r="KSX24" s="93"/>
      <c r="KSY24" s="93"/>
      <c r="KSZ24" s="93"/>
      <c r="KTA24" s="93"/>
      <c r="KTB24" s="93"/>
      <c r="KTC24" s="93"/>
      <c r="KTD24" s="93"/>
      <c r="KTE24" s="93"/>
      <c r="KTF24" s="93"/>
      <c r="KTG24" s="93"/>
      <c r="KTH24" s="93"/>
      <c r="KTI24" s="93"/>
      <c r="KTJ24" s="93"/>
      <c r="KTK24" s="93"/>
      <c r="KTL24" s="93"/>
      <c r="KTM24" s="93"/>
      <c r="KTN24" s="93"/>
      <c r="KTO24" s="93"/>
      <c r="KTP24" s="93"/>
      <c r="KTQ24" s="93"/>
      <c r="KTR24" s="93"/>
      <c r="KTS24" s="93"/>
      <c r="KTT24" s="93"/>
      <c r="KTU24" s="93"/>
      <c r="KTV24" s="93"/>
      <c r="KTW24" s="93"/>
      <c r="KTX24" s="93"/>
      <c r="KTY24" s="93"/>
      <c r="KTZ24" s="93"/>
      <c r="KUA24" s="93"/>
      <c r="KUB24" s="93"/>
      <c r="KUC24" s="93"/>
      <c r="KUD24" s="93"/>
      <c r="KUE24" s="93"/>
      <c r="KUF24" s="93"/>
      <c r="KUG24" s="93"/>
      <c r="KUH24" s="93"/>
      <c r="KUI24" s="93"/>
      <c r="KUJ24" s="93"/>
      <c r="KUK24" s="93"/>
      <c r="KUL24" s="93"/>
      <c r="KUM24" s="93"/>
      <c r="KUN24" s="93"/>
      <c r="KUO24" s="93"/>
      <c r="KUP24" s="93"/>
      <c r="KUQ24" s="93"/>
      <c r="KUR24" s="93"/>
      <c r="KUS24" s="93"/>
      <c r="KUT24" s="93"/>
      <c r="KUU24" s="93"/>
      <c r="KUV24" s="93"/>
      <c r="KUW24" s="93"/>
      <c r="KUX24" s="93"/>
      <c r="KUY24" s="93"/>
      <c r="KUZ24" s="93"/>
      <c r="KVA24" s="93"/>
      <c r="KVB24" s="93"/>
      <c r="KVC24" s="93"/>
      <c r="KVD24" s="93"/>
      <c r="KVE24" s="93"/>
      <c r="KVF24" s="93"/>
      <c r="KVG24" s="93"/>
      <c r="KVH24" s="93"/>
      <c r="KVI24" s="93"/>
      <c r="KVJ24" s="93"/>
      <c r="KVK24" s="93"/>
      <c r="KVL24" s="93"/>
      <c r="KVM24" s="93"/>
      <c r="KVN24" s="93"/>
      <c r="KVO24" s="93"/>
      <c r="KVP24" s="93"/>
      <c r="KVQ24" s="93"/>
      <c r="KVR24" s="93"/>
      <c r="KVS24" s="93"/>
      <c r="KVT24" s="93"/>
      <c r="KVU24" s="93"/>
      <c r="KVV24" s="93"/>
      <c r="KVW24" s="93"/>
      <c r="KVX24" s="93"/>
      <c r="KVY24" s="93"/>
      <c r="KVZ24" s="93"/>
      <c r="KWA24" s="93"/>
      <c r="KWB24" s="93"/>
      <c r="KWC24" s="93"/>
      <c r="KWD24" s="93"/>
      <c r="KWE24" s="93"/>
      <c r="KWF24" s="93"/>
      <c r="KWG24" s="93"/>
      <c r="KWH24" s="93"/>
      <c r="KWI24" s="93"/>
      <c r="KWJ24" s="93"/>
      <c r="KWK24" s="93"/>
      <c r="KWL24" s="93"/>
      <c r="KWM24" s="93"/>
      <c r="KWN24" s="93"/>
      <c r="KWO24" s="93"/>
      <c r="KWP24" s="93"/>
      <c r="KWQ24" s="93"/>
      <c r="KWR24" s="93"/>
      <c r="KWS24" s="93"/>
      <c r="KWT24" s="93"/>
      <c r="KWU24" s="93"/>
      <c r="KWV24" s="93"/>
      <c r="KWW24" s="93"/>
      <c r="KWX24" s="93"/>
      <c r="KWY24" s="93"/>
      <c r="KWZ24" s="93"/>
      <c r="KXA24" s="93"/>
      <c r="KXB24" s="93"/>
      <c r="KXC24" s="93"/>
      <c r="KXD24" s="93"/>
      <c r="KXE24" s="93"/>
      <c r="KXF24" s="93"/>
      <c r="KXG24" s="93"/>
      <c r="KXH24" s="93"/>
      <c r="KXI24" s="93"/>
      <c r="KXJ24" s="93"/>
      <c r="KXK24" s="93"/>
      <c r="KXL24" s="93"/>
      <c r="KXM24" s="93"/>
      <c r="KXN24" s="93"/>
      <c r="KXO24" s="93"/>
      <c r="KXP24" s="93"/>
      <c r="KXQ24" s="93"/>
      <c r="KXR24" s="93"/>
      <c r="KXS24" s="93"/>
      <c r="KXT24" s="93"/>
      <c r="KXU24" s="93"/>
      <c r="KXV24" s="93"/>
      <c r="KXW24" s="93"/>
      <c r="KXX24" s="93"/>
      <c r="KXY24" s="93"/>
      <c r="KXZ24" s="93"/>
      <c r="KYA24" s="93"/>
      <c r="KYB24" s="93"/>
      <c r="KYC24" s="93"/>
      <c r="KYD24" s="93"/>
      <c r="KYE24" s="93"/>
      <c r="KYF24" s="93"/>
      <c r="KYG24" s="93"/>
      <c r="KYH24" s="93"/>
      <c r="KYI24" s="93"/>
      <c r="KYJ24" s="93"/>
      <c r="KYK24" s="93"/>
      <c r="KYL24" s="93"/>
      <c r="KYM24" s="93"/>
      <c r="KYN24" s="93"/>
      <c r="KYO24" s="93"/>
      <c r="KYP24" s="93"/>
      <c r="KYQ24" s="93"/>
      <c r="KYR24" s="93"/>
      <c r="KYS24" s="93"/>
      <c r="KYT24" s="93"/>
      <c r="KYU24" s="93"/>
      <c r="KYV24" s="93"/>
      <c r="KYW24" s="93"/>
      <c r="KYX24" s="93"/>
      <c r="KYY24" s="93"/>
      <c r="KYZ24" s="93"/>
      <c r="KZA24" s="93"/>
      <c r="KZB24" s="93"/>
      <c r="KZC24" s="93"/>
      <c r="KZD24" s="93"/>
      <c r="KZE24" s="93"/>
      <c r="KZF24" s="93"/>
      <c r="KZG24" s="93"/>
      <c r="KZH24" s="93"/>
      <c r="KZI24" s="93"/>
      <c r="KZJ24" s="93"/>
      <c r="KZK24" s="93"/>
      <c r="KZL24" s="93"/>
      <c r="KZM24" s="93"/>
      <c r="KZN24" s="93"/>
      <c r="KZO24" s="93"/>
      <c r="KZP24" s="93"/>
      <c r="KZQ24" s="93"/>
      <c r="KZR24" s="93"/>
      <c r="KZS24" s="93"/>
      <c r="KZT24" s="93"/>
      <c r="KZU24" s="93"/>
      <c r="KZV24" s="93"/>
      <c r="KZW24" s="93"/>
      <c r="KZX24" s="93"/>
      <c r="KZY24" s="93"/>
      <c r="KZZ24" s="93"/>
      <c r="LAA24" s="93"/>
      <c r="LAB24" s="93"/>
      <c r="LAC24" s="93"/>
      <c r="LAD24" s="93"/>
      <c r="LAE24" s="93"/>
      <c r="LAF24" s="93"/>
      <c r="LAG24" s="93"/>
      <c r="LAH24" s="93"/>
      <c r="LAI24" s="93"/>
      <c r="LAJ24" s="93"/>
      <c r="LAK24" s="93"/>
      <c r="LAL24" s="93"/>
      <c r="LAM24" s="93"/>
      <c r="LAN24" s="93"/>
      <c r="LAO24" s="93"/>
      <c r="LAP24" s="93"/>
      <c r="LAQ24" s="93"/>
      <c r="LAR24" s="93"/>
      <c r="LAS24" s="93"/>
      <c r="LAT24" s="93"/>
      <c r="LAU24" s="93"/>
      <c r="LAV24" s="93"/>
      <c r="LAW24" s="93"/>
      <c r="LAX24" s="93"/>
      <c r="LAY24" s="93"/>
      <c r="LAZ24" s="93"/>
      <c r="LBA24" s="93"/>
      <c r="LBB24" s="93"/>
      <c r="LBC24" s="93"/>
      <c r="LBD24" s="93"/>
      <c r="LBE24" s="93"/>
      <c r="LBF24" s="93"/>
      <c r="LBG24" s="93"/>
      <c r="LBH24" s="93"/>
      <c r="LBI24" s="93"/>
      <c r="LBJ24" s="93"/>
      <c r="LBK24" s="93"/>
      <c r="LBL24" s="93"/>
      <c r="LBM24" s="93"/>
      <c r="LBN24" s="93"/>
      <c r="LBO24" s="93"/>
      <c r="LBP24" s="93"/>
      <c r="LBQ24" s="93"/>
      <c r="LBR24" s="93"/>
      <c r="LBS24" s="93"/>
      <c r="LBT24" s="93"/>
      <c r="LBU24" s="93"/>
      <c r="LBV24" s="93"/>
      <c r="LBW24" s="93"/>
      <c r="LBX24" s="93"/>
      <c r="LBY24" s="93"/>
      <c r="LBZ24" s="93"/>
      <c r="LCA24" s="93"/>
      <c r="LCB24" s="93"/>
      <c r="LCC24" s="93"/>
      <c r="LCD24" s="93"/>
      <c r="LCE24" s="93"/>
      <c r="LCF24" s="93"/>
      <c r="LCG24" s="93"/>
      <c r="LCH24" s="93"/>
      <c r="LCI24" s="93"/>
      <c r="LCJ24" s="93"/>
      <c r="LCK24" s="93"/>
      <c r="LCL24" s="93"/>
      <c r="LCM24" s="93"/>
      <c r="LCN24" s="93"/>
      <c r="LCO24" s="93"/>
      <c r="LCP24" s="93"/>
      <c r="LCQ24" s="93"/>
      <c r="LCR24" s="93"/>
      <c r="LCS24" s="93"/>
      <c r="LCT24" s="93"/>
      <c r="LCU24" s="93"/>
      <c r="LCV24" s="93"/>
      <c r="LCW24" s="93"/>
      <c r="LCX24" s="93"/>
      <c r="LCY24" s="93"/>
      <c r="LCZ24" s="93"/>
      <c r="LDA24" s="93"/>
      <c r="LDB24" s="93"/>
      <c r="LDC24" s="93"/>
      <c r="LDD24" s="93"/>
      <c r="LDE24" s="93"/>
      <c r="LDF24" s="93"/>
      <c r="LDG24" s="93"/>
      <c r="LDH24" s="93"/>
      <c r="LDI24" s="93"/>
      <c r="LDJ24" s="93"/>
      <c r="LDK24" s="93"/>
      <c r="LDL24" s="93"/>
      <c r="LDM24" s="93"/>
      <c r="LDN24" s="93"/>
      <c r="LDO24" s="93"/>
      <c r="LDP24" s="93"/>
      <c r="LDQ24" s="93"/>
      <c r="LDR24" s="93"/>
      <c r="LDS24" s="93"/>
      <c r="LDT24" s="93"/>
      <c r="LDU24" s="93"/>
      <c r="LDV24" s="93"/>
      <c r="LDW24" s="93"/>
      <c r="LDX24" s="93"/>
      <c r="LDY24" s="93"/>
      <c r="LDZ24" s="93"/>
      <c r="LEA24" s="93"/>
      <c r="LEB24" s="93"/>
      <c r="LEC24" s="93"/>
      <c r="LED24" s="93"/>
      <c r="LEE24" s="93"/>
      <c r="LEF24" s="93"/>
      <c r="LEG24" s="93"/>
      <c r="LEH24" s="93"/>
      <c r="LEI24" s="93"/>
      <c r="LEJ24" s="93"/>
      <c r="LEK24" s="93"/>
      <c r="LEL24" s="93"/>
      <c r="LEM24" s="93"/>
      <c r="LEN24" s="93"/>
      <c r="LEO24" s="93"/>
      <c r="LEP24" s="93"/>
      <c r="LEQ24" s="93"/>
      <c r="LER24" s="93"/>
      <c r="LES24" s="93"/>
      <c r="LET24" s="93"/>
      <c r="LEU24" s="93"/>
      <c r="LEV24" s="93"/>
      <c r="LEW24" s="93"/>
      <c r="LEX24" s="93"/>
      <c r="LEY24" s="93"/>
      <c r="LEZ24" s="93"/>
      <c r="LFA24" s="93"/>
      <c r="LFB24" s="93"/>
      <c r="LFC24" s="93"/>
      <c r="LFD24" s="93"/>
      <c r="LFE24" s="93"/>
      <c r="LFF24" s="93"/>
      <c r="LFG24" s="93"/>
      <c r="LFH24" s="93"/>
      <c r="LFI24" s="93"/>
      <c r="LFJ24" s="93"/>
      <c r="LFK24" s="93"/>
      <c r="LFL24" s="93"/>
      <c r="LFM24" s="93"/>
      <c r="LFN24" s="93"/>
      <c r="LFO24" s="93"/>
      <c r="LFP24" s="93"/>
      <c r="LFQ24" s="93"/>
      <c r="LFR24" s="93"/>
      <c r="LFS24" s="93"/>
      <c r="LFT24" s="93"/>
      <c r="LFU24" s="93"/>
      <c r="LFV24" s="93"/>
      <c r="LFW24" s="93"/>
      <c r="LFX24" s="93"/>
      <c r="LFY24" s="93"/>
      <c r="LFZ24" s="93"/>
      <c r="LGA24" s="93"/>
      <c r="LGB24" s="93"/>
      <c r="LGC24" s="93"/>
      <c r="LGD24" s="93"/>
      <c r="LGE24" s="93"/>
      <c r="LGF24" s="93"/>
      <c r="LGG24" s="93"/>
      <c r="LGH24" s="93"/>
      <c r="LGI24" s="93"/>
      <c r="LGJ24" s="93"/>
      <c r="LGK24" s="93"/>
      <c r="LGL24" s="93"/>
      <c r="LGM24" s="93"/>
      <c r="LGN24" s="93"/>
      <c r="LGO24" s="93"/>
      <c r="LGP24" s="93"/>
      <c r="LGQ24" s="93"/>
      <c r="LGR24" s="93"/>
      <c r="LGS24" s="93"/>
      <c r="LGT24" s="93"/>
      <c r="LGU24" s="93"/>
      <c r="LGV24" s="93"/>
      <c r="LGW24" s="93"/>
      <c r="LGX24" s="93"/>
      <c r="LGY24" s="93"/>
      <c r="LGZ24" s="93"/>
      <c r="LHA24" s="93"/>
      <c r="LHB24" s="93"/>
      <c r="LHC24" s="93"/>
      <c r="LHD24" s="93"/>
      <c r="LHE24" s="93"/>
      <c r="LHF24" s="93"/>
      <c r="LHG24" s="93"/>
      <c r="LHH24" s="93"/>
      <c r="LHI24" s="93"/>
      <c r="LHJ24" s="93"/>
      <c r="LHK24" s="93"/>
      <c r="LHL24" s="93"/>
      <c r="LHM24" s="93"/>
      <c r="LHN24" s="93"/>
      <c r="LHO24" s="93"/>
      <c r="LHP24" s="93"/>
      <c r="LHQ24" s="93"/>
      <c r="LHR24" s="93"/>
      <c r="LHS24" s="93"/>
      <c r="LHT24" s="93"/>
      <c r="LHU24" s="93"/>
      <c r="LHV24" s="93"/>
      <c r="LHW24" s="93"/>
      <c r="LHX24" s="93"/>
      <c r="LHY24" s="93"/>
      <c r="LHZ24" s="93"/>
      <c r="LIA24" s="93"/>
      <c r="LIB24" s="93"/>
      <c r="LIC24" s="93"/>
      <c r="LID24" s="93"/>
      <c r="LIE24" s="93"/>
      <c r="LIF24" s="93"/>
      <c r="LIG24" s="93"/>
      <c r="LIH24" s="93"/>
      <c r="LII24" s="93"/>
      <c r="LIJ24" s="93"/>
      <c r="LIK24" s="93"/>
      <c r="LIL24" s="93"/>
      <c r="LIM24" s="93"/>
      <c r="LIN24" s="93"/>
      <c r="LIO24" s="93"/>
      <c r="LIP24" s="93"/>
      <c r="LIQ24" s="93"/>
      <c r="LIR24" s="93"/>
      <c r="LIS24" s="93"/>
      <c r="LIT24" s="93"/>
      <c r="LIU24" s="93"/>
      <c r="LIV24" s="93"/>
      <c r="LIW24" s="93"/>
      <c r="LIX24" s="93"/>
      <c r="LIY24" s="93"/>
      <c r="LIZ24" s="93"/>
      <c r="LJA24" s="93"/>
      <c r="LJB24" s="93"/>
      <c r="LJC24" s="93"/>
      <c r="LJD24" s="93"/>
      <c r="LJE24" s="93"/>
      <c r="LJF24" s="93"/>
      <c r="LJG24" s="93"/>
      <c r="LJH24" s="93"/>
      <c r="LJI24" s="93"/>
      <c r="LJJ24" s="93"/>
      <c r="LJK24" s="93"/>
      <c r="LJL24" s="93"/>
      <c r="LJM24" s="93"/>
      <c r="LJN24" s="93"/>
      <c r="LJO24" s="93"/>
      <c r="LJP24" s="93"/>
      <c r="LJQ24" s="93"/>
      <c r="LJR24" s="93"/>
      <c r="LJS24" s="93"/>
      <c r="LJT24" s="93"/>
      <c r="LJU24" s="93"/>
      <c r="LJV24" s="93"/>
      <c r="LJW24" s="93"/>
      <c r="LJX24" s="93"/>
      <c r="LJY24" s="93"/>
      <c r="LJZ24" s="93"/>
      <c r="LKA24" s="93"/>
      <c r="LKB24" s="93"/>
      <c r="LKC24" s="93"/>
      <c r="LKD24" s="93"/>
      <c r="LKE24" s="93"/>
      <c r="LKF24" s="93"/>
      <c r="LKG24" s="93"/>
      <c r="LKH24" s="93"/>
      <c r="LKI24" s="93"/>
      <c r="LKJ24" s="93"/>
      <c r="LKK24" s="93"/>
      <c r="LKL24" s="93"/>
      <c r="LKM24" s="93"/>
      <c r="LKN24" s="93"/>
      <c r="LKO24" s="93"/>
      <c r="LKP24" s="93"/>
      <c r="LKQ24" s="93"/>
      <c r="LKR24" s="93"/>
      <c r="LKS24" s="93"/>
      <c r="LKT24" s="93"/>
      <c r="LKU24" s="93"/>
      <c r="LKV24" s="93"/>
      <c r="LKW24" s="93"/>
      <c r="LKX24" s="93"/>
      <c r="LKY24" s="93"/>
      <c r="LKZ24" s="93"/>
      <c r="LLA24" s="93"/>
      <c r="LLB24" s="93"/>
      <c r="LLC24" s="93"/>
      <c r="LLD24" s="93"/>
      <c r="LLE24" s="93"/>
      <c r="LLF24" s="93"/>
      <c r="LLG24" s="93"/>
      <c r="LLH24" s="93"/>
      <c r="LLI24" s="93"/>
      <c r="LLJ24" s="93"/>
      <c r="LLK24" s="93"/>
      <c r="LLL24" s="93"/>
      <c r="LLM24" s="93"/>
      <c r="LLN24" s="93"/>
      <c r="LLO24" s="93"/>
      <c r="LLP24" s="93"/>
      <c r="LLQ24" s="93"/>
      <c r="LLR24" s="93"/>
      <c r="LLS24" s="93"/>
      <c r="LLT24" s="93"/>
      <c r="LLU24" s="93"/>
      <c r="LLV24" s="93"/>
      <c r="LLW24" s="93"/>
      <c r="LLX24" s="93"/>
      <c r="LLY24" s="93"/>
      <c r="LLZ24" s="93"/>
      <c r="LMA24" s="93"/>
      <c r="LMB24" s="93"/>
      <c r="LMC24" s="93"/>
      <c r="LMD24" s="93"/>
      <c r="LME24" s="93"/>
      <c r="LMF24" s="93"/>
      <c r="LMG24" s="93"/>
      <c r="LMH24" s="93"/>
      <c r="LMI24" s="93"/>
      <c r="LMJ24" s="93"/>
      <c r="LMK24" s="93"/>
      <c r="LML24" s="93"/>
      <c r="LMM24" s="93"/>
      <c r="LMN24" s="93"/>
      <c r="LMO24" s="93"/>
      <c r="LMP24" s="93"/>
      <c r="LMQ24" s="93"/>
      <c r="LMR24" s="93"/>
      <c r="LMS24" s="93"/>
      <c r="LMT24" s="93"/>
      <c r="LMU24" s="93"/>
      <c r="LMV24" s="93"/>
      <c r="LMW24" s="93"/>
      <c r="LMX24" s="93"/>
      <c r="LMY24" s="93"/>
      <c r="LMZ24" s="93"/>
      <c r="LNA24" s="93"/>
      <c r="LNB24" s="93"/>
      <c r="LNC24" s="93"/>
      <c r="LND24" s="93"/>
      <c r="LNE24" s="93"/>
      <c r="LNF24" s="93"/>
      <c r="LNG24" s="93"/>
      <c r="LNH24" s="93"/>
      <c r="LNI24" s="93"/>
      <c r="LNJ24" s="93"/>
      <c r="LNK24" s="93"/>
      <c r="LNL24" s="93"/>
      <c r="LNM24" s="93"/>
      <c r="LNN24" s="93"/>
      <c r="LNO24" s="93"/>
      <c r="LNP24" s="93"/>
      <c r="LNQ24" s="93"/>
      <c r="LNR24" s="93"/>
      <c r="LNS24" s="93"/>
      <c r="LNT24" s="93"/>
      <c r="LNU24" s="93"/>
      <c r="LNV24" s="93"/>
      <c r="LNW24" s="93"/>
      <c r="LNX24" s="93"/>
      <c r="LNY24" s="93"/>
      <c r="LNZ24" s="93"/>
      <c r="LOA24" s="93"/>
      <c r="LOB24" s="93"/>
      <c r="LOC24" s="93"/>
      <c r="LOD24" s="93"/>
      <c r="LOE24" s="93"/>
      <c r="LOF24" s="93"/>
      <c r="LOG24" s="93"/>
      <c r="LOH24" s="93"/>
      <c r="LOI24" s="93"/>
      <c r="LOJ24" s="93"/>
      <c r="LOK24" s="93"/>
      <c r="LOL24" s="93"/>
      <c r="LOM24" s="93"/>
      <c r="LON24" s="93"/>
      <c r="LOO24" s="93"/>
      <c r="LOP24" s="93"/>
      <c r="LOQ24" s="93"/>
      <c r="LOR24" s="93"/>
      <c r="LOS24" s="93"/>
      <c r="LOT24" s="93"/>
      <c r="LOU24" s="93"/>
      <c r="LOV24" s="93"/>
      <c r="LOW24" s="93"/>
      <c r="LOX24" s="93"/>
      <c r="LOY24" s="93"/>
      <c r="LOZ24" s="93"/>
      <c r="LPA24" s="93"/>
      <c r="LPB24" s="93"/>
      <c r="LPC24" s="93"/>
      <c r="LPD24" s="93"/>
      <c r="LPE24" s="93"/>
      <c r="LPF24" s="93"/>
      <c r="LPG24" s="93"/>
      <c r="LPH24" s="93"/>
      <c r="LPI24" s="93"/>
      <c r="LPJ24" s="93"/>
      <c r="LPK24" s="93"/>
      <c r="LPL24" s="93"/>
      <c r="LPM24" s="93"/>
      <c r="LPN24" s="93"/>
      <c r="LPO24" s="93"/>
      <c r="LPP24" s="93"/>
      <c r="LPQ24" s="93"/>
      <c r="LPR24" s="93"/>
      <c r="LPS24" s="93"/>
      <c r="LPT24" s="93"/>
      <c r="LPU24" s="93"/>
      <c r="LPV24" s="93"/>
      <c r="LPW24" s="93"/>
      <c r="LPX24" s="93"/>
      <c r="LPY24" s="93"/>
      <c r="LPZ24" s="93"/>
      <c r="LQA24" s="93"/>
      <c r="LQB24" s="93"/>
      <c r="LQC24" s="93"/>
      <c r="LQD24" s="93"/>
      <c r="LQE24" s="93"/>
      <c r="LQF24" s="93"/>
      <c r="LQG24" s="93"/>
      <c r="LQH24" s="93"/>
      <c r="LQI24" s="93"/>
      <c r="LQJ24" s="93"/>
      <c r="LQK24" s="93"/>
      <c r="LQL24" s="93"/>
      <c r="LQM24" s="93"/>
      <c r="LQN24" s="93"/>
      <c r="LQO24" s="93"/>
      <c r="LQP24" s="93"/>
      <c r="LQQ24" s="93"/>
      <c r="LQR24" s="93"/>
      <c r="LQS24" s="93"/>
      <c r="LQT24" s="93"/>
      <c r="LQU24" s="93"/>
      <c r="LQV24" s="93"/>
      <c r="LQW24" s="93"/>
      <c r="LQX24" s="93"/>
      <c r="LQY24" s="93"/>
      <c r="LQZ24" s="93"/>
      <c r="LRA24" s="93"/>
      <c r="LRB24" s="93"/>
      <c r="LRC24" s="93"/>
      <c r="LRD24" s="93"/>
      <c r="LRE24" s="93"/>
      <c r="LRF24" s="93"/>
      <c r="LRG24" s="93"/>
      <c r="LRH24" s="93"/>
      <c r="LRI24" s="93"/>
      <c r="LRJ24" s="93"/>
      <c r="LRK24" s="93"/>
      <c r="LRL24" s="93"/>
      <c r="LRM24" s="93"/>
      <c r="LRN24" s="93"/>
      <c r="LRO24" s="93"/>
      <c r="LRP24" s="93"/>
      <c r="LRQ24" s="93"/>
      <c r="LRR24" s="93"/>
      <c r="LRS24" s="93"/>
      <c r="LRT24" s="93"/>
      <c r="LRU24" s="93"/>
      <c r="LRV24" s="93"/>
      <c r="LRW24" s="93"/>
      <c r="LRX24" s="93"/>
      <c r="LRY24" s="93"/>
      <c r="LRZ24" s="93"/>
      <c r="LSA24" s="93"/>
      <c r="LSB24" s="93"/>
      <c r="LSC24" s="93"/>
      <c r="LSD24" s="93"/>
      <c r="LSE24" s="93"/>
      <c r="LSF24" s="93"/>
      <c r="LSG24" s="93"/>
      <c r="LSH24" s="93"/>
      <c r="LSI24" s="93"/>
      <c r="LSJ24" s="93"/>
      <c r="LSK24" s="93"/>
      <c r="LSL24" s="93"/>
      <c r="LSM24" s="93"/>
      <c r="LSN24" s="93"/>
      <c r="LSO24" s="93"/>
      <c r="LSP24" s="93"/>
      <c r="LSQ24" s="93"/>
      <c r="LSR24" s="93"/>
      <c r="LSS24" s="93"/>
      <c r="LST24" s="93"/>
      <c r="LSU24" s="93"/>
      <c r="LSV24" s="93"/>
      <c r="LSW24" s="93"/>
      <c r="LSX24" s="93"/>
      <c r="LSY24" s="93"/>
      <c r="LSZ24" s="93"/>
      <c r="LTA24" s="93"/>
      <c r="LTB24" s="93"/>
      <c r="LTC24" s="93"/>
      <c r="LTD24" s="93"/>
      <c r="LTE24" s="93"/>
      <c r="LTF24" s="93"/>
      <c r="LTG24" s="93"/>
      <c r="LTH24" s="93"/>
      <c r="LTI24" s="93"/>
      <c r="LTJ24" s="93"/>
      <c r="LTK24" s="93"/>
      <c r="LTL24" s="93"/>
      <c r="LTM24" s="93"/>
      <c r="LTN24" s="93"/>
      <c r="LTO24" s="93"/>
      <c r="LTP24" s="93"/>
      <c r="LTQ24" s="93"/>
      <c r="LTR24" s="93"/>
      <c r="LTS24" s="93"/>
      <c r="LTT24" s="93"/>
      <c r="LTU24" s="93"/>
      <c r="LTV24" s="93"/>
      <c r="LTW24" s="93"/>
      <c r="LTX24" s="93"/>
      <c r="LTY24" s="93"/>
      <c r="LTZ24" s="93"/>
      <c r="LUA24" s="93"/>
      <c r="LUB24" s="93"/>
      <c r="LUC24" s="93"/>
      <c r="LUD24" s="93"/>
      <c r="LUE24" s="93"/>
      <c r="LUF24" s="93"/>
      <c r="LUG24" s="93"/>
      <c r="LUH24" s="93"/>
      <c r="LUI24" s="93"/>
      <c r="LUJ24" s="93"/>
      <c r="LUK24" s="93"/>
      <c r="LUL24" s="93"/>
      <c r="LUM24" s="93"/>
      <c r="LUN24" s="93"/>
      <c r="LUO24" s="93"/>
      <c r="LUP24" s="93"/>
      <c r="LUQ24" s="93"/>
      <c r="LUR24" s="93"/>
      <c r="LUS24" s="93"/>
      <c r="LUT24" s="93"/>
      <c r="LUU24" s="93"/>
      <c r="LUV24" s="93"/>
      <c r="LUW24" s="93"/>
      <c r="LUX24" s="93"/>
      <c r="LUY24" s="93"/>
      <c r="LUZ24" s="93"/>
      <c r="LVA24" s="93"/>
      <c r="LVB24" s="93"/>
      <c r="LVC24" s="93"/>
      <c r="LVD24" s="93"/>
      <c r="LVE24" s="93"/>
      <c r="LVF24" s="93"/>
      <c r="LVG24" s="93"/>
      <c r="LVH24" s="93"/>
      <c r="LVI24" s="93"/>
      <c r="LVJ24" s="93"/>
      <c r="LVK24" s="93"/>
      <c r="LVL24" s="93"/>
      <c r="LVM24" s="93"/>
      <c r="LVN24" s="93"/>
      <c r="LVO24" s="93"/>
      <c r="LVP24" s="93"/>
      <c r="LVQ24" s="93"/>
      <c r="LVR24" s="93"/>
      <c r="LVS24" s="93"/>
      <c r="LVT24" s="93"/>
      <c r="LVU24" s="93"/>
      <c r="LVV24" s="93"/>
      <c r="LVW24" s="93"/>
      <c r="LVX24" s="93"/>
      <c r="LVY24" s="93"/>
      <c r="LVZ24" s="93"/>
      <c r="LWA24" s="93"/>
      <c r="LWB24" s="93"/>
      <c r="LWC24" s="93"/>
      <c r="LWD24" s="93"/>
      <c r="LWE24" s="93"/>
      <c r="LWF24" s="93"/>
      <c r="LWG24" s="93"/>
      <c r="LWH24" s="93"/>
      <c r="LWI24" s="93"/>
      <c r="LWJ24" s="93"/>
      <c r="LWK24" s="93"/>
      <c r="LWL24" s="93"/>
      <c r="LWM24" s="93"/>
      <c r="LWN24" s="93"/>
      <c r="LWO24" s="93"/>
      <c r="LWP24" s="93"/>
      <c r="LWQ24" s="93"/>
      <c r="LWR24" s="93"/>
      <c r="LWS24" s="93"/>
      <c r="LWT24" s="93"/>
      <c r="LWU24" s="93"/>
      <c r="LWV24" s="93"/>
      <c r="LWW24" s="93"/>
      <c r="LWX24" s="93"/>
      <c r="LWY24" s="93"/>
      <c r="LWZ24" s="93"/>
      <c r="LXA24" s="93"/>
      <c r="LXB24" s="93"/>
      <c r="LXC24" s="93"/>
      <c r="LXD24" s="93"/>
      <c r="LXE24" s="93"/>
      <c r="LXF24" s="93"/>
      <c r="LXG24" s="93"/>
      <c r="LXH24" s="93"/>
      <c r="LXI24" s="93"/>
      <c r="LXJ24" s="93"/>
      <c r="LXK24" s="93"/>
      <c r="LXL24" s="93"/>
      <c r="LXM24" s="93"/>
      <c r="LXN24" s="93"/>
      <c r="LXO24" s="93"/>
      <c r="LXP24" s="93"/>
      <c r="LXQ24" s="93"/>
      <c r="LXR24" s="93"/>
      <c r="LXS24" s="93"/>
      <c r="LXT24" s="93"/>
      <c r="LXU24" s="93"/>
      <c r="LXV24" s="93"/>
      <c r="LXW24" s="93"/>
      <c r="LXX24" s="93"/>
      <c r="LXY24" s="93"/>
      <c r="LXZ24" s="93"/>
      <c r="LYA24" s="93"/>
      <c r="LYB24" s="93"/>
      <c r="LYC24" s="93"/>
      <c r="LYD24" s="93"/>
      <c r="LYE24" s="93"/>
      <c r="LYF24" s="93"/>
      <c r="LYG24" s="93"/>
      <c r="LYH24" s="93"/>
      <c r="LYI24" s="93"/>
      <c r="LYJ24" s="93"/>
      <c r="LYK24" s="93"/>
      <c r="LYL24" s="93"/>
      <c r="LYM24" s="93"/>
      <c r="LYN24" s="93"/>
      <c r="LYO24" s="93"/>
      <c r="LYP24" s="93"/>
      <c r="LYQ24" s="93"/>
      <c r="LYR24" s="93"/>
      <c r="LYS24" s="93"/>
      <c r="LYT24" s="93"/>
      <c r="LYU24" s="93"/>
      <c r="LYV24" s="93"/>
      <c r="LYW24" s="93"/>
      <c r="LYX24" s="93"/>
      <c r="LYY24" s="93"/>
      <c r="LYZ24" s="93"/>
      <c r="LZA24" s="93"/>
      <c r="LZB24" s="93"/>
      <c r="LZC24" s="93"/>
      <c r="LZD24" s="93"/>
      <c r="LZE24" s="93"/>
      <c r="LZF24" s="93"/>
      <c r="LZG24" s="93"/>
      <c r="LZH24" s="93"/>
      <c r="LZI24" s="93"/>
      <c r="LZJ24" s="93"/>
      <c r="LZK24" s="93"/>
      <c r="LZL24" s="93"/>
      <c r="LZM24" s="93"/>
      <c r="LZN24" s="93"/>
      <c r="LZO24" s="93"/>
      <c r="LZP24" s="93"/>
      <c r="LZQ24" s="93"/>
      <c r="LZR24" s="93"/>
      <c r="LZS24" s="93"/>
      <c r="LZT24" s="93"/>
      <c r="LZU24" s="93"/>
      <c r="LZV24" s="93"/>
      <c r="LZW24" s="93"/>
      <c r="LZX24" s="93"/>
      <c r="LZY24" s="93"/>
      <c r="LZZ24" s="93"/>
      <c r="MAA24" s="93"/>
      <c r="MAB24" s="93"/>
      <c r="MAC24" s="93"/>
      <c r="MAD24" s="93"/>
      <c r="MAE24" s="93"/>
      <c r="MAF24" s="93"/>
      <c r="MAG24" s="93"/>
      <c r="MAH24" s="93"/>
      <c r="MAI24" s="93"/>
      <c r="MAJ24" s="93"/>
      <c r="MAK24" s="93"/>
      <c r="MAL24" s="93"/>
      <c r="MAM24" s="93"/>
      <c r="MAN24" s="93"/>
      <c r="MAO24" s="93"/>
      <c r="MAP24" s="93"/>
      <c r="MAQ24" s="93"/>
      <c r="MAR24" s="93"/>
      <c r="MAS24" s="93"/>
      <c r="MAT24" s="93"/>
      <c r="MAU24" s="93"/>
      <c r="MAV24" s="93"/>
      <c r="MAW24" s="93"/>
      <c r="MAX24" s="93"/>
      <c r="MAY24" s="93"/>
      <c r="MAZ24" s="93"/>
      <c r="MBA24" s="93"/>
      <c r="MBB24" s="93"/>
      <c r="MBC24" s="93"/>
      <c r="MBD24" s="93"/>
      <c r="MBE24" s="93"/>
      <c r="MBF24" s="93"/>
      <c r="MBG24" s="93"/>
      <c r="MBH24" s="93"/>
      <c r="MBI24" s="93"/>
      <c r="MBJ24" s="93"/>
      <c r="MBK24" s="93"/>
      <c r="MBL24" s="93"/>
      <c r="MBM24" s="93"/>
      <c r="MBN24" s="93"/>
      <c r="MBO24" s="93"/>
      <c r="MBP24" s="93"/>
      <c r="MBQ24" s="93"/>
      <c r="MBR24" s="93"/>
      <c r="MBS24" s="93"/>
      <c r="MBT24" s="93"/>
      <c r="MBU24" s="93"/>
      <c r="MBV24" s="93"/>
      <c r="MBW24" s="93"/>
      <c r="MBX24" s="93"/>
      <c r="MBY24" s="93"/>
      <c r="MBZ24" s="93"/>
      <c r="MCA24" s="93"/>
      <c r="MCB24" s="93"/>
      <c r="MCC24" s="93"/>
      <c r="MCD24" s="93"/>
      <c r="MCE24" s="93"/>
      <c r="MCF24" s="93"/>
      <c r="MCG24" s="93"/>
      <c r="MCH24" s="93"/>
      <c r="MCI24" s="93"/>
      <c r="MCJ24" s="93"/>
      <c r="MCK24" s="93"/>
      <c r="MCL24" s="93"/>
      <c r="MCM24" s="93"/>
      <c r="MCN24" s="93"/>
      <c r="MCO24" s="93"/>
      <c r="MCP24" s="93"/>
      <c r="MCQ24" s="93"/>
      <c r="MCR24" s="93"/>
      <c r="MCS24" s="93"/>
      <c r="MCT24" s="93"/>
      <c r="MCU24" s="93"/>
      <c r="MCV24" s="93"/>
      <c r="MCW24" s="93"/>
      <c r="MCX24" s="93"/>
      <c r="MCY24" s="93"/>
      <c r="MCZ24" s="93"/>
      <c r="MDA24" s="93"/>
      <c r="MDB24" s="93"/>
      <c r="MDC24" s="93"/>
      <c r="MDD24" s="93"/>
      <c r="MDE24" s="93"/>
      <c r="MDF24" s="93"/>
      <c r="MDG24" s="93"/>
      <c r="MDH24" s="93"/>
      <c r="MDI24" s="93"/>
      <c r="MDJ24" s="93"/>
      <c r="MDK24" s="93"/>
      <c r="MDL24" s="93"/>
      <c r="MDM24" s="93"/>
      <c r="MDN24" s="93"/>
      <c r="MDO24" s="93"/>
      <c r="MDP24" s="93"/>
      <c r="MDQ24" s="93"/>
      <c r="MDR24" s="93"/>
      <c r="MDS24" s="93"/>
      <c r="MDT24" s="93"/>
      <c r="MDU24" s="93"/>
      <c r="MDV24" s="93"/>
      <c r="MDW24" s="93"/>
      <c r="MDX24" s="93"/>
      <c r="MDY24" s="93"/>
      <c r="MDZ24" s="93"/>
      <c r="MEA24" s="93"/>
      <c r="MEB24" s="93"/>
      <c r="MEC24" s="93"/>
      <c r="MED24" s="93"/>
      <c r="MEE24" s="93"/>
      <c r="MEF24" s="93"/>
      <c r="MEG24" s="93"/>
      <c r="MEH24" s="93"/>
      <c r="MEI24" s="93"/>
      <c r="MEJ24" s="93"/>
      <c r="MEK24" s="93"/>
      <c r="MEL24" s="93"/>
      <c r="MEM24" s="93"/>
      <c r="MEN24" s="93"/>
      <c r="MEO24" s="93"/>
      <c r="MEP24" s="93"/>
      <c r="MEQ24" s="93"/>
      <c r="MER24" s="93"/>
      <c r="MES24" s="93"/>
      <c r="MET24" s="93"/>
      <c r="MEU24" s="93"/>
      <c r="MEV24" s="93"/>
      <c r="MEW24" s="93"/>
      <c r="MEX24" s="93"/>
      <c r="MEY24" s="93"/>
      <c r="MEZ24" s="93"/>
      <c r="MFA24" s="93"/>
      <c r="MFB24" s="93"/>
      <c r="MFC24" s="93"/>
      <c r="MFD24" s="93"/>
      <c r="MFE24" s="93"/>
      <c r="MFF24" s="93"/>
      <c r="MFG24" s="93"/>
      <c r="MFH24" s="93"/>
      <c r="MFI24" s="93"/>
      <c r="MFJ24" s="93"/>
      <c r="MFK24" s="93"/>
      <c r="MFL24" s="93"/>
      <c r="MFM24" s="93"/>
      <c r="MFN24" s="93"/>
      <c r="MFO24" s="93"/>
      <c r="MFP24" s="93"/>
      <c r="MFQ24" s="93"/>
      <c r="MFR24" s="93"/>
      <c r="MFS24" s="93"/>
      <c r="MFT24" s="93"/>
      <c r="MFU24" s="93"/>
      <c r="MFV24" s="93"/>
      <c r="MFW24" s="93"/>
      <c r="MFX24" s="93"/>
      <c r="MFY24" s="93"/>
      <c r="MFZ24" s="93"/>
      <c r="MGA24" s="93"/>
      <c r="MGB24" s="93"/>
      <c r="MGC24" s="93"/>
      <c r="MGD24" s="93"/>
      <c r="MGE24" s="93"/>
      <c r="MGF24" s="93"/>
      <c r="MGG24" s="93"/>
      <c r="MGH24" s="93"/>
      <c r="MGI24" s="93"/>
      <c r="MGJ24" s="93"/>
      <c r="MGK24" s="93"/>
      <c r="MGL24" s="93"/>
      <c r="MGM24" s="93"/>
      <c r="MGN24" s="93"/>
      <c r="MGO24" s="93"/>
      <c r="MGP24" s="93"/>
      <c r="MGQ24" s="93"/>
      <c r="MGR24" s="93"/>
      <c r="MGS24" s="93"/>
      <c r="MGT24" s="93"/>
      <c r="MGU24" s="93"/>
      <c r="MGV24" s="93"/>
      <c r="MGW24" s="93"/>
      <c r="MGX24" s="93"/>
      <c r="MGY24" s="93"/>
      <c r="MGZ24" s="93"/>
      <c r="MHA24" s="93"/>
      <c r="MHB24" s="93"/>
      <c r="MHC24" s="93"/>
      <c r="MHD24" s="93"/>
      <c r="MHE24" s="93"/>
      <c r="MHF24" s="93"/>
      <c r="MHG24" s="93"/>
      <c r="MHH24" s="93"/>
      <c r="MHI24" s="93"/>
      <c r="MHJ24" s="93"/>
      <c r="MHK24" s="93"/>
      <c r="MHL24" s="93"/>
      <c r="MHM24" s="93"/>
      <c r="MHN24" s="93"/>
      <c r="MHO24" s="93"/>
      <c r="MHP24" s="93"/>
      <c r="MHQ24" s="93"/>
      <c r="MHR24" s="93"/>
      <c r="MHS24" s="93"/>
      <c r="MHT24" s="93"/>
      <c r="MHU24" s="93"/>
      <c r="MHV24" s="93"/>
      <c r="MHW24" s="93"/>
      <c r="MHX24" s="93"/>
      <c r="MHY24" s="93"/>
      <c r="MHZ24" s="93"/>
      <c r="MIA24" s="93"/>
      <c r="MIB24" s="93"/>
      <c r="MIC24" s="93"/>
      <c r="MID24" s="93"/>
      <c r="MIE24" s="93"/>
      <c r="MIF24" s="93"/>
      <c r="MIG24" s="93"/>
      <c r="MIH24" s="93"/>
      <c r="MII24" s="93"/>
      <c r="MIJ24" s="93"/>
      <c r="MIK24" s="93"/>
      <c r="MIL24" s="93"/>
      <c r="MIM24" s="93"/>
      <c r="MIN24" s="93"/>
      <c r="MIO24" s="93"/>
      <c r="MIP24" s="93"/>
      <c r="MIQ24" s="93"/>
      <c r="MIR24" s="93"/>
      <c r="MIS24" s="93"/>
      <c r="MIT24" s="93"/>
      <c r="MIU24" s="93"/>
      <c r="MIV24" s="93"/>
      <c r="MIW24" s="93"/>
      <c r="MIX24" s="93"/>
      <c r="MIY24" s="93"/>
      <c r="MIZ24" s="93"/>
      <c r="MJA24" s="93"/>
      <c r="MJB24" s="93"/>
      <c r="MJC24" s="93"/>
      <c r="MJD24" s="93"/>
      <c r="MJE24" s="93"/>
      <c r="MJF24" s="93"/>
      <c r="MJG24" s="93"/>
      <c r="MJH24" s="93"/>
      <c r="MJI24" s="93"/>
      <c r="MJJ24" s="93"/>
      <c r="MJK24" s="93"/>
      <c r="MJL24" s="93"/>
      <c r="MJM24" s="93"/>
      <c r="MJN24" s="93"/>
      <c r="MJO24" s="93"/>
      <c r="MJP24" s="93"/>
      <c r="MJQ24" s="93"/>
      <c r="MJR24" s="93"/>
      <c r="MJS24" s="93"/>
      <c r="MJT24" s="93"/>
      <c r="MJU24" s="93"/>
      <c r="MJV24" s="93"/>
      <c r="MJW24" s="93"/>
      <c r="MJX24" s="93"/>
      <c r="MJY24" s="93"/>
      <c r="MJZ24" s="93"/>
      <c r="MKA24" s="93"/>
      <c r="MKB24" s="93"/>
      <c r="MKC24" s="93"/>
      <c r="MKD24" s="93"/>
      <c r="MKE24" s="93"/>
      <c r="MKF24" s="93"/>
      <c r="MKG24" s="93"/>
      <c r="MKH24" s="93"/>
      <c r="MKI24" s="93"/>
      <c r="MKJ24" s="93"/>
      <c r="MKK24" s="93"/>
      <c r="MKL24" s="93"/>
      <c r="MKM24" s="93"/>
      <c r="MKN24" s="93"/>
      <c r="MKO24" s="93"/>
      <c r="MKP24" s="93"/>
      <c r="MKQ24" s="93"/>
      <c r="MKR24" s="93"/>
      <c r="MKS24" s="93"/>
      <c r="MKT24" s="93"/>
      <c r="MKU24" s="93"/>
      <c r="MKV24" s="93"/>
      <c r="MKW24" s="93"/>
      <c r="MKX24" s="93"/>
      <c r="MKY24" s="93"/>
      <c r="MKZ24" s="93"/>
      <c r="MLA24" s="93"/>
      <c r="MLB24" s="93"/>
      <c r="MLC24" s="93"/>
      <c r="MLD24" s="93"/>
      <c r="MLE24" s="93"/>
      <c r="MLF24" s="93"/>
      <c r="MLG24" s="93"/>
      <c r="MLH24" s="93"/>
      <c r="MLI24" s="93"/>
      <c r="MLJ24" s="93"/>
      <c r="MLK24" s="93"/>
      <c r="MLL24" s="93"/>
      <c r="MLM24" s="93"/>
      <c r="MLN24" s="93"/>
      <c r="MLO24" s="93"/>
      <c r="MLP24" s="93"/>
      <c r="MLQ24" s="93"/>
      <c r="MLR24" s="93"/>
      <c r="MLS24" s="93"/>
      <c r="MLT24" s="93"/>
      <c r="MLU24" s="93"/>
      <c r="MLV24" s="93"/>
      <c r="MLW24" s="93"/>
      <c r="MLX24" s="93"/>
      <c r="MLY24" s="93"/>
      <c r="MLZ24" s="93"/>
      <c r="MMA24" s="93"/>
      <c r="MMB24" s="93"/>
      <c r="MMC24" s="93"/>
      <c r="MMD24" s="93"/>
      <c r="MME24" s="93"/>
      <c r="MMF24" s="93"/>
      <c r="MMG24" s="93"/>
      <c r="MMH24" s="93"/>
      <c r="MMI24" s="93"/>
      <c r="MMJ24" s="93"/>
      <c r="MMK24" s="93"/>
      <c r="MML24" s="93"/>
      <c r="MMM24" s="93"/>
      <c r="MMN24" s="93"/>
      <c r="MMO24" s="93"/>
      <c r="MMP24" s="93"/>
      <c r="MMQ24" s="93"/>
      <c r="MMR24" s="93"/>
      <c r="MMS24" s="93"/>
      <c r="MMT24" s="93"/>
      <c r="MMU24" s="93"/>
      <c r="MMV24" s="93"/>
      <c r="MMW24" s="93"/>
      <c r="MMX24" s="93"/>
      <c r="MMY24" s="93"/>
      <c r="MMZ24" s="93"/>
      <c r="MNA24" s="93"/>
      <c r="MNB24" s="93"/>
      <c r="MNC24" s="93"/>
      <c r="MND24" s="93"/>
      <c r="MNE24" s="93"/>
      <c r="MNF24" s="93"/>
      <c r="MNG24" s="93"/>
      <c r="MNH24" s="93"/>
      <c r="MNI24" s="93"/>
      <c r="MNJ24" s="93"/>
      <c r="MNK24" s="93"/>
      <c r="MNL24" s="93"/>
      <c r="MNM24" s="93"/>
      <c r="MNN24" s="93"/>
      <c r="MNO24" s="93"/>
      <c r="MNP24" s="93"/>
      <c r="MNQ24" s="93"/>
      <c r="MNR24" s="93"/>
      <c r="MNS24" s="93"/>
      <c r="MNT24" s="93"/>
      <c r="MNU24" s="93"/>
      <c r="MNV24" s="93"/>
      <c r="MNW24" s="93"/>
      <c r="MNX24" s="93"/>
      <c r="MNY24" s="93"/>
      <c r="MNZ24" s="93"/>
      <c r="MOA24" s="93"/>
      <c r="MOB24" s="93"/>
      <c r="MOC24" s="93"/>
      <c r="MOD24" s="93"/>
      <c r="MOE24" s="93"/>
      <c r="MOF24" s="93"/>
      <c r="MOG24" s="93"/>
      <c r="MOH24" s="93"/>
      <c r="MOI24" s="93"/>
      <c r="MOJ24" s="93"/>
      <c r="MOK24" s="93"/>
      <c r="MOL24" s="93"/>
      <c r="MOM24" s="93"/>
      <c r="MON24" s="93"/>
      <c r="MOO24" s="93"/>
      <c r="MOP24" s="93"/>
      <c r="MOQ24" s="93"/>
      <c r="MOR24" s="93"/>
      <c r="MOS24" s="93"/>
      <c r="MOT24" s="93"/>
      <c r="MOU24" s="93"/>
      <c r="MOV24" s="93"/>
      <c r="MOW24" s="93"/>
      <c r="MOX24" s="93"/>
      <c r="MOY24" s="93"/>
      <c r="MOZ24" s="93"/>
      <c r="MPA24" s="93"/>
      <c r="MPB24" s="93"/>
      <c r="MPC24" s="93"/>
      <c r="MPD24" s="93"/>
      <c r="MPE24" s="93"/>
      <c r="MPF24" s="93"/>
      <c r="MPG24" s="93"/>
      <c r="MPH24" s="93"/>
      <c r="MPI24" s="93"/>
      <c r="MPJ24" s="93"/>
      <c r="MPK24" s="93"/>
      <c r="MPL24" s="93"/>
      <c r="MPM24" s="93"/>
      <c r="MPN24" s="93"/>
      <c r="MPO24" s="93"/>
      <c r="MPP24" s="93"/>
      <c r="MPQ24" s="93"/>
      <c r="MPR24" s="93"/>
      <c r="MPS24" s="93"/>
      <c r="MPT24" s="93"/>
      <c r="MPU24" s="93"/>
      <c r="MPV24" s="93"/>
      <c r="MPW24" s="93"/>
      <c r="MPX24" s="93"/>
      <c r="MPY24" s="93"/>
      <c r="MPZ24" s="93"/>
      <c r="MQA24" s="93"/>
      <c r="MQB24" s="93"/>
      <c r="MQC24" s="93"/>
      <c r="MQD24" s="93"/>
      <c r="MQE24" s="93"/>
      <c r="MQF24" s="93"/>
      <c r="MQG24" s="93"/>
      <c r="MQH24" s="93"/>
      <c r="MQI24" s="93"/>
      <c r="MQJ24" s="93"/>
      <c r="MQK24" s="93"/>
      <c r="MQL24" s="93"/>
      <c r="MQM24" s="93"/>
      <c r="MQN24" s="93"/>
      <c r="MQO24" s="93"/>
      <c r="MQP24" s="93"/>
      <c r="MQQ24" s="93"/>
      <c r="MQR24" s="93"/>
      <c r="MQS24" s="93"/>
      <c r="MQT24" s="93"/>
      <c r="MQU24" s="93"/>
      <c r="MQV24" s="93"/>
      <c r="MQW24" s="93"/>
      <c r="MQX24" s="93"/>
      <c r="MQY24" s="93"/>
      <c r="MQZ24" s="93"/>
      <c r="MRA24" s="93"/>
      <c r="MRB24" s="93"/>
      <c r="MRC24" s="93"/>
      <c r="MRD24" s="93"/>
      <c r="MRE24" s="93"/>
      <c r="MRF24" s="93"/>
      <c r="MRG24" s="93"/>
      <c r="MRH24" s="93"/>
      <c r="MRI24" s="93"/>
      <c r="MRJ24" s="93"/>
      <c r="MRK24" s="93"/>
      <c r="MRL24" s="93"/>
      <c r="MRM24" s="93"/>
      <c r="MRN24" s="93"/>
      <c r="MRO24" s="93"/>
      <c r="MRP24" s="93"/>
      <c r="MRQ24" s="93"/>
      <c r="MRR24" s="93"/>
      <c r="MRS24" s="93"/>
      <c r="MRT24" s="93"/>
      <c r="MRU24" s="93"/>
      <c r="MRV24" s="93"/>
      <c r="MRW24" s="93"/>
      <c r="MRX24" s="93"/>
      <c r="MRY24" s="93"/>
      <c r="MRZ24" s="93"/>
      <c r="MSA24" s="93"/>
      <c r="MSB24" s="93"/>
      <c r="MSC24" s="93"/>
      <c r="MSD24" s="93"/>
      <c r="MSE24" s="93"/>
      <c r="MSF24" s="93"/>
      <c r="MSG24" s="93"/>
      <c r="MSH24" s="93"/>
      <c r="MSI24" s="93"/>
      <c r="MSJ24" s="93"/>
      <c r="MSK24" s="93"/>
      <c r="MSL24" s="93"/>
      <c r="MSM24" s="93"/>
      <c r="MSN24" s="93"/>
      <c r="MSO24" s="93"/>
      <c r="MSP24" s="93"/>
      <c r="MSQ24" s="93"/>
      <c r="MSR24" s="93"/>
      <c r="MSS24" s="93"/>
      <c r="MST24" s="93"/>
      <c r="MSU24" s="93"/>
      <c r="MSV24" s="93"/>
      <c r="MSW24" s="93"/>
      <c r="MSX24" s="93"/>
      <c r="MSY24" s="93"/>
      <c r="MSZ24" s="93"/>
      <c r="MTA24" s="93"/>
      <c r="MTB24" s="93"/>
      <c r="MTC24" s="93"/>
      <c r="MTD24" s="93"/>
      <c r="MTE24" s="93"/>
      <c r="MTF24" s="93"/>
      <c r="MTG24" s="93"/>
      <c r="MTH24" s="93"/>
      <c r="MTI24" s="93"/>
      <c r="MTJ24" s="93"/>
      <c r="MTK24" s="93"/>
      <c r="MTL24" s="93"/>
      <c r="MTM24" s="93"/>
      <c r="MTN24" s="93"/>
      <c r="MTO24" s="93"/>
      <c r="MTP24" s="93"/>
      <c r="MTQ24" s="93"/>
      <c r="MTR24" s="93"/>
      <c r="MTS24" s="93"/>
      <c r="MTT24" s="93"/>
      <c r="MTU24" s="93"/>
      <c r="MTV24" s="93"/>
      <c r="MTW24" s="93"/>
      <c r="MTX24" s="93"/>
      <c r="MTY24" s="93"/>
      <c r="MTZ24" s="93"/>
      <c r="MUA24" s="93"/>
      <c r="MUB24" s="93"/>
      <c r="MUC24" s="93"/>
      <c r="MUD24" s="93"/>
      <c r="MUE24" s="93"/>
      <c r="MUF24" s="93"/>
      <c r="MUG24" s="93"/>
      <c r="MUH24" s="93"/>
      <c r="MUI24" s="93"/>
      <c r="MUJ24" s="93"/>
      <c r="MUK24" s="93"/>
      <c r="MUL24" s="93"/>
      <c r="MUM24" s="93"/>
      <c r="MUN24" s="93"/>
      <c r="MUO24" s="93"/>
      <c r="MUP24" s="93"/>
      <c r="MUQ24" s="93"/>
      <c r="MUR24" s="93"/>
      <c r="MUS24" s="93"/>
      <c r="MUT24" s="93"/>
      <c r="MUU24" s="93"/>
      <c r="MUV24" s="93"/>
      <c r="MUW24" s="93"/>
      <c r="MUX24" s="93"/>
      <c r="MUY24" s="93"/>
      <c r="MUZ24" s="93"/>
      <c r="MVA24" s="93"/>
      <c r="MVB24" s="93"/>
      <c r="MVC24" s="93"/>
      <c r="MVD24" s="93"/>
      <c r="MVE24" s="93"/>
      <c r="MVF24" s="93"/>
      <c r="MVG24" s="93"/>
      <c r="MVH24" s="93"/>
      <c r="MVI24" s="93"/>
      <c r="MVJ24" s="93"/>
      <c r="MVK24" s="93"/>
      <c r="MVL24" s="93"/>
      <c r="MVM24" s="93"/>
      <c r="MVN24" s="93"/>
      <c r="MVO24" s="93"/>
      <c r="MVP24" s="93"/>
      <c r="MVQ24" s="93"/>
      <c r="MVR24" s="93"/>
      <c r="MVS24" s="93"/>
      <c r="MVT24" s="93"/>
      <c r="MVU24" s="93"/>
      <c r="MVV24" s="93"/>
      <c r="MVW24" s="93"/>
      <c r="MVX24" s="93"/>
      <c r="MVY24" s="93"/>
      <c r="MVZ24" s="93"/>
      <c r="MWA24" s="93"/>
      <c r="MWB24" s="93"/>
      <c r="MWC24" s="93"/>
      <c r="MWD24" s="93"/>
      <c r="MWE24" s="93"/>
      <c r="MWF24" s="93"/>
      <c r="MWG24" s="93"/>
      <c r="MWH24" s="93"/>
      <c r="MWI24" s="93"/>
      <c r="MWJ24" s="93"/>
      <c r="MWK24" s="93"/>
      <c r="MWL24" s="93"/>
      <c r="MWM24" s="93"/>
      <c r="MWN24" s="93"/>
      <c r="MWO24" s="93"/>
      <c r="MWP24" s="93"/>
      <c r="MWQ24" s="93"/>
      <c r="MWR24" s="93"/>
      <c r="MWS24" s="93"/>
      <c r="MWT24" s="93"/>
      <c r="MWU24" s="93"/>
      <c r="MWV24" s="93"/>
      <c r="MWW24" s="93"/>
      <c r="MWX24" s="93"/>
      <c r="MWY24" s="93"/>
      <c r="MWZ24" s="93"/>
      <c r="MXA24" s="93"/>
      <c r="MXB24" s="93"/>
      <c r="MXC24" s="93"/>
      <c r="MXD24" s="93"/>
      <c r="MXE24" s="93"/>
      <c r="MXF24" s="93"/>
      <c r="MXG24" s="93"/>
      <c r="MXH24" s="93"/>
      <c r="MXI24" s="93"/>
      <c r="MXJ24" s="93"/>
      <c r="MXK24" s="93"/>
      <c r="MXL24" s="93"/>
      <c r="MXM24" s="93"/>
      <c r="MXN24" s="93"/>
      <c r="MXO24" s="93"/>
      <c r="MXP24" s="93"/>
      <c r="MXQ24" s="93"/>
      <c r="MXR24" s="93"/>
      <c r="MXS24" s="93"/>
      <c r="MXT24" s="93"/>
      <c r="MXU24" s="93"/>
      <c r="MXV24" s="93"/>
      <c r="MXW24" s="93"/>
      <c r="MXX24" s="93"/>
      <c r="MXY24" s="93"/>
      <c r="MXZ24" s="93"/>
      <c r="MYA24" s="93"/>
      <c r="MYB24" s="93"/>
      <c r="MYC24" s="93"/>
      <c r="MYD24" s="93"/>
      <c r="MYE24" s="93"/>
      <c r="MYF24" s="93"/>
      <c r="MYG24" s="93"/>
      <c r="MYH24" s="93"/>
      <c r="MYI24" s="93"/>
      <c r="MYJ24" s="93"/>
      <c r="MYK24" s="93"/>
      <c r="MYL24" s="93"/>
      <c r="MYM24" s="93"/>
      <c r="MYN24" s="93"/>
      <c r="MYO24" s="93"/>
      <c r="MYP24" s="93"/>
      <c r="MYQ24" s="93"/>
      <c r="MYR24" s="93"/>
      <c r="MYS24" s="93"/>
      <c r="MYT24" s="93"/>
      <c r="MYU24" s="93"/>
      <c r="MYV24" s="93"/>
      <c r="MYW24" s="93"/>
      <c r="MYX24" s="93"/>
      <c r="MYY24" s="93"/>
      <c r="MYZ24" s="93"/>
      <c r="MZA24" s="93"/>
      <c r="MZB24" s="93"/>
      <c r="MZC24" s="93"/>
      <c r="MZD24" s="93"/>
      <c r="MZE24" s="93"/>
      <c r="MZF24" s="93"/>
      <c r="MZG24" s="93"/>
      <c r="MZH24" s="93"/>
      <c r="MZI24" s="93"/>
      <c r="MZJ24" s="93"/>
      <c r="MZK24" s="93"/>
      <c r="MZL24" s="93"/>
      <c r="MZM24" s="93"/>
      <c r="MZN24" s="93"/>
      <c r="MZO24" s="93"/>
      <c r="MZP24" s="93"/>
      <c r="MZQ24" s="93"/>
      <c r="MZR24" s="93"/>
      <c r="MZS24" s="93"/>
      <c r="MZT24" s="93"/>
      <c r="MZU24" s="93"/>
      <c r="MZV24" s="93"/>
      <c r="MZW24" s="93"/>
      <c r="MZX24" s="93"/>
      <c r="MZY24" s="93"/>
      <c r="MZZ24" s="93"/>
      <c r="NAA24" s="93"/>
      <c r="NAB24" s="93"/>
      <c r="NAC24" s="93"/>
      <c r="NAD24" s="93"/>
      <c r="NAE24" s="93"/>
      <c r="NAF24" s="93"/>
      <c r="NAG24" s="93"/>
      <c r="NAH24" s="93"/>
      <c r="NAI24" s="93"/>
      <c r="NAJ24" s="93"/>
      <c r="NAK24" s="93"/>
      <c r="NAL24" s="93"/>
      <c r="NAM24" s="93"/>
      <c r="NAN24" s="93"/>
      <c r="NAO24" s="93"/>
      <c r="NAP24" s="93"/>
      <c r="NAQ24" s="93"/>
      <c r="NAR24" s="93"/>
      <c r="NAS24" s="93"/>
      <c r="NAT24" s="93"/>
      <c r="NAU24" s="93"/>
      <c r="NAV24" s="93"/>
      <c r="NAW24" s="93"/>
      <c r="NAX24" s="93"/>
      <c r="NAY24" s="93"/>
      <c r="NAZ24" s="93"/>
      <c r="NBA24" s="93"/>
      <c r="NBB24" s="93"/>
      <c r="NBC24" s="93"/>
      <c r="NBD24" s="93"/>
      <c r="NBE24" s="93"/>
      <c r="NBF24" s="93"/>
      <c r="NBG24" s="93"/>
      <c r="NBH24" s="93"/>
      <c r="NBI24" s="93"/>
      <c r="NBJ24" s="93"/>
      <c r="NBK24" s="93"/>
      <c r="NBL24" s="93"/>
      <c r="NBM24" s="93"/>
      <c r="NBN24" s="93"/>
      <c r="NBO24" s="93"/>
      <c r="NBP24" s="93"/>
      <c r="NBQ24" s="93"/>
      <c r="NBR24" s="93"/>
      <c r="NBS24" s="93"/>
      <c r="NBT24" s="93"/>
      <c r="NBU24" s="93"/>
      <c r="NBV24" s="93"/>
      <c r="NBW24" s="93"/>
      <c r="NBX24" s="93"/>
      <c r="NBY24" s="93"/>
      <c r="NBZ24" s="93"/>
      <c r="NCA24" s="93"/>
      <c r="NCB24" s="93"/>
      <c r="NCC24" s="93"/>
      <c r="NCD24" s="93"/>
      <c r="NCE24" s="93"/>
      <c r="NCF24" s="93"/>
      <c r="NCG24" s="93"/>
      <c r="NCH24" s="93"/>
      <c r="NCI24" s="93"/>
      <c r="NCJ24" s="93"/>
      <c r="NCK24" s="93"/>
      <c r="NCL24" s="93"/>
      <c r="NCM24" s="93"/>
      <c r="NCN24" s="93"/>
      <c r="NCO24" s="93"/>
      <c r="NCP24" s="93"/>
      <c r="NCQ24" s="93"/>
      <c r="NCR24" s="93"/>
      <c r="NCS24" s="93"/>
      <c r="NCT24" s="93"/>
      <c r="NCU24" s="93"/>
      <c r="NCV24" s="93"/>
      <c r="NCW24" s="93"/>
      <c r="NCX24" s="93"/>
      <c r="NCY24" s="93"/>
      <c r="NCZ24" s="93"/>
      <c r="NDA24" s="93"/>
      <c r="NDB24" s="93"/>
      <c r="NDC24" s="93"/>
      <c r="NDD24" s="93"/>
      <c r="NDE24" s="93"/>
      <c r="NDF24" s="93"/>
      <c r="NDG24" s="93"/>
      <c r="NDH24" s="93"/>
      <c r="NDI24" s="93"/>
      <c r="NDJ24" s="93"/>
      <c r="NDK24" s="93"/>
      <c r="NDL24" s="93"/>
      <c r="NDM24" s="93"/>
      <c r="NDN24" s="93"/>
      <c r="NDO24" s="93"/>
      <c r="NDP24" s="93"/>
      <c r="NDQ24" s="93"/>
      <c r="NDR24" s="93"/>
      <c r="NDS24" s="93"/>
      <c r="NDT24" s="93"/>
      <c r="NDU24" s="93"/>
      <c r="NDV24" s="93"/>
      <c r="NDW24" s="93"/>
      <c r="NDX24" s="93"/>
      <c r="NDY24" s="93"/>
      <c r="NDZ24" s="93"/>
      <c r="NEA24" s="93"/>
      <c r="NEB24" s="93"/>
      <c r="NEC24" s="93"/>
      <c r="NED24" s="93"/>
      <c r="NEE24" s="93"/>
      <c r="NEF24" s="93"/>
      <c r="NEG24" s="93"/>
      <c r="NEH24" s="93"/>
      <c r="NEI24" s="93"/>
      <c r="NEJ24" s="93"/>
      <c r="NEK24" s="93"/>
      <c r="NEL24" s="93"/>
      <c r="NEM24" s="93"/>
      <c r="NEN24" s="93"/>
      <c r="NEO24" s="93"/>
      <c r="NEP24" s="93"/>
      <c r="NEQ24" s="93"/>
      <c r="NER24" s="93"/>
      <c r="NES24" s="93"/>
      <c r="NET24" s="93"/>
      <c r="NEU24" s="93"/>
      <c r="NEV24" s="93"/>
      <c r="NEW24" s="93"/>
      <c r="NEX24" s="93"/>
      <c r="NEY24" s="93"/>
      <c r="NEZ24" s="93"/>
      <c r="NFA24" s="93"/>
      <c r="NFB24" s="93"/>
      <c r="NFC24" s="93"/>
      <c r="NFD24" s="93"/>
      <c r="NFE24" s="93"/>
      <c r="NFF24" s="93"/>
      <c r="NFG24" s="93"/>
      <c r="NFH24" s="93"/>
      <c r="NFI24" s="93"/>
      <c r="NFJ24" s="93"/>
      <c r="NFK24" s="93"/>
      <c r="NFL24" s="93"/>
      <c r="NFM24" s="93"/>
      <c r="NFN24" s="93"/>
      <c r="NFO24" s="93"/>
      <c r="NFP24" s="93"/>
      <c r="NFQ24" s="93"/>
      <c r="NFR24" s="93"/>
      <c r="NFS24" s="93"/>
      <c r="NFT24" s="93"/>
      <c r="NFU24" s="93"/>
      <c r="NFV24" s="93"/>
      <c r="NFW24" s="93"/>
      <c r="NFX24" s="93"/>
      <c r="NFY24" s="93"/>
      <c r="NFZ24" s="93"/>
      <c r="NGA24" s="93"/>
      <c r="NGB24" s="93"/>
      <c r="NGC24" s="93"/>
      <c r="NGD24" s="93"/>
      <c r="NGE24" s="93"/>
      <c r="NGF24" s="93"/>
      <c r="NGG24" s="93"/>
      <c r="NGH24" s="93"/>
      <c r="NGI24" s="93"/>
      <c r="NGJ24" s="93"/>
      <c r="NGK24" s="93"/>
      <c r="NGL24" s="93"/>
      <c r="NGM24" s="93"/>
      <c r="NGN24" s="93"/>
      <c r="NGO24" s="93"/>
      <c r="NGP24" s="93"/>
      <c r="NGQ24" s="93"/>
      <c r="NGR24" s="93"/>
      <c r="NGS24" s="93"/>
      <c r="NGT24" s="93"/>
      <c r="NGU24" s="93"/>
      <c r="NGV24" s="93"/>
      <c r="NGW24" s="93"/>
      <c r="NGX24" s="93"/>
      <c r="NGY24" s="93"/>
      <c r="NGZ24" s="93"/>
      <c r="NHA24" s="93"/>
      <c r="NHB24" s="93"/>
      <c r="NHC24" s="93"/>
      <c r="NHD24" s="93"/>
      <c r="NHE24" s="93"/>
      <c r="NHF24" s="93"/>
      <c r="NHG24" s="93"/>
      <c r="NHH24" s="93"/>
      <c r="NHI24" s="93"/>
      <c r="NHJ24" s="93"/>
      <c r="NHK24" s="93"/>
      <c r="NHL24" s="93"/>
      <c r="NHM24" s="93"/>
      <c r="NHN24" s="93"/>
      <c r="NHO24" s="93"/>
      <c r="NHP24" s="93"/>
      <c r="NHQ24" s="93"/>
      <c r="NHR24" s="93"/>
      <c r="NHS24" s="93"/>
      <c r="NHT24" s="93"/>
      <c r="NHU24" s="93"/>
      <c r="NHV24" s="93"/>
      <c r="NHW24" s="93"/>
      <c r="NHX24" s="93"/>
      <c r="NHY24" s="93"/>
      <c r="NHZ24" s="93"/>
      <c r="NIA24" s="93"/>
      <c r="NIB24" s="93"/>
      <c r="NIC24" s="93"/>
      <c r="NID24" s="93"/>
      <c r="NIE24" s="93"/>
      <c r="NIF24" s="93"/>
      <c r="NIG24" s="93"/>
      <c r="NIH24" s="93"/>
      <c r="NII24" s="93"/>
      <c r="NIJ24" s="93"/>
      <c r="NIK24" s="93"/>
      <c r="NIL24" s="93"/>
      <c r="NIM24" s="93"/>
      <c r="NIN24" s="93"/>
      <c r="NIO24" s="93"/>
      <c r="NIP24" s="93"/>
      <c r="NIQ24" s="93"/>
      <c r="NIR24" s="93"/>
      <c r="NIS24" s="93"/>
      <c r="NIT24" s="93"/>
      <c r="NIU24" s="93"/>
      <c r="NIV24" s="93"/>
      <c r="NIW24" s="93"/>
      <c r="NIX24" s="93"/>
      <c r="NIY24" s="93"/>
      <c r="NIZ24" s="93"/>
      <c r="NJA24" s="93"/>
      <c r="NJB24" s="93"/>
      <c r="NJC24" s="93"/>
      <c r="NJD24" s="93"/>
      <c r="NJE24" s="93"/>
      <c r="NJF24" s="93"/>
      <c r="NJG24" s="93"/>
      <c r="NJH24" s="93"/>
      <c r="NJI24" s="93"/>
      <c r="NJJ24" s="93"/>
      <c r="NJK24" s="93"/>
      <c r="NJL24" s="93"/>
      <c r="NJM24" s="93"/>
      <c r="NJN24" s="93"/>
      <c r="NJO24" s="93"/>
      <c r="NJP24" s="93"/>
      <c r="NJQ24" s="93"/>
      <c r="NJR24" s="93"/>
      <c r="NJS24" s="93"/>
      <c r="NJT24" s="93"/>
      <c r="NJU24" s="93"/>
      <c r="NJV24" s="93"/>
      <c r="NJW24" s="93"/>
      <c r="NJX24" s="93"/>
      <c r="NJY24" s="93"/>
      <c r="NJZ24" s="93"/>
      <c r="NKA24" s="93"/>
      <c r="NKB24" s="93"/>
      <c r="NKC24" s="93"/>
      <c r="NKD24" s="93"/>
      <c r="NKE24" s="93"/>
      <c r="NKF24" s="93"/>
      <c r="NKG24" s="93"/>
      <c r="NKH24" s="93"/>
      <c r="NKI24" s="93"/>
      <c r="NKJ24" s="93"/>
      <c r="NKK24" s="93"/>
      <c r="NKL24" s="93"/>
      <c r="NKM24" s="93"/>
      <c r="NKN24" s="93"/>
      <c r="NKO24" s="93"/>
      <c r="NKP24" s="93"/>
      <c r="NKQ24" s="93"/>
      <c r="NKR24" s="93"/>
      <c r="NKS24" s="93"/>
      <c r="NKT24" s="93"/>
      <c r="NKU24" s="93"/>
      <c r="NKV24" s="93"/>
      <c r="NKW24" s="93"/>
      <c r="NKX24" s="93"/>
      <c r="NKY24" s="93"/>
      <c r="NKZ24" s="93"/>
      <c r="NLA24" s="93"/>
      <c r="NLB24" s="93"/>
      <c r="NLC24" s="93"/>
      <c r="NLD24" s="93"/>
      <c r="NLE24" s="93"/>
      <c r="NLF24" s="93"/>
      <c r="NLG24" s="93"/>
      <c r="NLH24" s="93"/>
      <c r="NLI24" s="93"/>
      <c r="NLJ24" s="93"/>
      <c r="NLK24" s="93"/>
      <c r="NLL24" s="93"/>
      <c r="NLM24" s="93"/>
      <c r="NLN24" s="93"/>
      <c r="NLO24" s="93"/>
      <c r="NLP24" s="93"/>
      <c r="NLQ24" s="93"/>
      <c r="NLR24" s="93"/>
      <c r="NLS24" s="93"/>
      <c r="NLT24" s="93"/>
      <c r="NLU24" s="93"/>
      <c r="NLV24" s="93"/>
      <c r="NLW24" s="93"/>
      <c r="NLX24" s="93"/>
      <c r="NLY24" s="93"/>
      <c r="NLZ24" s="93"/>
      <c r="NMA24" s="93"/>
      <c r="NMB24" s="93"/>
      <c r="NMC24" s="93"/>
      <c r="NMD24" s="93"/>
      <c r="NME24" s="93"/>
      <c r="NMF24" s="93"/>
      <c r="NMG24" s="93"/>
      <c r="NMH24" s="93"/>
      <c r="NMI24" s="93"/>
      <c r="NMJ24" s="93"/>
      <c r="NMK24" s="93"/>
      <c r="NML24" s="93"/>
      <c r="NMM24" s="93"/>
      <c r="NMN24" s="93"/>
      <c r="NMO24" s="93"/>
      <c r="NMP24" s="93"/>
      <c r="NMQ24" s="93"/>
      <c r="NMR24" s="93"/>
      <c r="NMS24" s="93"/>
      <c r="NMT24" s="93"/>
      <c r="NMU24" s="93"/>
      <c r="NMV24" s="93"/>
      <c r="NMW24" s="93"/>
      <c r="NMX24" s="93"/>
      <c r="NMY24" s="93"/>
      <c r="NMZ24" s="93"/>
      <c r="NNA24" s="93"/>
      <c r="NNB24" s="93"/>
      <c r="NNC24" s="93"/>
      <c r="NND24" s="93"/>
      <c r="NNE24" s="93"/>
      <c r="NNF24" s="93"/>
      <c r="NNG24" s="93"/>
      <c r="NNH24" s="93"/>
      <c r="NNI24" s="93"/>
      <c r="NNJ24" s="93"/>
      <c r="NNK24" s="93"/>
      <c r="NNL24" s="93"/>
      <c r="NNM24" s="93"/>
      <c r="NNN24" s="93"/>
      <c r="NNO24" s="93"/>
      <c r="NNP24" s="93"/>
      <c r="NNQ24" s="93"/>
      <c r="NNR24" s="93"/>
      <c r="NNS24" s="93"/>
      <c r="NNT24" s="93"/>
      <c r="NNU24" s="93"/>
      <c r="NNV24" s="93"/>
      <c r="NNW24" s="93"/>
      <c r="NNX24" s="93"/>
      <c r="NNY24" s="93"/>
      <c r="NNZ24" s="93"/>
      <c r="NOA24" s="93"/>
      <c r="NOB24" s="93"/>
      <c r="NOC24" s="93"/>
      <c r="NOD24" s="93"/>
      <c r="NOE24" s="93"/>
      <c r="NOF24" s="93"/>
      <c r="NOG24" s="93"/>
      <c r="NOH24" s="93"/>
      <c r="NOI24" s="93"/>
      <c r="NOJ24" s="93"/>
      <c r="NOK24" s="93"/>
      <c r="NOL24" s="93"/>
      <c r="NOM24" s="93"/>
      <c r="NON24" s="93"/>
      <c r="NOO24" s="93"/>
      <c r="NOP24" s="93"/>
      <c r="NOQ24" s="93"/>
      <c r="NOR24" s="93"/>
      <c r="NOS24" s="93"/>
      <c r="NOT24" s="93"/>
      <c r="NOU24" s="93"/>
      <c r="NOV24" s="93"/>
      <c r="NOW24" s="93"/>
      <c r="NOX24" s="93"/>
      <c r="NOY24" s="93"/>
      <c r="NOZ24" s="93"/>
      <c r="NPA24" s="93"/>
      <c r="NPB24" s="93"/>
      <c r="NPC24" s="93"/>
      <c r="NPD24" s="93"/>
      <c r="NPE24" s="93"/>
      <c r="NPF24" s="93"/>
      <c r="NPG24" s="93"/>
      <c r="NPH24" s="93"/>
      <c r="NPI24" s="93"/>
      <c r="NPJ24" s="93"/>
      <c r="NPK24" s="93"/>
      <c r="NPL24" s="93"/>
      <c r="NPM24" s="93"/>
      <c r="NPN24" s="93"/>
      <c r="NPO24" s="93"/>
      <c r="NPP24" s="93"/>
      <c r="NPQ24" s="93"/>
      <c r="NPR24" s="93"/>
      <c r="NPS24" s="93"/>
      <c r="NPT24" s="93"/>
      <c r="NPU24" s="93"/>
      <c r="NPV24" s="93"/>
      <c r="NPW24" s="93"/>
      <c r="NPX24" s="93"/>
      <c r="NPY24" s="93"/>
      <c r="NPZ24" s="93"/>
      <c r="NQA24" s="93"/>
      <c r="NQB24" s="93"/>
      <c r="NQC24" s="93"/>
      <c r="NQD24" s="93"/>
      <c r="NQE24" s="93"/>
      <c r="NQF24" s="93"/>
      <c r="NQG24" s="93"/>
      <c r="NQH24" s="93"/>
      <c r="NQI24" s="93"/>
      <c r="NQJ24" s="93"/>
      <c r="NQK24" s="93"/>
      <c r="NQL24" s="93"/>
      <c r="NQM24" s="93"/>
      <c r="NQN24" s="93"/>
      <c r="NQO24" s="93"/>
      <c r="NQP24" s="93"/>
      <c r="NQQ24" s="93"/>
      <c r="NQR24" s="93"/>
      <c r="NQS24" s="93"/>
      <c r="NQT24" s="93"/>
      <c r="NQU24" s="93"/>
      <c r="NQV24" s="93"/>
      <c r="NQW24" s="93"/>
      <c r="NQX24" s="93"/>
      <c r="NQY24" s="93"/>
      <c r="NQZ24" s="93"/>
      <c r="NRA24" s="93"/>
      <c r="NRB24" s="93"/>
      <c r="NRC24" s="93"/>
      <c r="NRD24" s="93"/>
      <c r="NRE24" s="93"/>
      <c r="NRF24" s="93"/>
      <c r="NRG24" s="93"/>
      <c r="NRH24" s="93"/>
      <c r="NRI24" s="93"/>
      <c r="NRJ24" s="93"/>
      <c r="NRK24" s="93"/>
      <c r="NRL24" s="93"/>
      <c r="NRM24" s="93"/>
      <c r="NRN24" s="93"/>
      <c r="NRO24" s="93"/>
      <c r="NRP24" s="93"/>
      <c r="NRQ24" s="93"/>
      <c r="NRR24" s="93"/>
      <c r="NRS24" s="93"/>
      <c r="NRT24" s="93"/>
      <c r="NRU24" s="93"/>
      <c r="NRV24" s="93"/>
      <c r="NRW24" s="93"/>
      <c r="NRX24" s="93"/>
      <c r="NRY24" s="93"/>
      <c r="NRZ24" s="93"/>
      <c r="NSA24" s="93"/>
      <c r="NSB24" s="93"/>
      <c r="NSC24" s="93"/>
      <c r="NSD24" s="93"/>
      <c r="NSE24" s="93"/>
      <c r="NSF24" s="93"/>
      <c r="NSG24" s="93"/>
      <c r="NSH24" s="93"/>
      <c r="NSI24" s="93"/>
      <c r="NSJ24" s="93"/>
      <c r="NSK24" s="93"/>
      <c r="NSL24" s="93"/>
      <c r="NSM24" s="93"/>
      <c r="NSN24" s="93"/>
      <c r="NSO24" s="93"/>
      <c r="NSP24" s="93"/>
      <c r="NSQ24" s="93"/>
      <c r="NSR24" s="93"/>
      <c r="NSS24" s="93"/>
      <c r="NST24" s="93"/>
      <c r="NSU24" s="93"/>
      <c r="NSV24" s="93"/>
      <c r="NSW24" s="93"/>
      <c r="NSX24" s="93"/>
      <c r="NSY24" s="93"/>
      <c r="NSZ24" s="93"/>
      <c r="NTA24" s="93"/>
      <c r="NTB24" s="93"/>
      <c r="NTC24" s="93"/>
      <c r="NTD24" s="93"/>
      <c r="NTE24" s="93"/>
      <c r="NTF24" s="93"/>
      <c r="NTG24" s="93"/>
      <c r="NTH24" s="93"/>
      <c r="NTI24" s="93"/>
      <c r="NTJ24" s="93"/>
      <c r="NTK24" s="93"/>
      <c r="NTL24" s="93"/>
      <c r="NTM24" s="93"/>
      <c r="NTN24" s="93"/>
      <c r="NTO24" s="93"/>
      <c r="NTP24" s="93"/>
      <c r="NTQ24" s="93"/>
      <c r="NTR24" s="93"/>
      <c r="NTS24" s="93"/>
      <c r="NTT24" s="93"/>
      <c r="NTU24" s="93"/>
      <c r="NTV24" s="93"/>
      <c r="NTW24" s="93"/>
      <c r="NTX24" s="93"/>
      <c r="NTY24" s="93"/>
      <c r="NTZ24" s="93"/>
      <c r="NUA24" s="93"/>
      <c r="NUB24" s="93"/>
      <c r="NUC24" s="93"/>
      <c r="NUD24" s="93"/>
      <c r="NUE24" s="93"/>
      <c r="NUF24" s="93"/>
      <c r="NUG24" s="93"/>
      <c r="NUH24" s="93"/>
      <c r="NUI24" s="93"/>
      <c r="NUJ24" s="93"/>
      <c r="NUK24" s="93"/>
      <c r="NUL24" s="93"/>
      <c r="NUM24" s="93"/>
      <c r="NUN24" s="93"/>
      <c r="NUO24" s="93"/>
      <c r="NUP24" s="93"/>
      <c r="NUQ24" s="93"/>
      <c r="NUR24" s="93"/>
      <c r="NUS24" s="93"/>
      <c r="NUT24" s="93"/>
      <c r="NUU24" s="93"/>
      <c r="NUV24" s="93"/>
      <c r="NUW24" s="93"/>
      <c r="NUX24" s="93"/>
      <c r="NUY24" s="93"/>
      <c r="NUZ24" s="93"/>
      <c r="NVA24" s="93"/>
      <c r="NVB24" s="93"/>
      <c r="NVC24" s="93"/>
      <c r="NVD24" s="93"/>
      <c r="NVE24" s="93"/>
      <c r="NVF24" s="93"/>
      <c r="NVG24" s="93"/>
      <c r="NVH24" s="93"/>
      <c r="NVI24" s="93"/>
      <c r="NVJ24" s="93"/>
      <c r="NVK24" s="93"/>
      <c r="NVL24" s="93"/>
      <c r="NVM24" s="93"/>
      <c r="NVN24" s="93"/>
      <c r="NVO24" s="93"/>
      <c r="NVP24" s="93"/>
      <c r="NVQ24" s="93"/>
      <c r="NVR24" s="93"/>
      <c r="NVS24" s="93"/>
      <c r="NVT24" s="93"/>
      <c r="NVU24" s="93"/>
      <c r="NVV24" s="93"/>
      <c r="NVW24" s="93"/>
      <c r="NVX24" s="93"/>
      <c r="NVY24" s="93"/>
      <c r="NVZ24" s="93"/>
      <c r="NWA24" s="93"/>
      <c r="NWB24" s="93"/>
      <c r="NWC24" s="93"/>
      <c r="NWD24" s="93"/>
      <c r="NWE24" s="93"/>
      <c r="NWF24" s="93"/>
      <c r="NWG24" s="93"/>
      <c r="NWH24" s="93"/>
      <c r="NWI24" s="93"/>
      <c r="NWJ24" s="93"/>
      <c r="NWK24" s="93"/>
      <c r="NWL24" s="93"/>
      <c r="NWM24" s="93"/>
      <c r="NWN24" s="93"/>
      <c r="NWO24" s="93"/>
      <c r="NWP24" s="93"/>
      <c r="NWQ24" s="93"/>
      <c r="NWR24" s="93"/>
      <c r="NWS24" s="93"/>
      <c r="NWT24" s="93"/>
      <c r="NWU24" s="93"/>
      <c r="NWV24" s="93"/>
      <c r="NWW24" s="93"/>
      <c r="NWX24" s="93"/>
      <c r="NWY24" s="93"/>
      <c r="NWZ24" s="93"/>
      <c r="NXA24" s="93"/>
      <c r="NXB24" s="93"/>
      <c r="NXC24" s="93"/>
      <c r="NXD24" s="93"/>
      <c r="NXE24" s="93"/>
      <c r="NXF24" s="93"/>
      <c r="NXG24" s="93"/>
      <c r="NXH24" s="93"/>
      <c r="NXI24" s="93"/>
      <c r="NXJ24" s="93"/>
      <c r="NXK24" s="93"/>
      <c r="NXL24" s="93"/>
      <c r="NXM24" s="93"/>
      <c r="NXN24" s="93"/>
      <c r="NXO24" s="93"/>
      <c r="NXP24" s="93"/>
      <c r="NXQ24" s="93"/>
      <c r="NXR24" s="93"/>
      <c r="NXS24" s="93"/>
      <c r="NXT24" s="93"/>
      <c r="NXU24" s="93"/>
      <c r="NXV24" s="93"/>
      <c r="NXW24" s="93"/>
      <c r="NXX24" s="93"/>
      <c r="NXY24" s="93"/>
      <c r="NXZ24" s="93"/>
      <c r="NYA24" s="93"/>
      <c r="NYB24" s="93"/>
      <c r="NYC24" s="93"/>
      <c r="NYD24" s="93"/>
      <c r="NYE24" s="93"/>
      <c r="NYF24" s="93"/>
      <c r="NYG24" s="93"/>
      <c r="NYH24" s="93"/>
      <c r="NYI24" s="93"/>
      <c r="NYJ24" s="93"/>
      <c r="NYK24" s="93"/>
      <c r="NYL24" s="93"/>
      <c r="NYM24" s="93"/>
      <c r="NYN24" s="93"/>
      <c r="NYO24" s="93"/>
      <c r="NYP24" s="93"/>
      <c r="NYQ24" s="93"/>
      <c r="NYR24" s="93"/>
      <c r="NYS24" s="93"/>
      <c r="NYT24" s="93"/>
      <c r="NYU24" s="93"/>
      <c r="NYV24" s="93"/>
      <c r="NYW24" s="93"/>
      <c r="NYX24" s="93"/>
      <c r="NYY24" s="93"/>
      <c r="NYZ24" s="93"/>
      <c r="NZA24" s="93"/>
      <c r="NZB24" s="93"/>
      <c r="NZC24" s="93"/>
      <c r="NZD24" s="93"/>
      <c r="NZE24" s="93"/>
      <c r="NZF24" s="93"/>
      <c r="NZG24" s="93"/>
      <c r="NZH24" s="93"/>
      <c r="NZI24" s="93"/>
      <c r="NZJ24" s="93"/>
      <c r="NZK24" s="93"/>
      <c r="NZL24" s="93"/>
      <c r="NZM24" s="93"/>
      <c r="NZN24" s="93"/>
      <c r="NZO24" s="93"/>
      <c r="NZP24" s="93"/>
      <c r="NZQ24" s="93"/>
      <c r="NZR24" s="93"/>
      <c r="NZS24" s="93"/>
      <c r="NZT24" s="93"/>
      <c r="NZU24" s="93"/>
      <c r="NZV24" s="93"/>
      <c r="NZW24" s="93"/>
      <c r="NZX24" s="93"/>
      <c r="NZY24" s="93"/>
      <c r="NZZ24" s="93"/>
      <c r="OAA24" s="93"/>
      <c r="OAB24" s="93"/>
      <c r="OAC24" s="93"/>
      <c r="OAD24" s="93"/>
      <c r="OAE24" s="93"/>
      <c r="OAF24" s="93"/>
      <c r="OAG24" s="93"/>
      <c r="OAH24" s="93"/>
      <c r="OAI24" s="93"/>
      <c r="OAJ24" s="93"/>
      <c r="OAK24" s="93"/>
      <c r="OAL24" s="93"/>
      <c r="OAM24" s="93"/>
      <c r="OAN24" s="93"/>
      <c r="OAO24" s="93"/>
      <c r="OAP24" s="93"/>
      <c r="OAQ24" s="93"/>
      <c r="OAR24" s="93"/>
      <c r="OAS24" s="93"/>
      <c r="OAT24" s="93"/>
      <c r="OAU24" s="93"/>
      <c r="OAV24" s="93"/>
      <c r="OAW24" s="93"/>
      <c r="OAX24" s="93"/>
      <c r="OAY24" s="93"/>
      <c r="OAZ24" s="93"/>
      <c r="OBA24" s="93"/>
      <c r="OBB24" s="93"/>
      <c r="OBC24" s="93"/>
      <c r="OBD24" s="93"/>
      <c r="OBE24" s="93"/>
      <c r="OBF24" s="93"/>
      <c r="OBG24" s="93"/>
      <c r="OBH24" s="93"/>
      <c r="OBI24" s="93"/>
      <c r="OBJ24" s="93"/>
      <c r="OBK24" s="93"/>
      <c r="OBL24" s="93"/>
      <c r="OBM24" s="93"/>
      <c r="OBN24" s="93"/>
      <c r="OBO24" s="93"/>
      <c r="OBP24" s="93"/>
      <c r="OBQ24" s="93"/>
      <c r="OBR24" s="93"/>
      <c r="OBS24" s="93"/>
      <c r="OBT24" s="93"/>
      <c r="OBU24" s="93"/>
      <c r="OBV24" s="93"/>
      <c r="OBW24" s="93"/>
      <c r="OBX24" s="93"/>
      <c r="OBY24" s="93"/>
      <c r="OBZ24" s="93"/>
      <c r="OCA24" s="93"/>
      <c r="OCB24" s="93"/>
      <c r="OCC24" s="93"/>
      <c r="OCD24" s="93"/>
      <c r="OCE24" s="93"/>
      <c r="OCF24" s="93"/>
      <c r="OCG24" s="93"/>
      <c r="OCH24" s="93"/>
      <c r="OCI24" s="93"/>
      <c r="OCJ24" s="93"/>
      <c r="OCK24" s="93"/>
      <c r="OCL24" s="93"/>
      <c r="OCM24" s="93"/>
      <c r="OCN24" s="93"/>
      <c r="OCO24" s="93"/>
      <c r="OCP24" s="93"/>
      <c r="OCQ24" s="93"/>
      <c r="OCR24" s="93"/>
      <c r="OCS24" s="93"/>
      <c r="OCT24" s="93"/>
      <c r="OCU24" s="93"/>
      <c r="OCV24" s="93"/>
      <c r="OCW24" s="93"/>
      <c r="OCX24" s="93"/>
      <c r="OCY24" s="93"/>
      <c r="OCZ24" s="93"/>
      <c r="ODA24" s="93"/>
      <c r="ODB24" s="93"/>
      <c r="ODC24" s="93"/>
      <c r="ODD24" s="93"/>
      <c r="ODE24" s="93"/>
      <c r="ODF24" s="93"/>
      <c r="ODG24" s="93"/>
      <c r="ODH24" s="93"/>
      <c r="ODI24" s="93"/>
      <c r="ODJ24" s="93"/>
      <c r="ODK24" s="93"/>
      <c r="ODL24" s="93"/>
      <c r="ODM24" s="93"/>
      <c r="ODN24" s="93"/>
      <c r="ODO24" s="93"/>
      <c r="ODP24" s="93"/>
      <c r="ODQ24" s="93"/>
      <c r="ODR24" s="93"/>
      <c r="ODS24" s="93"/>
      <c r="ODT24" s="93"/>
      <c r="ODU24" s="93"/>
      <c r="ODV24" s="93"/>
      <c r="ODW24" s="93"/>
      <c r="ODX24" s="93"/>
      <c r="ODY24" s="93"/>
      <c r="ODZ24" s="93"/>
      <c r="OEA24" s="93"/>
      <c r="OEB24" s="93"/>
      <c r="OEC24" s="93"/>
      <c r="OED24" s="93"/>
      <c r="OEE24" s="93"/>
      <c r="OEF24" s="93"/>
      <c r="OEG24" s="93"/>
      <c r="OEH24" s="93"/>
      <c r="OEI24" s="93"/>
      <c r="OEJ24" s="93"/>
      <c r="OEK24" s="93"/>
      <c r="OEL24" s="93"/>
      <c r="OEM24" s="93"/>
      <c r="OEN24" s="93"/>
      <c r="OEO24" s="93"/>
      <c r="OEP24" s="93"/>
      <c r="OEQ24" s="93"/>
      <c r="OER24" s="93"/>
      <c r="OES24" s="93"/>
      <c r="OET24" s="93"/>
      <c r="OEU24" s="93"/>
      <c r="OEV24" s="93"/>
      <c r="OEW24" s="93"/>
      <c r="OEX24" s="93"/>
      <c r="OEY24" s="93"/>
      <c r="OEZ24" s="93"/>
      <c r="OFA24" s="93"/>
      <c r="OFB24" s="93"/>
      <c r="OFC24" s="93"/>
      <c r="OFD24" s="93"/>
      <c r="OFE24" s="93"/>
      <c r="OFF24" s="93"/>
      <c r="OFG24" s="93"/>
      <c r="OFH24" s="93"/>
      <c r="OFI24" s="93"/>
      <c r="OFJ24" s="93"/>
      <c r="OFK24" s="93"/>
      <c r="OFL24" s="93"/>
      <c r="OFM24" s="93"/>
      <c r="OFN24" s="93"/>
      <c r="OFO24" s="93"/>
      <c r="OFP24" s="93"/>
      <c r="OFQ24" s="93"/>
      <c r="OFR24" s="93"/>
      <c r="OFS24" s="93"/>
      <c r="OFT24" s="93"/>
      <c r="OFU24" s="93"/>
      <c r="OFV24" s="93"/>
      <c r="OFW24" s="93"/>
      <c r="OFX24" s="93"/>
      <c r="OFY24" s="93"/>
      <c r="OFZ24" s="93"/>
      <c r="OGA24" s="93"/>
      <c r="OGB24" s="93"/>
      <c r="OGC24" s="93"/>
      <c r="OGD24" s="93"/>
      <c r="OGE24" s="93"/>
      <c r="OGF24" s="93"/>
      <c r="OGG24" s="93"/>
      <c r="OGH24" s="93"/>
      <c r="OGI24" s="93"/>
      <c r="OGJ24" s="93"/>
      <c r="OGK24" s="93"/>
      <c r="OGL24" s="93"/>
      <c r="OGM24" s="93"/>
      <c r="OGN24" s="93"/>
      <c r="OGO24" s="93"/>
      <c r="OGP24" s="93"/>
      <c r="OGQ24" s="93"/>
      <c r="OGR24" s="93"/>
      <c r="OGS24" s="93"/>
      <c r="OGT24" s="93"/>
      <c r="OGU24" s="93"/>
      <c r="OGV24" s="93"/>
      <c r="OGW24" s="93"/>
      <c r="OGX24" s="93"/>
      <c r="OGY24" s="93"/>
      <c r="OGZ24" s="93"/>
      <c r="OHA24" s="93"/>
      <c r="OHB24" s="93"/>
      <c r="OHC24" s="93"/>
      <c r="OHD24" s="93"/>
      <c r="OHE24" s="93"/>
      <c r="OHF24" s="93"/>
      <c r="OHG24" s="93"/>
      <c r="OHH24" s="93"/>
      <c r="OHI24" s="93"/>
      <c r="OHJ24" s="93"/>
      <c r="OHK24" s="93"/>
      <c r="OHL24" s="93"/>
      <c r="OHM24" s="93"/>
      <c r="OHN24" s="93"/>
      <c r="OHO24" s="93"/>
      <c r="OHP24" s="93"/>
      <c r="OHQ24" s="93"/>
      <c r="OHR24" s="93"/>
      <c r="OHS24" s="93"/>
      <c r="OHT24" s="93"/>
      <c r="OHU24" s="93"/>
      <c r="OHV24" s="93"/>
      <c r="OHW24" s="93"/>
      <c r="OHX24" s="93"/>
      <c r="OHY24" s="93"/>
      <c r="OHZ24" s="93"/>
      <c r="OIA24" s="93"/>
      <c r="OIB24" s="93"/>
      <c r="OIC24" s="93"/>
      <c r="OID24" s="93"/>
      <c r="OIE24" s="93"/>
      <c r="OIF24" s="93"/>
      <c r="OIG24" s="93"/>
      <c r="OIH24" s="93"/>
      <c r="OII24" s="93"/>
      <c r="OIJ24" s="93"/>
      <c r="OIK24" s="93"/>
      <c r="OIL24" s="93"/>
      <c r="OIM24" s="93"/>
      <c r="OIN24" s="93"/>
      <c r="OIO24" s="93"/>
      <c r="OIP24" s="93"/>
      <c r="OIQ24" s="93"/>
      <c r="OIR24" s="93"/>
      <c r="OIS24" s="93"/>
      <c r="OIT24" s="93"/>
      <c r="OIU24" s="93"/>
      <c r="OIV24" s="93"/>
      <c r="OIW24" s="93"/>
      <c r="OIX24" s="93"/>
      <c r="OIY24" s="93"/>
      <c r="OIZ24" s="93"/>
      <c r="OJA24" s="93"/>
      <c r="OJB24" s="93"/>
      <c r="OJC24" s="93"/>
      <c r="OJD24" s="93"/>
      <c r="OJE24" s="93"/>
      <c r="OJF24" s="93"/>
      <c r="OJG24" s="93"/>
      <c r="OJH24" s="93"/>
      <c r="OJI24" s="93"/>
      <c r="OJJ24" s="93"/>
      <c r="OJK24" s="93"/>
      <c r="OJL24" s="93"/>
      <c r="OJM24" s="93"/>
      <c r="OJN24" s="93"/>
      <c r="OJO24" s="93"/>
      <c r="OJP24" s="93"/>
      <c r="OJQ24" s="93"/>
      <c r="OJR24" s="93"/>
      <c r="OJS24" s="93"/>
      <c r="OJT24" s="93"/>
      <c r="OJU24" s="93"/>
      <c r="OJV24" s="93"/>
      <c r="OJW24" s="93"/>
      <c r="OJX24" s="93"/>
      <c r="OJY24" s="93"/>
      <c r="OJZ24" s="93"/>
      <c r="OKA24" s="93"/>
      <c r="OKB24" s="93"/>
      <c r="OKC24" s="93"/>
      <c r="OKD24" s="93"/>
      <c r="OKE24" s="93"/>
      <c r="OKF24" s="93"/>
      <c r="OKG24" s="93"/>
      <c r="OKH24" s="93"/>
      <c r="OKI24" s="93"/>
      <c r="OKJ24" s="93"/>
      <c r="OKK24" s="93"/>
      <c r="OKL24" s="93"/>
      <c r="OKM24" s="93"/>
      <c r="OKN24" s="93"/>
      <c r="OKO24" s="93"/>
      <c r="OKP24" s="93"/>
      <c r="OKQ24" s="93"/>
      <c r="OKR24" s="93"/>
      <c r="OKS24" s="93"/>
      <c r="OKT24" s="93"/>
      <c r="OKU24" s="93"/>
      <c r="OKV24" s="93"/>
      <c r="OKW24" s="93"/>
      <c r="OKX24" s="93"/>
      <c r="OKY24" s="93"/>
      <c r="OKZ24" s="93"/>
      <c r="OLA24" s="93"/>
      <c r="OLB24" s="93"/>
      <c r="OLC24" s="93"/>
      <c r="OLD24" s="93"/>
      <c r="OLE24" s="93"/>
      <c r="OLF24" s="93"/>
      <c r="OLG24" s="93"/>
      <c r="OLH24" s="93"/>
      <c r="OLI24" s="93"/>
      <c r="OLJ24" s="93"/>
      <c r="OLK24" s="93"/>
      <c r="OLL24" s="93"/>
      <c r="OLM24" s="93"/>
      <c r="OLN24" s="93"/>
      <c r="OLO24" s="93"/>
      <c r="OLP24" s="93"/>
      <c r="OLQ24" s="93"/>
      <c r="OLR24" s="93"/>
      <c r="OLS24" s="93"/>
      <c r="OLT24" s="93"/>
      <c r="OLU24" s="93"/>
      <c r="OLV24" s="93"/>
      <c r="OLW24" s="93"/>
      <c r="OLX24" s="93"/>
      <c r="OLY24" s="93"/>
      <c r="OLZ24" s="93"/>
      <c r="OMA24" s="93"/>
      <c r="OMB24" s="93"/>
      <c r="OMC24" s="93"/>
      <c r="OMD24" s="93"/>
      <c r="OME24" s="93"/>
      <c r="OMF24" s="93"/>
      <c r="OMG24" s="93"/>
      <c r="OMH24" s="93"/>
      <c r="OMI24" s="93"/>
      <c r="OMJ24" s="93"/>
      <c r="OMK24" s="93"/>
      <c r="OML24" s="93"/>
      <c r="OMM24" s="93"/>
      <c r="OMN24" s="93"/>
      <c r="OMO24" s="93"/>
      <c r="OMP24" s="93"/>
      <c r="OMQ24" s="93"/>
      <c r="OMR24" s="93"/>
      <c r="OMS24" s="93"/>
      <c r="OMT24" s="93"/>
      <c r="OMU24" s="93"/>
      <c r="OMV24" s="93"/>
      <c r="OMW24" s="93"/>
      <c r="OMX24" s="93"/>
      <c r="OMY24" s="93"/>
      <c r="OMZ24" s="93"/>
      <c r="ONA24" s="93"/>
      <c r="ONB24" s="93"/>
      <c r="ONC24" s="93"/>
      <c r="OND24" s="93"/>
      <c r="ONE24" s="93"/>
      <c r="ONF24" s="93"/>
      <c r="ONG24" s="93"/>
      <c r="ONH24" s="93"/>
      <c r="ONI24" s="93"/>
      <c r="ONJ24" s="93"/>
      <c r="ONK24" s="93"/>
      <c r="ONL24" s="93"/>
      <c r="ONM24" s="93"/>
      <c r="ONN24" s="93"/>
      <c r="ONO24" s="93"/>
      <c r="ONP24" s="93"/>
      <c r="ONQ24" s="93"/>
      <c r="ONR24" s="93"/>
      <c r="ONS24" s="93"/>
      <c r="ONT24" s="93"/>
      <c r="ONU24" s="93"/>
      <c r="ONV24" s="93"/>
      <c r="ONW24" s="93"/>
      <c r="ONX24" s="93"/>
      <c r="ONY24" s="93"/>
      <c r="ONZ24" s="93"/>
      <c r="OOA24" s="93"/>
      <c r="OOB24" s="93"/>
      <c r="OOC24" s="93"/>
      <c r="OOD24" s="93"/>
      <c r="OOE24" s="93"/>
      <c r="OOF24" s="93"/>
      <c r="OOG24" s="93"/>
      <c r="OOH24" s="93"/>
      <c r="OOI24" s="93"/>
      <c r="OOJ24" s="93"/>
      <c r="OOK24" s="93"/>
      <c r="OOL24" s="93"/>
      <c r="OOM24" s="93"/>
      <c r="OON24" s="93"/>
      <c r="OOO24" s="93"/>
      <c r="OOP24" s="93"/>
      <c r="OOQ24" s="93"/>
      <c r="OOR24" s="93"/>
      <c r="OOS24" s="93"/>
      <c r="OOT24" s="93"/>
      <c r="OOU24" s="93"/>
      <c r="OOV24" s="93"/>
      <c r="OOW24" s="93"/>
      <c r="OOX24" s="93"/>
      <c r="OOY24" s="93"/>
      <c r="OOZ24" s="93"/>
      <c r="OPA24" s="93"/>
      <c r="OPB24" s="93"/>
      <c r="OPC24" s="93"/>
      <c r="OPD24" s="93"/>
      <c r="OPE24" s="93"/>
      <c r="OPF24" s="93"/>
      <c r="OPG24" s="93"/>
      <c r="OPH24" s="93"/>
      <c r="OPI24" s="93"/>
      <c r="OPJ24" s="93"/>
      <c r="OPK24" s="93"/>
      <c r="OPL24" s="93"/>
      <c r="OPM24" s="93"/>
      <c r="OPN24" s="93"/>
      <c r="OPO24" s="93"/>
      <c r="OPP24" s="93"/>
      <c r="OPQ24" s="93"/>
      <c r="OPR24" s="93"/>
      <c r="OPS24" s="93"/>
      <c r="OPT24" s="93"/>
      <c r="OPU24" s="93"/>
      <c r="OPV24" s="93"/>
      <c r="OPW24" s="93"/>
      <c r="OPX24" s="93"/>
      <c r="OPY24" s="93"/>
      <c r="OPZ24" s="93"/>
      <c r="OQA24" s="93"/>
      <c r="OQB24" s="93"/>
      <c r="OQC24" s="93"/>
      <c r="OQD24" s="93"/>
      <c r="OQE24" s="93"/>
      <c r="OQF24" s="93"/>
      <c r="OQG24" s="93"/>
      <c r="OQH24" s="93"/>
      <c r="OQI24" s="93"/>
      <c r="OQJ24" s="93"/>
      <c r="OQK24" s="93"/>
      <c r="OQL24" s="93"/>
      <c r="OQM24" s="93"/>
      <c r="OQN24" s="93"/>
      <c r="OQO24" s="93"/>
      <c r="OQP24" s="93"/>
      <c r="OQQ24" s="93"/>
      <c r="OQR24" s="93"/>
      <c r="OQS24" s="93"/>
      <c r="OQT24" s="93"/>
      <c r="OQU24" s="93"/>
      <c r="OQV24" s="93"/>
      <c r="OQW24" s="93"/>
      <c r="OQX24" s="93"/>
      <c r="OQY24" s="93"/>
      <c r="OQZ24" s="93"/>
      <c r="ORA24" s="93"/>
      <c r="ORB24" s="93"/>
      <c r="ORC24" s="93"/>
      <c r="ORD24" s="93"/>
      <c r="ORE24" s="93"/>
      <c r="ORF24" s="93"/>
      <c r="ORG24" s="93"/>
      <c r="ORH24" s="93"/>
      <c r="ORI24" s="93"/>
      <c r="ORJ24" s="93"/>
      <c r="ORK24" s="93"/>
      <c r="ORL24" s="93"/>
      <c r="ORM24" s="93"/>
      <c r="ORN24" s="93"/>
      <c r="ORO24" s="93"/>
      <c r="ORP24" s="93"/>
      <c r="ORQ24" s="93"/>
      <c r="ORR24" s="93"/>
      <c r="ORS24" s="93"/>
      <c r="ORT24" s="93"/>
      <c r="ORU24" s="93"/>
      <c r="ORV24" s="93"/>
      <c r="ORW24" s="93"/>
      <c r="ORX24" s="93"/>
      <c r="ORY24" s="93"/>
      <c r="ORZ24" s="93"/>
      <c r="OSA24" s="93"/>
      <c r="OSB24" s="93"/>
      <c r="OSC24" s="93"/>
      <c r="OSD24" s="93"/>
      <c r="OSE24" s="93"/>
      <c r="OSF24" s="93"/>
      <c r="OSG24" s="93"/>
      <c r="OSH24" s="93"/>
      <c r="OSI24" s="93"/>
      <c r="OSJ24" s="93"/>
      <c r="OSK24" s="93"/>
      <c r="OSL24" s="93"/>
      <c r="OSM24" s="93"/>
      <c r="OSN24" s="93"/>
      <c r="OSO24" s="93"/>
      <c r="OSP24" s="93"/>
      <c r="OSQ24" s="93"/>
      <c r="OSR24" s="93"/>
      <c r="OSS24" s="93"/>
      <c r="OST24" s="93"/>
      <c r="OSU24" s="93"/>
      <c r="OSV24" s="93"/>
      <c r="OSW24" s="93"/>
      <c r="OSX24" s="93"/>
      <c r="OSY24" s="93"/>
      <c r="OSZ24" s="93"/>
      <c r="OTA24" s="93"/>
      <c r="OTB24" s="93"/>
      <c r="OTC24" s="93"/>
      <c r="OTD24" s="93"/>
      <c r="OTE24" s="93"/>
      <c r="OTF24" s="93"/>
      <c r="OTG24" s="93"/>
      <c r="OTH24" s="93"/>
      <c r="OTI24" s="93"/>
      <c r="OTJ24" s="93"/>
      <c r="OTK24" s="93"/>
      <c r="OTL24" s="93"/>
      <c r="OTM24" s="93"/>
      <c r="OTN24" s="93"/>
      <c r="OTO24" s="93"/>
      <c r="OTP24" s="93"/>
      <c r="OTQ24" s="93"/>
      <c r="OTR24" s="93"/>
      <c r="OTS24" s="93"/>
      <c r="OTT24" s="93"/>
      <c r="OTU24" s="93"/>
      <c r="OTV24" s="93"/>
      <c r="OTW24" s="93"/>
      <c r="OTX24" s="93"/>
      <c r="OTY24" s="93"/>
      <c r="OTZ24" s="93"/>
      <c r="OUA24" s="93"/>
      <c r="OUB24" s="93"/>
      <c r="OUC24" s="93"/>
      <c r="OUD24" s="93"/>
      <c r="OUE24" s="93"/>
      <c r="OUF24" s="93"/>
      <c r="OUG24" s="93"/>
      <c r="OUH24" s="93"/>
      <c r="OUI24" s="93"/>
      <c r="OUJ24" s="93"/>
      <c r="OUK24" s="93"/>
      <c r="OUL24" s="93"/>
      <c r="OUM24" s="93"/>
      <c r="OUN24" s="93"/>
      <c r="OUO24" s="93"/>
      <c r="OUP24" s="93"/>
      <c r="OUQ24" s="93"/>
      <c r="OUR24" s="93"/>
      <c r="OUS24" s="93"/>
      <c r="OUT24" s="93"/>
      <c r="OUU24" s="93"/>
      <c r="OUV24" s="93"/>
      <c r="OUW24" s="93"/>
      <c r="OUX24" s="93"/>
      <c r="OUY24" s="93"/>
      <c r="OUZ24" s="93"/>
      <c r="OVA24" s="93"/>
      <c r="OVB24" s="93"/>
      <c r="OVC24" s="93"/>
      <c r="OVD24" s="93"/>
      <c r="OVE24" s="93"/>
      <c r="OVF24" s="93"/>
      <c r="OVG24" s="93"/>
      <c r="OVH24" s="93"/>
      <c r="OVI24" s="93"/>
      <c r="OVJ24" s="93"/>
      <c r="OVK24" s="93"/>
      <c r="OVL24" s="93"/>
      <c r="OVM24" s="93"/>
      <c r="OVN24" s="93"/>
      <c r="OVO24" s="93"/>
      <c r="OVP24" s="93"/>
      <c r="OVQ24" s="93"/>
      <c r="OVR24" s="93"/>
      <c r="OVS24" s="93"/>
      <c r="OVT24" s="93"/>
      <c r="OVU24" s="93"/>
      <c r="OVV24" s="93"/>
      <c r="OVW24" s="93"/>
      <c r="OVX24" s="93"/>
      <c r="OVY24" s="93"/>
      <c r="OVZ24" s="93"/>
      <c r="OWA24" s="93"/>
      <c r="OWB24" s="93"/>
      <c r="OWC24" s="93"/>
      <c r="OWD24" s="93"/>
      <c r="OWE24" s="93"/>
      <c r="OWF24" s="93"/>
      <c r="OWG24" s="93"/>
      <c r="OWH24" s="93"/>
      <c r="OWI24" s="93"/>
      <c r="OWJ24" s="93"/>
      <c r="OWK24" s="93"/>
      <c r="OWL24" s="93"/>
      <c r="OWM24" s="93"/>
      <c r="OWN24" s="93"/>
      <c r="OWO24" s="93"/>
      <c r="OWP24" s="93"/>
      <c r="OWQ24" s="93"/>
      <c r="OWR24" s="93"/>
      <c r="OWS24" s="93"/>
      <c r="OWT24" s="93"/>
      <c r="OWU24" s="93"/>
      <c r="OWV24" s="93"/>
      <c r="OWW24" s="93"/>
      <c r="OWX24" s="93"/>
      <c r="OWY24" s="93"/>
      <c r="OWZ24" s="93"/>
      <c r="OXA24" s="93"/>
      <c r="OXB24" s="93"/>
      <c r="OXC24" s="93"/>
      <c r="OXD24" s="93"/>
      <c r="OXE24" s="93"/>
      <c r="OXF24" s="93"/>
      <c r="OXG24" s="93"/>
      <c r="OXH24" s="93"/>
      <c r="OXI24" s="93"/>
      <c r="OXJ24" s="93"/>
      <c r="OXK24" s="93"/>
      <c r="OXL24" s="93"/>
      <c r="OXM24" s="93"/>
      <c r="OXN24" s="93"/>
      <c r="OXO24" s="93"/>
      <c r="OXP24" s="93"/>
      <c r="OXQ24" s="93"/>
      <c r="OXR24" s="93"/>
      <c r="OXS24" s="93"/>
      <c r="OXT24" s="93"/>
      <c r="OXU24" s="93"/>
      <c r="OXV24" s="93"/>
      <c r="OXW24" s="93"/>
      <c r="OXX24" s="93"/>
      <c r="OXY24" s="93"/>
      <c r="OXZ24" s="93"/>
      <c r="OYA24" s="93"/>
      <c r="OYB24" s="93"/>
      <c r="OYC24" s="93"/>
      <c r="OYD24" s="93"/>
      <c r="OYE24" s="93"/>
      <c r="OYF24" s="93"/>
      <c r="OYG24" s="93"/>
      <c r="OYH24" s="93"/>
      <c r="OYI24" s="93"/>
      <c r="OYJ24" s="93"/>
      <c r="OYK24" s="93"/>
      <c r="OYL24" s="93"/>
      <c r="OYM24" s="93"/>
      <c r="OYN24" s="93"/>
      <c r="OYO24" s="93"/>
      <c r="OYP24" s="93"/>
      <c r="OYQ24" s="93"/>
      <c r="OYR24" s="93"/>
      <c r="OYS24" s="93"/>
      <c r="OYT24" s="93"/>
      <c r="OYU24" s="93"/>
      <c r="OYV24" s="93"/>
      <c r="OYW24" s="93"/>
      <c r="OYX24" s="93"/>
      <c r="OYY24" s="93"/>
      <c r="OYZ24" s="93"/>
      <c r="OZA24" s="93"/>
      <c r="OZB24" s="93"/>
      <c r="OZC24" s="93"/>
      <c r="OZD24" s="93"/>
      <c r="OZE24" s="93"/>
      <c r="OZF24" s="93"/>
      <c r="OZG24" s="93"/>
      <c r="OZH24" s="93"/>
      <c r="OZI24" s="93"/>
      <c r="OZJ24" s="93"/>
      <c r="OZK24" s="93"/>
      <c r="OZL24" s="93"/>
      <c r="OZM24" s="93"/>
      <c r="OZN24" s="93"/>
      <c r="OZO24" s="93"/>
      <c r="OZP24" s="93"/>
      <c r="OZQ24" s="93"/>
      <c r="OZR24" s="93"/>
      <c r="OZS24" s="93"/>
      <c r="OZT24" s="93"/>
      <c r="OZU24" s="93"/>
      <c r="OZV24" s="93"/>
      <c r="OZW24" s="93"/>
      <c r="OZX24" s="93"/>
      <c r="OZY24" s="93"/>
      <c r="OZZ24" s="93"/>
      <c r="PAA24" s="93"/>
      <c r="PAB24" s="93"/>
      <c r="PAC24" s="93"/>
      <c r="PAD24" s="93"/>
      <c r="PAE24" s="93"/>
      <c r="PAF24" s="93"/>
      <c r="PAG24" s="93"/>
      <c r="PAH24" s="93"/>
      <c r="PAI24" s="93"/>
      <c r="PAJ24" s="93"/>
      <c r="PAK24" s="93"/>
      <c r="PAL24" s="93"/>
      <c r="PAM24" s="93"/>
      <c r="PAN24" s="93"/>
      <c r="PAO24" s="93"/>
      <c r="PAP24" s="93"/>
      <c r="PAQ24" s="93"/>
      <c r="PAR24" s="93"/>
      <c r="PAS24" s="93"/>
      <c r="PAT24" s="93"/>
      <c r="PAU24" s="93"/>
      <c r="PAV24" s="93"/>
      <c r="PAW24" s="93"/>
      <c r="PAX24" s="93"/>
      <c r="PAY24" s="93"/>
      <c r="PAZ24" s="93"/>
      <c r="PBA24" s="93"/>
      <c r="PBB24" s="93"/>
      <c r="PBC24" s="93"/>
      <c r="PBD24" s="93"/>
      <c r="PBE24" s="93"/>
      <c r="PBF24" s="93"/>
      <c r="PBG24" s="93"/>
      <c r="PBH24" s="93"/>
      <c r="PBI24" s="93"/>
      <c r="PBJ24" s="93"/>
      <c r="PBK24" s="93"/>
      <c r="PBL24" s="93"/>
      <c r="PBM24" s="93"/>
      <c r="PBN24" s="93"/>
      <c r="PBO24" s="93"/>
      <c r="PBP24" s="93"/>
      <c r="PBQ24" s="93"/>
      <c r="PBR24" s="93"/>
      <c r="PBS24" s="93"/>
      <c r="PBT24" s="93"/>
      <c r="PBU24" s="93"/>
      <c r="PBV24" s="93"/>
      <c r="PBW24" s="93"/>
      <c r="PBX24" s="93"/>
      <c r="PBY24" s="93"/>
      <c r="PBZ24" s="93"/>
      <c r="PCA24" s="93"/>
      <c r="PCB24" s="93"/>
      <c r="PCC24" s="93"/>
      <c r="PCD24" s="93"/>
      <c r="PCE24" s="93"/>
      <c r="PCF24" s="93"/>
      <c r="PCG24" s="93"/>
      <c r="PCH24" s="93"/>
      <c r="PCI24" s="93"/>
      <c r="PCJ24" s="93"/>
      <c r="PCK24" s="93"/>
      <c r="PCL24" s="93"/>
      <c r="PCM24" s="93"/>
      <c r="PCN24" s="93"/>
      <c r="PCO24" s="93"/>
      <c r="PCP24" s="93"/>
      <c r="PCQ24" s="93"/>
      <c r="PCR24" s="93"/>
      <c r="PCS24" s="93"/>
      <c r="PCT24" s="93"/>
      <c r="PCU24" s="93"/>
      <c r="PCV24" s="93"/>
      <c r="PCW24" s="93"/>
      <c r="PCX24" s="93"/>
      <c r="PCY24" s="93"/>
      <c r="PCZ24" s="93"/>
      <c r="PDA24" s="93"/>
      <c r="PDB24" s="93"/>
      <c r="PDC24" s="93"/>
      <c r="PDD24" s="93"/>
      <c r="PDE24" s="93"/>
      <c r="PDF24" s="93"/>
      <c r="PDG24" s="93"/>
      <c r="PDH24" s="93"/>
      <c r="PDI24" s="93"/>
      <c r="PDJ24" s="93"/>
      <c r="PDK24" s="93"/>
      <c r="PDL24" s="93"/>
      <c r="PDM24" s="93"/>
      <c r="PDN24" s="93"/>
      <c r="PDO24" s="93"/>
      <c r="PDP24" s="93"/>
      <c r="PDQ24" s="93"/>
      <c r="PDR24" s="93"/>
      <c r="PDS24" s="93"/>
      <c r="PDT24" s="93"/>
      <c r="PDU24" s="93"/>
      <c r="PDV24" s="93"/>
      <c r="PDW24" s="93"/>
      <c r="PDX24" s="93"/>
      <c r="PDY24" s="93"/>
      <c r="PDZ24" s="93"/>
      <c r="PEA24" s="93"/>
      <c r="PEB24" s="93"/>
      <c r="PEC24" s="93"/>
      <c r="PED24" s="93"/>
      <c r="PEE24" s="93"/>
      <c r="PEF24" s="93"/>
      <c r="PEG24" s="93"/>
      <c r="PEH24" s="93"/>
      <c r="PEI24" s="93"/>
      <c r="PEJ24" s="93"/>
      <c r="PEK24" s="93"/>
      <c r="PEL24" s="93"/>
      <c r="PEM24" s="93"/>
      <c r="PEN24" s="93"/>
      <c r="PEO24" s="93"/>
      <c r="PEP24" s="93"/>
      <c r="PEQ24" s="93"/>
      <c r="PER24" s="93"/>
      <c r="PES24" s="93"/>
      <c r="PET24" s="93"/>
      <c r="PEU24" s="93"/>
      <c r="PEV24" s="93"/>
      <c r="PEW24" s="93"/>
      <c r="PEX24" s="93"/>
      <c r="PEY24" s="93"/>
      <c r="PEZ24" s="93"/>
      <c r="PFA24" s="93"/>
      <c r="PFB24" s="93"/>
      <c r="PFC24" s="93"/>
      <c r="PFD24" s="93"/>
      <c r="PFE24" s="93"/>
      <c r="PFF24" s="93"/>
      <c r="PFG24" s="93"/>
      <c r="PFH24" s="93"/>
      <c r="PFI24" s="93"/>
      <c r="PFJ24" s="93"/>
      <c r="PFK24" s="93"/>
      <c r="PFL24" s="93"/>
      <c r="PFM24" s="93"/>
      <c r="PFN24" s="93"/>
      <c r="PFO24" s="93"/>
      <c r="PFP24" s="93"/>
      <c r="PFQ24" s="93"/>
      <c r="PFR24" s="93"/>
      <c r="PFS24" s="93"/>
      <c r="PFT24" s="93"/>
      <c r="PFU24" s="93"/>
      <c r="PFV24" s="93"/>
      <c r="PFW24" s="93"/>
      <c r="PFX24" s="93"/>
      <c r="PFY24" s="93"/>
      <c r="PFZ24" s="93"/>
      <c r="PGA24" s="93"/>
      <c r="PGB24" s="93"/>
      <c r="PGC24" s="93"/>
      <c r="PGD24" s="93"/>
      <c r="PGE24" s="93"/>
      <c r="PGF24" s="93"/>
      <c r="PGG24" s="93"/>
      <c r="PGH24" s="93"/>
      <c r="PGI24" s="93"/>
      <c r="PGJ24" s="93"/>
      <c r="PGK24" s="93"/>
      <c r="PGL24" s="93"/>
      <c r="PGM24" s="93"/>
      <c r="PGN24" s="93"/>
      <c r="PGO24" s="93"/>
      <c r="PGP24" s="93"/>
      <c r="PGQ24" s="93"/>
      <c r="PGR24" s="93"/>
      <c r="PGS24" s="93"/>
      <c r="PGT24" s="93"/>
      <c r="PGU24" s="93"/>
      <c r="PGV24" s="93"/>
      <c r="PGW24" s="93"/>
      <c r="PGX24" s="93"/>
      <c r="PGY24" s="93"/>
      <c r="PGZ24" s="93"/>
      <c r="PHA24" s="93"/>
      <c r="PHB24" s="93"/>
      <c r="PHC24" s="93"/>
      <c r="PHD24" s="93"/>
      <c r="PHE24" s="93"/>
      <c r="PHF24" s="93"/>
      <c r="PHG24" s="93"/>
      <c r="PHH24" s="93"/>
      <c r="PHI24" s="93"/>
      <c r="PHJ24" s="93"/>
      <c r="PHK24" s="93"/>
      <c r="PHL24" s="93"/>
      <c r="PHM24" s="93"/>
      <c r="PHN24" s="93"/>
      <c r="PHO24" s="93"/>
      <c r="PHP24" s="93"/>
      <c r="PHQ24" s="93"/>
      <c r="PHR24" s="93"/>
      <c r="PHS24" s="93"/>
      <c r="PHT24" s="93"/>
      <c r="PHU24" s="93"/>
      <c r="PHV24" s="93"/>
      <c r="PHW24" s="93"/>
      <c r="PHX24" s="93"/>
      <c r="PHY24" s="93"/>
      <c r="PHZ24" s="93"/>
      <c r="PIA24" s="93"/>
      <c r="PIB24" s="93"/>
      <c r="PIC24" s="93"/>
      <c r="PID24" s="93"/>
      <c r="PIE24" s="93"/>
      <c r="PIF24" s="93"/>
      <c r="PIG24" s="93"/>
      <c r="PIH24" s="93"/>
      <c r="PII24" s="93"/>
      <c r="PIJ24" s="93"/>
      <c r="PIK24" s="93"/>
      <c r="PIL24" s="93"/>
      <c r="PIM24" s="93"/>
      <c r="PIN24" s="93"/>
      <c r="PIO24" s="93"/>
      <c r="PIP24" s="93"/>
      <c r="PIQ24" s="93"/>
      <c r="PIR24" s="93"/>
      <c r="PIS24" s="93"/>
      <c r="PIT24" s="93"/>
      <c r="PIU24" s="93"/>
      <c r="PIV24" s="93"/>
      <c r="PIW24" s="93"/>
      <c r="PIX24" s="93"/>
      <c r="PIY24" s="93"/>
      <c r="PIZ24" s="93"/>
      <c r="PJA24" s="93"/>
      <c r="PJB24" s="93"/>
      <c r="PJC24" s="93"/>
      <c r="PJD24" s="93"/>
      <c r="PJE24" s="93"/>
      <c r="PJF24" s="93"/>
      <c r="PJG24" s="93"/>
      <c r="PJH24" s="93"/>
      <c r="PJI24" s="93"/>
      <c r="PJJ24" s="93"/>
      <c r="PJK24" s="93"/>
      <c r="PJL24" s="93"/>
      <c r="PJM24" s="93"/>
      <c r="PJN24" s="93"/>
      <c r="PJO24" s="93"/>
      <c r="PJP24" s="93"/>
      <c r="PJQ24" s="93"/>
      <c r="PJR24" s="93"/>
      <c r="PJS24" s="93"/>
      <c r="PJT24" s="93"/>
      <c r="PJU24" s="93"/>
      <c r="PJV24" s="93"/>
      <c r="PJW24" s="93"/>
      <c r="PJX24" s="93"/>
      <c r="PJY24" s="93"/>
      <c r="PJZ24" s="93"/>
      <c r="PKA24" s="93"/>
      <c r="PKB24" s="93"/>
      <c r="PKC24" s="93"/>
      <c r="PKD24" s="93"/>
      <c r="PKE24" s="93"/>
      <c r="PKF24" s="93"/>
      <c r="PKG24" s="93"/>
      <c r="PKH24" s="93"/>
      <c r="PKI24" s="93"/>
      <c r="PKJ24" s="93"/>
      <c r="PKK24" s="93"/>
      <c r="PKL24" s="93"/>
      <c r="PKM24" s="93"/>
      <c r="PKN24" s="93"/>
      <c r="PKO24" s="93"/>
      <c r="PKP24" s="93"/>
      <c r="PKQ24" s="93"/>
      <c r="PKR24" s="93"/>
      <c r="PKS24" s="93"/>
      <c r="PKT24" s="93"/>
      <c r="PKU24" s="93"/>
      <c r="PKV24" s="93"/>
      <c r="PKW24" s="93"/>
      <c r="PKX24" s="93"/>
      <c r="PKY24" s="93"/>
      <c r="PKZ24" s="93"/>
      <c r="PLA24" s="93"/>
      <c r="PLB24" s="93"/>
      <c r="PLC24" s="93"/>
      <c r="PLD24" s="93"/>
      <c r="PLE24" s="93"/>
      <c r="PLF24" s="93"/>
      <c r="PLG24" s="93"/>
      <c r="PLH24" s="93"/>
      <c r="PLI24" s="93"/>
      <c r="PLJ24" s="93"/>
      <c r="PLK24" s="93"/>
      <c r="PLL24" s="93"/>
      <c r="PLM24" s="93"/>
      <c r="PLN24" s="93"/>
      <c r="PLO24" s="93"/>
      <c r="PLP24" s="93"/>
      <c r="PLQ24" s="93"/>
      <c r="PLR24" s="93"/>
      <c r="PLS24" s="93"/>
      <c r="PLT24" s="93"/>
      <c r="PLU24" s="93"/>
      <c r="PLV24" s="93"/>
      <c r="PLW24" s="93"/>
      <c r="PLX24" s="93"/>
      <c r="PLY24" s="93"/>
      <c r="PLZ24" s="93"/>
      <c r="PMA24" s="93"/>
      <c r="PMB24" s="93"/>
      <c r="PMC24" s="93"/>
      <c r="PMD24" s="93"/>
      <c r="PME24" s="93"/>
      <c r="PMF24" s="93"/>
      <c r="PMG24" s="93"/>
      <c r="PMH24" s="93"/>
      <c r="PMI24" s="93"/>
      <c r="PMJ24" s="93"/>
      <c r="PMK24" s="93"/>
      <c r="PML24" s="93"/>
      <c r="PMM24" s="93"/>
      <c r="PMN24" s="93"/>
      <c r="PMO24" s="93"/>
      <c r="PMP24" s="93"/>
      <c r="PMQ24" s="93"/>
      <c r="PMR24" s="93"/>
      <c r="PMS24" s="93"/>
      <c r="PMT24" s="93"/>
      <c r="PMU24" s="93"/>
      <c r="PMV24" s="93"/>
      <c r="PMW24" s="93"/>
      <c r="PMX24" s="93"/>
      <c r="PMY24" s="93"/>
      <c r="PMZ24" s="93"/>
      <c r="PNA24" s="93"/>
      <c r="PNB24" s="93"/>
      <c r="PNC24" s="93"/>
      <c r="PND24" s="93"/>
      <c r="PNE24" s="93"/>
      <c r="PNF24" s="93"/>
      <c r="PNG24" s="93"/>
      <c r="PNH24" s="93"/>
      <c r="PNI24" s="93"/>
      <c r="PNJ24" s="93"/>
      <c r="PNK24" s="93"/>
      <c r="PNL24" s="93"/>
      <c r="PNM24" s="93"/>
      <c r="PNN24" s="93"/>
      <c r="PNO24" s="93"/>
      <c r="PNP24" s="93"/>
      <c r="PNQ24" s="93"/>
      <c r="PNR24" s="93"/>
      <c r="PNS24" s="93"/>
      <c r="PNT24" s="93"/>
      <c r="PNU24" s="93"/>
      <c r="PNV24" s="93"/>
      <c r="PNW24" s="93"/>
      <c r="PNX24" s="93"/>
      <c r="PNY24" s="93"/>
      <c r="PNZ24" s="93"/>
      <c r="POA24" s="93"/>
      <c r="POB24" s="93"/>
      <c r="POC24" s="93"/>
      <c r="POD24" s="93"/>
      <c r="POE24" s="93"/>
      <c r="POF24" s="93"/>
      <c r="POG24" s="93"/>
      <c r="POH24" s="93"/>
      <c r="POI24" s="93"/>
      <c r="POJ24" s="93"/>
      <c r="POK24" s="93"/>
      <c r="POL24" s="93"/>
      <c r="POM24" s="93"/>
      <c r="PON24" s="93"/>
      <c r="POO24" s="93"/>
      <c r="POP24" s="93"/>
      <c r="POQ24" s="93"/>
      <c r="POR24" s="93"/>
      <c r="POS24" s="93"/>
      <c r="POT24" s="93"/>
      <c r="POU24" s="93"/>
      <c r="POV24" s="93"/>
      <c r="POW24" s="93"/>
      <c r="POX24" s="93"/>
      <c r="POY24" s="93"/>
      <c r="POZ24" s="93"/>
      <c r="PPA24" s="93"/>
      <c r="PPB24" s="93"/>
      <c r="PPC24" s="93"/>
      <c r="PPD24" s="93"/>
      <c r="PPE24" s="93"/>
      <c r="PPF24" s="93"/>
      <c r="PPG24" s="93"/>
      <c r="PPH24" s="93"/>
      <c r="PPI24" s="93"/>
      <c r="PPJ24" s="93"/>
      <c r="PPK24" s="93"/>
      <c r="PPL24" s="93"/>
      <c r="PPM24" s="93"/>
      <c r="PPN24" s="93"/>
      <c r="PPO24" s="93"/>
      <c r="PPP24" s="93"/>
      <c r="PPQ24" s="93"/>
      <c r="PPR24" s="93"/>
      <c r="PPS24" s="93"/>
      <c r="PPT24" s="93"/>
      <c r="PPU24" s="93"/>
      <c r="PPV24" s="93"/>
      <c r="PPW24" s="93"/>
      <c r="PPX24" s="93"/>
      <c r="PPY24" s="93"/>
      <c r="PPZ24" s="93"/>
      <c r="PQA24" s="93"/>
      <c r="PQB24" s="93"/>
      <c r="PQC24" s="93"/>
      <c r="PQD24" s="93"/>
      <c r="PQE24" s="93"/>
      <c r="PQF24" s="93"/>
      <c r="PQG24" s="93"/>
      <c r="PQH24" s="93"/>
      <c r="PQI24" s="93"/>
      <c r="PQJ24" s="93"/>
      <c r="PQK24" s="93"/>
      <c r="PQL24" s="93"/>
      <c r="PQM24" s="93"/>
      <c r="PQN24" s="93"/>
      <c r="PQO24" s="93"/>
      <c r="PQP24" s="93"/>
      <c r="PQQ24" s="93"/>
      <c r="PQR24" s="93"/>
      <c r="PQS24" s="93"/>
      <c r="PQT24" s="93"/>
      <c r="PQU24" s="93"/>
      <c r="PQV24" s="93"/>
      <c r="PQW24" s="93"/>
      <c r="PQX24" s="93"/>
      <c r="PQY24" s="93"/>
      <c r="PQZ24" s="93"/>
      <c r="PRA24" s="93"/>
      <c r="PRB24" s="93"/>
      <c r="PRC24" s="93"/>
      <c r="PRD24" s="93"/>
      <c r="PRE24" s="93"/>
      <c r="PRF24" s="93"/>
      <c r="PRG24" s="93"/>
      <c r="PRH24" s="93"/>
      <c r="PRI24" s="93"/>
      <c r="PRJ24" s="93"/>
      <c r="PRK24" s="93"/>
      <c r="PRL24" s="93"/>
      <c r="PRM24" s="93"/>
      <c r="PRN24" s="93"/>
      <c r="PRO24" s="93"/>
      <c r="PRP24" s="93"/>
      <c r="PRQ24" s="93"/>
      <c r="PRR24" s="93"/>
      <c r="PRS24" s="93"/>
      <c r="PRT24" s="93"/>
      <c r="PRU24" s="93"/>
      <c r="PRV24" s="93"/>
      <c r="PRW24" s="93"/>
      <c r="PRX24" s="93"/>
      <c r="PRY24" s="93"/>
      <c r="PRZ24" s="93"/>
      <c r="PSA24" s="93"/>
      <c r="PSB24" s="93"/>
      <c r="PSC24" s="93"/>
      <c r="PSD24" s="93"/>
      <c r="PSE24" s="93"/>
      <c r="PSF24" s="93"/>
      <c r="PSG24" s="93"/>
      <c r="PSH24" s="93"/>
      <c r="PSI24" s="93"/>
      <c r="PSJ24" s="93"/>
      <c r="PSK24" s="93"/>
      <c r="PSL24" s="93"/>
      <c r="PSM24" s="93"/>
      <c r="PSN24" s="93"/>
      <c r="PSO24" s="93"/>
      <c r="PSP24" s="93"/>
      <c r="PSQ24" s="93"/>
      <c r="PSR24" s="93"/>
      <c r="PSS24" s="93"/>
      <c r="PST24" s="93"/>
      <c r="PSU24" s="93"/>
      <c r="PSV24" s="93"/>
      <c r="PSW24" s="93"/>
      <c r="PSX24" s="93"/>
      <c r="PSY24" s="93"/>
      <c r="PSZ24" s="93"/>
      <c r="PTA24" s="93"/>
      <c r="PTB24" s="93"/>
      <c r="PTC24" s="93"/>
      <c r="PTD24" s="93"/>
      <c r="PTE24" s="93"/>
      <c r="PTF24" s="93"/>
      <c r="PTG24" s="93"/>
      <c r="PTH24" s="93"/>
      <c r="PTI24" s="93"/>
      <c r="PTJ24" s="93"/>
      <c r="PTK24" s="93"/>
      <c r="PTL24" s="93"/>
      <c r="PTM24" s="93"/>
      <c r="PTN24" s="93"/>
      <c r="PTO24" s="93"/>
      <c r="PTP24" s="93"/>
      <c r="PTQ24" s="93"/>
      <c r="PTR24" s="93"/>
      <c r="PTS24" s="93"/>
      <c r="PTT24" s="93"/>
      <c r="PTU24" s="93"/>
      <c r="PTV24" s="93"/>
      <c r="PTW24" s="93"/>
      <c r="PTX24" s="93"/>
      <c r="PTY24" s="93"/>
      <c r="PTZ24" s="93"/>
      <c r="PUA24" s="93"/>
      <c r="PUB24" s="93"/>
      <c r="PUC24" s="93"/>
      <c r="PUD24" s="93"/>
      <c r="PUE24" s="93"/>
      <c r="PUF24" s="93"/>
      <c r="PUG24" s="93"/>
      <c r="PUH24" s="93"/>
      <c r="PUI24" s="93"/>
      <c r="PUJ24" s="93"/>
      <c r="PUK24" s="93"/>
      <c r="PUL24" s="93"/>
      <c r="PUM24" s="93"/>
      <c r="PUN24" s="93"/>
      <c r="PUO24" s="93"/>
      <c r="PUP24" s="93"/>
      <c r="PUQ24" s="93"/>
      <c r="PUR24" s="93"/>
      <c r="PUS24" s="93"/>
      <c r="PUT24" s="93"/>
      <c r="PUU24" s="93"/>
      <c r="PUV24" s="93"/>
      <c r="PUW24" s="93"/>
      <c r="PUX24" s="93"/>
      <c r="PUY24" s="93"/>
      <c r="PUZ24" s="93"/>
      <c r="PVA24" s="93"/>
      <c r="PVB24" s="93"/>
      <c r="PVC24" s="93"/>
      <c r="PVD24" s="93"/>
      <c r="PVE24" s="93"/>
      <c r="PVF24" s="93"/>
      <c r="PVG24" s="93"/>
      <c r="PVH24" s="93"/>
      <c r="PVI24" s="93"/>
      <c r="PVJ24" s="93"/>
      <c r="PVK24" s="93"/>
      <c r="PVL24" s="93"/>
      <c r="PVM24" s="93"/>
      <c r="PVN24" s="93"/>
      <c r="PVO24" s="93"/>
      <c r="PVP24" s="93"/>
      <c r="PVQ24" s="93"/>
      <c r="PVR24" s="93"/>
      <c r="PVS24" s="93"/>
      <c r="PVT24" s="93"/>
      <c r="PVU24" s="93"/>
      <c r="PVV24" s="93"/>
      <c r="PVW24" s="93"/>
      <c r="PVX24" s="93"/>
      <c r="PVY24" s="93"/>
      <c r="PVZ24" s="93"/>
      <c r="PWA24" s="93"/>
      <c r="PWB24" s="93"/>
      <c r="PWC24" s="93"/>
      <c r="PWD24" s="93"/>
      <c r="PWE24" s="93"/>
      <c r="PWF24" s="93"/>
      <c r="PWG24" s="93"/>
      <c r="PWH24" s="93"/>
      <c r="PWI24" s="93"/>
      <c r="PWJ24" s="93"/>
      <c r="PWK24" s="93"/>
      <c r="PWL24" s="93"/>
      <c r="PWM24" s="93"/>
      <c r="PWN24" s="93"/>
      <c r="PWO24" s="93"/>
      <c r="PWP24" s="93"/>
      <c r="PWQ24" s="93"/>
      <c r="PWR24" s="93"/>
      <c r="PWS24" s="93"/>
      <c r="PWT24" s="93"/>
      <c r="PWU24" s="93"/>
      <c r="PWV24" s="93"/>
      <c r="PWW24" s="93"/>
      <c r="PWX24" s="93"/>
      <c r="PWY24" s="93"/>
      <c r="PWZ24" s="93"/>
      <c r="PXA24" s="93"/>
      <c r="PXB24" s="93"/>
      <c r="PXC24" s="93"/>
      <c r="PXD24" s="93"/>
      <c r="PXE24" s="93"/>
      <c r="PXF24" s="93"/>
      <c r="PXG24" s="93"/>
      <c r="PXH24" s="93"/>
      <c r="PXI24" s="93"/>
      <c r="PXJ24" s="93"/>
      <c r="PXK24" s="93"/>
      <c r="PXL24" s="93"/>
      <c r="PXM24" s="93"/>
      <c r="PXN24" s="93"/>
      <c r="PXO24" s="93"/>
      <c r="PXP24" s="93"/>
      <c r="PXQ24" s="93"/>
      <c r="PXR24" s="93"/>
      <c r="PXS24" s="93"/>
      <c r="PXT24" s="93"/>
      <c r="PXU24" s="93"/>
      <c r="PXV24" s="93"/>
      <c r="PXW24" s="93"/>
      <c r="PXX24" s="93"/>
      <c r="PXY24" s="93"/>
      <c r="PXZ24" s="93"/>
      <c r="PYA24" s="93"/>
      <c r="PYB24" s="93"/>
      <c r="PYC24" s="93"/>
      <c r="PYD24" s="93"/>
      <c r="PYE24" s="93"/>
      <c r="PYF24" s="93"/>
      <c r="PYG24" s="93"/>
      <c r="PYH24" s="93"/>
      <c r="PYI24" s="93"/>
      <c r="PYJ24" s="93"/>
      <c r="PYK24" s="93"/>
      <c r="PYL24" s="93"/>
      <c r="PYM24" s="93"/>
      <c r="PYN24" s="93"/>
      <c r="PYO24" s="93"/>
      <c r="PYP24" s="93"/>
      <c r="PYQ24" s="93"/>
      <c r="PYR24" s="93"/>
      <c r="PYS24" s="93"/>
      <c r="PYT24" s="93"/>
      <c r="PYU24" s="93"/>
      <c r="PYV24" s="93"/>
      <c r="PYW24" s="93"/>
      <c r="PYX24" s="93"/>
      <c r="PYY24" s="93"/>
      <c r="PYZ24" s="93"/>
      <c r="PZA24" s="93"/>
      <c r="PZB24" s="93"/>
      <c r="PZC24" s="93"/>
      <c r="PZD24" s="93"/>
      <c r="PZE24" s="93"/>
      <c r="PZF24" s="93"/>
      <c r="PZG24" s="93"/>
      <c r="PZH24" s="93"/>
      <c r="PZI24" s="93"/>
      <c r="PZJ24" s="93"/>
      <c r="PZK24" s="93"/>
      <c r="PZL24" s="93"/>
      <c r="PZM24" s="93"/>
      <c r="PZN24" s="93"/>
      <c r="PZO24" s="93"/>
      <c r="PZP24" s="93"/>
      <c r="PZQ24" s="93"/>
      <c r="PZR24" s="93"/>
      <c r="PZS24" s="93"/>
      <c r="PZT24" s="93"/>
      <c r="PZU24" s="93"/>
      <c r="PZV24" s="93"/>
      <c r="PZW24" s="93"/>
      <c r="PZX24" s="93"/>
      <c r="PZY24" s="93"/>
      <c r="PZZ24" s="93"/>
      <c r="QAA24" s="93"/>
      <c r="QAB24" s="93"/>
      <c r="QAC24" s="93"/>
      <c r="QAD24" s="93"/>
      <c r="QAE24" s="93"/>
      <c r="QAF24" s="93"/>
      <c r="QAG24" s="93"/>
      <c r="QAH24" s="93"/>
      <c r="QAI24" s="93"/>
      <c r="QAJ24" s="93"/>
      <c r="QAK24" s="93"/>
      <c r="QAL24" s="93"/>
      <c r="QAM24" s="93"/>
      <c r="QAN24" s="93"/>
      <c r="QAO24" s="93"/>
      <c r="QAP24" s="93"/>
      <c r="QAQ24" s="93"/>
      <c r="QAR24" s="93"/>
      <c r="QAS24" s="93"/>
      <c r="QAT24" s="93"/>
      <c r="QAU24" s="93"/>
      <c r="QAV24" s="93"/>
      <c r="QAW24" s="93"/>
      <c r="QAX24" s="93"/>
      <c r="QAY24" s="93"/>
      <c r="QAZ24" s="93"/>
      <c r="QBA24" s="93"/>
      <c r="QBB24" s="93"/>
      <c r="QBC24" s="93"/>
      <c r="QBD24" s="93"/>
      <c r="QBE24" s="93"/>
      <c r="QBF24" s="93"/>
      <c r="QBG24" s="93"/>
      <c r="QBH24" s="93"/>
      <c r="QBI24" s="93"/>
      <c r="QBJ24" s="93"/>
      <c r="QBK24" s="93"/>
      <c r="QBL24" s="93"/>
      <c r="QBM24" s="93"/>
      <c r="QBN24" s="93"/>
      <c r="QBO24" s="93"/>
      <c r="QBP24" s="93"/>
      <c r="QBQ24" s="93"/>
      <c r="QBR24" s="93"/>
      <c r="QBS24" s="93"/>
      <c r="QBT24" s="93"/>
      <c r="QBU24" s="93"/>
      <c r="QBV24" s="93"/>
      <c r="QBW24" s="93"/>
      <c r="QBX24" s="93"/>
      <c r="QBY24" s="93"/>
      <c r="QBZ24" s="93"/>
      <c r="QCA24" s="93"/>
      <c r="QCB24" s="93"/>
      <c r="QCC24" s="93"/>
      <c r="QCD24" s="93"/>
      <c r="QCE24" s="93"/>
      <c r="QCF24" s="93"/>
      <c r="QCG24" s="93"/>
      <c r="QCH24" s="93"/>
      <c r="QCI24" s="93"/>
      <c r="QCJ24" s="93"/>
      <c r="QCK24" s="93"/>
      <c r="QCL24" s="93"/>
      <c r="QCM24" s="93"/>
      <c r="QCN24" s="93"/>
      <c r="QCO24" s="93"/>
      <c r="QCP24" s="93"/>
      <c r="QCQ24" s="93"/>
      <c r="QCR24" s="93"/>
      <c r="QCS24" s="93"/>
      <c r="QCT24" s="93"/>
      <c r="QCU24" s="93"/>
      <c r="QCV24" s="93"/>
      <c r="QCW24" s="93"/>
      <c r="QCX24" s="93"/>
      <c r="QCY24" s="93"/>
      <c r="QCZ24" s="93"/>
      <c r="QDA24" s="93"/>
      <c r="QDB24" s="93"/>
      <c r="QDC24" s="93"/>
      <c r="QDD24" s="93"/>
      <c r="QDE24" s="93"/>
      <c r="QDF24" s="93"/>
      <c r="QDG24" s="93"/>
      <c r="QDH24" s="93"/>
      <c r="QDI24" s="93"/>
      <c r="QDJ24" s="93"/>
      <c r="QDK24" s="93"/>
      <c r="QDL24" s="93"/>
      <c r="QDM24" s="93"/>
      <c r="QDN24" s="93"/>
      <c r="QDO24" s="93"/>
      <c r="QDP24" s="93"/>
      <c r="QDQ24" s="93"/>
      <c r="QDR24" s="93"/>
      <c r="QDS24" s="93"/>
      <c r="QDT24" s="93"/>
      <c r="QDU24" s="93"/>
      <c r="QDV24" s="93"/>
      <c r="QDW24" s="93"/>
      <c r="QDX24" s="93"/>
      <c r="QDY24" s="93"/>
      <c r="QDZ24" s="93"/>
      <c r="QEA24" s="93"/>
      <c r="QEB24" s="93"/>
      <c r="QEC24" s="93"/>
      <c r="QED24" s="93"/>
      <c r="QEE24" s="93"/>
      <c r="QEF24" s="93"/>
      <c r="QEG24" s="93"/>
      <c r="QEH24" s="93"/>
      <c r="QEI24" s="93"/>
      <c r="QEJ24" s="93"/>
      <c r="QEK24" s="93"/>
      <c r="QEL24" s="93"/>
      <c r="QEM24" s="93"/>
      <c r="QEN24" s="93"/>
      <c r="QEO24" s="93"/>
      <c r="QEP24" s="93"/>
      <c r="QEQ24" s="93"/>
      <c r="QER24" s="93"/>
      <c r="QES24" s="93"/>
      <c r="QET24" s="93"/>
      <c r="QEU24" s="93"/>
      <c r="QEV24" s="93"/>
      <c r="QEW24" s="93"/>
      <c r="QEX24" s="93"/>
      <c r="QEY24" s="93"/>
      <c r="QEZ24" s="93"/>
      <c r="QFA24" s="93"/>
      <c r="QFB24" s="93"/>
      <c r="QFC24" s="93"/>
      <c r="QFD24" s="93"/>
      <c r="QFE24" s="93"/>
      <c r="QFF24" s="93"/>
      <c r="QFG24" s="93"/>
      <c r="QFH24" s="93"/>
      <c r="QFI24" s="93"/>
      <c r="QFJ24" s="93"/>
      <c r="QFK24" s="93"/>
      <c r="QFL24" s="93"/>
      <c r="QFM24" s="93"/>
      <c r="QFN24" s="93"/>
      <c r="QFO24" s="93"/>
      <c r="QFP24" s="93"/>
      <c r="QFQ24" s="93"/>
      <c r="QFR24" s="93"/>
      <c r="QFS24" s="93"/>
      <c r="QFT24" s="93"/>
      <c r="QFU24" s="93"/>
      <c r="QFV24" s="93"/>
      <c r="QFW24" s="93"/>
      <c r="QFX24" s="93"/>
      <c r="QFY24" s="93"/>
      <c r="QFZ24" s="93"/>
      <c r="QGA24" s="93"/>
      <c r="QGB24" s="93"/>
      <c r="QGC24" s="93"/>
      <c r="QGD24" s="93"/>
      <c r="QGE24" s="93"/>
      <c r="QGF24" s="93"/>
      <c r="QGG24" s="93"/>
      <c r="QGH24" s="93"/>
      <c r="QGI24" s="93"/>
      <c r="QGJ24" s="93"/>
      <c r="QGK24" s="93"/>
      <c r="QGL24" s="93"/>
      <c r="QGM24" s="93"/>
      <c r="QGN24" s="93"/>
      <c r="QGO24" s="93"/>
      <c r="QGP24" s="93"/>
      <c r="QGQ24" s="93"/>
      <c r="QGR24" s="93"/>
      <c r="QGS24" s="93"/>
      <c r="QGT24" s="93"/>
      <c r="QGU24" s="93"/>
      <c r="QGV24" s="93"/>
      <c r="QGW24" s="93"/>
      <c r="QGX24" s="93"/>
      <c r="QGY24" s="93"/>
      <c r="QGZ24" s="93"/>
      <c r="QHA24" s="93"/>
      <c r="QHB24" s="93"/>
      <c r="QHC24" s="93"/>
      <c r="QHD24" s="93"/>
      <c r="QHE24" s="93"/>
      <c r="QHF24" s="93"/>
      <c r="QHG24" s="93"/>
      <c r="QHH24" s="93"/>
      <c r="QHI24" s="93"/>
      <c r="QHJ24" s="93"/>
      <c r="QHK24" s="93"/>
      <c r="QHL24" s="93"/>
      <c r="QHM24" s="93"/>
      <c r="QHN24" s="93"/>
      <c r="QHO24" s="93"/>
      <c r="QHP24" s="93"/>
      <c r="QHQ24" s="93"/>
      <c r="QHR24" s="93"/>
      <c r="QHS24" s="93"/>
      <c r="QHT24" s="93"/>
      <c r="QHU24" s="93"/>
      <c r="QHV24" s="93"/>
      <c r="QHW24" s="93"/>
      <c r="QHX24" s="93"/>
      <c r="QHY24" s="93"/>
      <c r="QHZ24" s="93"/>
      <c r="QIA24" s="93"/>
      <c r="QIB24" s="93"/>
      <c r="QIC24" s="93"/>
      <c r="QID24" s="93"/>
      <c r="QIE24" s="93"/>
      <c r="QIF24" s="93"/>
      <c r="QIG24" s="93"/>
      <c r="QIH24" s="93"/>
      <c r="QII24" s="93"/>
      <c r="QIJ24" s="93"/>
      <c r="QIK24" s="93"/>
      <c r="QIL24" s="93"/>
      <c r="QIM24" s="93"/>
      <c r="QIN24" s="93"/>
      <c r="QIO24" s="93"/>
      <c r="QIP24" s="93"/>
      <c r="QIQ24" s="93"/>
      <c r="QIR24" s="93"/>
      <c r="QIS24" s="93"/>
      <c r="QIT24" s="93"/>
      <c r="QIU24" s="93"/>
      <c r="QIV24" s="93"/>
      <c r="QIW24" s="93"/>
      <c r="QIX24" s="93"/>
      <c r="QIY24" s="93"/>
      <c r="QIZ24" s="93"/>
      <c r="QJA24" s="93"/>
      <c r="QJB24" s="93"/>
      <c r="QJC24" s="93"/>
      <c r="QJD24" s="93"/>
      <c r="QJE24" s="93"/>
      <c r="QJF24" s="93"/>
      <c r="QJG24" s="93"/>
      <c r="QJH24" s="93"/>
      <c r="QJI24" s="93"/>
      <c r="QJJ24" s="93"/>
      <c r="QJK24" s="93"/>
      <c r="QJL24" s="93"/>
      <c r="QJM24" s="93"/>
      <c r="QJN24" s="93"/>
      <c r="QJO24" s="93"/>
      <c r="QJP24" s="93"/>
      <c r="QJQ24" s="93"/>
      <c r="QJR24" s="93"/>
      <c r="QJS24" s="93"/>
      <c r="QJT24" s="93"/>
      <c r="QJU24" s="93"/>
      <c r="QJV24" s="93"/>
      <c r="QJW24" s="93"/>
      <c r="QJX24" s="93"/>
      <c r="QJY24" s="93"/>
      <c r="QJZ24" s="93"/>
      <c r="QKA24" s="93"/>
      <c r="QKB24" s="93"/>
      <c r="QKC24" s="93"/>
      <c r="QKD24" s="93"/>
      <c r="QKE24" s="93"/>
      <c r="QKF24" s="93"/>
      <c r="QKG24" s="93"/>
      <c r="QKH24" s="93"/>
      <c r="QKI24" s="93"/>
      <c r="QKJ24" s="93"/>
      <c r="QKK24" s="93"/>
      <c r="QKL24" s="93"/>
      <c r="QKM24" s="93"/>
      <c r="QKN24" s="93"/>
      <c r="QKO24" s="93"/>
      <c r="QKP24" s="93"/>
      <c r="QKQ24" s="93"/>
      <c r="QKR24" s="93"/>
      <c r="QKS24" s="93"/>
      <c r="QKT24" s="93"/>
      <c r="QKU24" s="93"/>
      <c r="QKV24" s="93"/>
      <c r="QKW24" s="93"/>
      <c r="QKX24" s="93"/>
      <c r="QKY24" s="93"/>
      <c r="QKZ24" s="93"/>
      <c r="QLA24" s="93"/>
      <c r="QLB24" s="93"/>
      <c r="QLC24" s="93"/>
      <c r="QLD24" s="93"/>
      <c r="QLE24" s="93"/>
      <c r="QLF24" s="93"/>
      <c r="QLG24" s="93"/>
      <c r="QLH24" s="93"/>
      <c r="QLI24" s="93"/>
      <c r="QLJ24" s="93"/>
      <c r="QLK24" s="93"/>
      <c r="QLL24" s="93"/>
      <c r="QLM24" s="93"/>
      <c r="QLN24" s="93"/>
      <c r="QLO24" s="93"/>
      <c r="QLP24" s="93"/>
      <c r="QLQ24" s="93"/>
      <c r="QLR24" s="93"/>
      <c r="QLS24" s="93"/>
      <c r="QLT24" s="93"/>
      <c r="QLU24" s="93"/>
      <c r="QLV24" s="93"/>
      <c r="QLW24" s="93"/>
      <c r="QLX24" s="93"/>
      <c r="QLY24" s="93"/>
      <c r="QLZ24" s="93"/>
      <c r="QMA24" s="93"/>
      <c r="QMB24" s="93"/>
      <c r="QMC24" s="93"/>
      <c r="QMD24" s="93"/>
      <c r="QME24" s="93"/>
      <c r="QMF24" s="93"/>
      <c r="QMG24" s="93"/>
      <c r="QMH24" s="93"/>
      <c r="QMI24" s="93"/>
      <c r="QMJ24" s="93"/>
      <c r="QMK24" s="93"/>
      <c r="QML24" s="93"/>
      <c r="QMM24" s="93"/>
      <c r="QMN24" s="93"/>
      <c r="QMO24" s="93"/>
      <c r="QMP24" s="93"/>
      <c r="QMQ24" s="93"/>
      <c r="QMR24" s="93"/>
      <c r="QMS24" s="93"/>
      <c r="QMT24" s="93"/>
      <c r="QMU24" s="93"/>
      <c r="QMV24" s="93"/>
      <c r="QMW24" s="93"/>
      <c r="QMX24" s="93"/>
      <c r="QMY24" s="93"/>
      <c r="QMZ24" s="93"/>
      <c r="QNA24" s="93"/>
      <c r="QNB24" s="93"/>
      <c r="QNC24" s="93"/>
      <c r="QND24" s="93"/>
      <c r="QNE24" s="93"/>
      <c r="QNF24" s="93"/>
      <c r="QNG24" s="93"/>
      <c r="QNH24" s="93"/>
      <c r="QNI24" s="93"/>
      <c r="QNJ24" s="93"/>
      <c r="QNK24" s="93"/>
      <c r="QNL24" s="93"/>
      <c r="QNM24" s="93"/>
      <c r="QNN24" s="93"/>
      <c r="QNO24" s="93"/>
      <c r="QNP24" s="93"/>
      <c r="QNQ24" s="93"/>
      <c r="QNR24" s="93"/>
      <c r="QNS24" s="93"/>
      <c r="QNT24" s="93"/>
      <c r="QNU24" s="93"/>
      <c r="QNV24" s="93"/>
      <c r="QNW24" s="93"/>
      <c r="QNX24" s="93"/>
      <c r="QNY24" s="93"/>
      <c r="QNZ24" s="93"/>
      <c r="QOA24" s="93"/>
      <c r="QOB24" s="93"/>
      <c r="QOC24" s="93"/>
      <c r="QOD24" s="93"/>
      <c r="QOE24" s="93"/>
      <c r="QOF24" s="93"/>
      <c r="QOG24" s="93"/>
      <c r="QOH24" s="93"/>
      <c r="QOI24" s="93"/>
      <c r="QOJ24" s="93"/>
      <c r="QOK24" s="93"/>
      <c r="QOL24" s="93"/>
      <c r="QOM24" s="93"/>
      <c r="QON24" s="93"/>
      <c r="QOO24" s="93"/>
      <c r="QOP24" s="93"/>
      <c r="QOQ24" s="93"/>
      <c r="QOR24" s="93"/>
      <c r="QOS24" s="93"/>
      <c r="QOT24" s="93"/>
      <c r="QOU24" s="93"/>
      <c r="QOV24" s="93"/>
      <c r="QOW24" s="93"/>
      <c r="QOX24" s="93"/>
      <c r="QOY24" s="93"/>
      <c r="QOZ24" s="93"/>
      <c r="QPA24" s="93"/>
      <c r="QPB24" s="93"/>
      <c r="QPC24" s="93"/>
      <c r="QPD24" s="93"/>
      <c r="QPE24" s="93"/>
      <c r="QPF24" s="93"/>
      <c r="QPG24" s="93"/>
      <c r="QPH24" s="93"/>
      <c r="QPI24" s="93"/>
      <c r="QPJ24" s="93"/>
      <c r="QPK24" s="93"/>
      <c r="QPL24" s="93"/>
      <c r="QPM24" s="93"/>
      <c r="QPN24" s="93"/>
      <c r="QPO24" s="93"/>
      <c r="QPP24" s="93"/>
      <c r="QPQ24" s="93"/>
      <c r="QPR24" s="93"/>
      <c r="QPS24" s="93"/>
      <c r="QPT24" s="93"/>
      <c r="QPU24" s="93"/>
      <c r="QPV24" s="93"/>
      <c r="QPW24" s="93"/>
      <c r="QPX24" s="93"/>
      <c r="QPY24" s="93"/>
      <c r="QPZ24" s="93"/>
      <c r="QQA24" s="93"/>
      <c r="QQB24" s="93"/>
      <c r="QQC24" s="93"/>
      <c r="QQD24" s="93"/>
      <c r="QQE24" s="93"/>
      <c r="QQF24" s="93"/>
      <c r="QQG24" s="93"/>
      <c r="QQH24" s="93"/>
      <c r="QQI24" s="93"/>
      <c r="QQJ24" s="93"/>
      <c r="QQK24" s="93"/>
      <c r="QQL24" s="93"/>
      <c r="QQM24" s="93"/>
      <c r="QQN24" s="93"/>
      <c r="QQO24" s="93"/>
      <c r="QQP24" s="93"/>
      <c r="QQQ24" s="93"/>
      <c r="QQR24" s="93"/>
      <c r="QQS24" s="93"/>
      <c r="QQT24" s="93"/>
      <c r="QQU24" s="93"/>
      <c r="QQV24" s="93"/>
      <c r="QQW24" s="93"/>
      <c r="QQX24" s="93"/>
      <c r="QQY24" s="93"/>
      <c r="QQZ24" s="93"/>
      <c r="QRA24" s="93"/>
      <c r="QRB24" s="93"/>
      <c r="QRC24" s="93"/>
      <c r="QRD24" s="93"/>
      <c r="QRE24" s="93"/>
      <c r="QRF24" s="93"/>
      <c r="QRG24" s="93"/>
      <c r="QRH24" s="93"/>
      <c r="QRI24" s="93"/>
      <c r="QRJ24" s="93"/>
      <c r="QRK24" s="93"/>
      <c r="QRL24" s="93"/>
      <c r="QRM24" s="93"/>
      <c r="QRN24" s="93"/>
      <c r="QRO24" s="93"/>
      <c r="QRP24" s="93"/>
      <c r="QRQ24" s="93"/>
      <c r="QRR24" s="93"/>
      <c r="QRS24" s="93"/>
      <c r="QRT24" s="93"/>
      <c r="QRU24" s="93"/>
      <c r="QRV24" s="93"/>
      <c r="QRW24" s="93"/>
      <c r="QRX24" s="93"/>
      <c r="QRY24" s="93"/>
      <c r="QRZ24" s="93"/>
      <c r="QSA24" s="93"/>
      <c r="QSB24" s="93"/>
      <c r="QSC24" s="93"/>
      <c r="QSD24" s="93"/>
      <c r="QSE24" s="93"/>
      <c r="QSF24" s="93"/>
      <c r="QSG24" s="93"/>
      <c r="QSH24" s="93"/>
      <c r="QSI24" s="93"/>
      <c r="QSJ24" s="93"/>
      <c r="QSK24" s="93"/>
      <c r="QSL24" s="93"/>
      <c r="QSM24" s="93"/>
      <c r="QSN24" s="93"/>
      <c r="QSO24" s="93"/>
      <c r="QSP24" s="93"/>
      <c r="QSQ24" s="93"/>
      <c r="QSR24" s="93"/>
      <c r="QSS24" s="93"/>
      <c r="QST24" s="93"/>
      <c r="QSU24" s="93"/>
      <c r="QSV24" s="93"/>
      <c r="QSW24" s="93"/>
      <c r="QSX24" s="93"/>
      <c r="QSY24" s="93"/>
      <c r="QSZ24" s="93"/>
      <c r="QTA24" s="93"/>
      <c r="QTB24" s="93"/>
      <c r="QTC24" s="93"/>
      <c r="QTD24" s="93"/>
      <c r="QTE24" s="93"/>
      <c r="QTF24" s="93"/>
      <c r="QTG24" s="93"/>
      <c r="QTH24" s="93"/>
      <c r="QTI24" s="93"/>
      <c r="QTJ24" s="93"/>
      <c r="QTK24" s="93"/>
      <c r="QTL24" s="93"/>
      <c r="QTM24" s="93"/>
      <c r="QTN24" s="93"/>
      <c r="QTO24" s="93"/>
      <c r="QTP24" s="93"/>
      <c r="QTQ24" s="93"/>
      <c r="QTR24" s="93"/>
      <c r="QTS24" s="93"/>
      <c r="QTT24" s="93"/>
      <c r="QTU24" s="93"/>
      <c r="QTV24" s="93"/>
      <c r="QTW24" s="93"/>
      <c r="QTX24" s="93"/>
      <c r="QTY24" s="93"/>
      <c r="QTZ24" s="93"/>
      <c r="QUA24" s="93"/>
      <c r="QUB24" s="93"/>
      <c r="QUC24" s="93"/>
      <c r="QUD24" s="93"/>
      <c r="QUE24" s="93"/>
      <c r="QUF24" s="93"/>
      <c r="QUG24" s="93"/>
      <c r="QUH24" s="93"/>
      <c r="QUI24" s="93"/>
      <c r="QUJ24" s="93"/>
      <c r="QUK24" s="93"/>
      <c r="QUL24" s="93"/>
      <c r="QUM24" s="93"/>
      <c r="QUN24" s="93"/>
      <c r="QUO24" s="93"/>
      <c r="QUP24" s="93"/>
      <c r="QUQ24" s="93"/>
      <c r="QUR24" s="93"/>
      <c r="QUS24" s="93"/>
      <c r="QUT24" s="93"/>
      <c r="QUU24" s="93"/>
      <c r="QUV24" s="93"/>
      <c r="QUW24" s="93"/>
      <c r="QUX24" s="93"/>
      <c r="QUY24" s="93"/>
      <c r="QUZ24" s="93"/>
      <c r="QVA24" s="93"/>
      <c r="QVB24" s="93"/>
      <c r="QVC24" s="93"/>
      <c r="QVD24" s="93"/>
      <c r="QVE24" s="93"/>
      <c r="QVF24" s="93"/>
      <c r="QVG24" s="93"/>
      <c r="QVH24" s="93"/>
      <c r="QVI24" s="93"/>
      <c r="QVJ24" s="93"/>
      <c r="QVK24" s="93"/>
      <c r="QVL24" s="93"/>
      <c r="QVM24" s="93"/>
      <c r="QVN24" s="93"/>
      <c r="QVO24" s="93"/>
      <c r="QVP24" s="93"/>
      <c r="QVQ24" s="93"/>
      <c r="QVR24" s="93"/>
      <c r="QVS24" s="93"/>
      <c r="QVT24" s="93"/>
      <c r="QVU24" s="93"/>
      <c r="QVV24" s="93"/>
      <c r="QVW24" s="93"/>
      <c r="QVX24" s="93"/>
      <c r="QVY24" s="93"/>
      <c r="QVZ24" s="93"/>
      <c r="QWA24" s="93"/>
      <c r="QWB24" s="93"/>
      <c r="QWC24" s="93"/>
      <c r="QWD24" s="93"/>
      <c r="QWE24" s="93"/>
      <c r="QWF24" s="93"/>
      <c r="QWG24" s="93"/>
      <c r="QWH24" s="93"/>
      <c r="QWI24" s="93"/>
      <c r="QWJ24" s="93"/>
      <c r="QWK24" s="93"/>
      <c r="QWL24" s="93"/>
      <c r="QWM24" s="93"/>
      <c r="QWN24" s="93"/>
      <c r="QWO24" s="93"/>
      <c r="QWP24" s="93"/>
      <c r="QWQ24" s="93"/>
      <c r="QWR24" s="93"/>
      <c r="QWS24" s="93"/>
      <c r="QWT24" s="93"/>
      <c r="QWU24" s="93"/>
      <c r="QWV24" s="93"/>
      <c r="QWW24" s="93"/>
      <c r="QWX24" s="93"/>
      <c r="QWY24" s="93"/>
      <c r="QWZ24" s="93"/>
      <c r="QXA24" s="93"/>
      <c r="QXB24" s="93"/>
      <c r="QXC24" s="93"/>
      <c r="QXD24" s="93"/>
      <c r="QXE24" s="93"/>
      <c r="QXF24" s="93"/>
      <c r="QXG24" s="93"/>
      <c r="QXH24" s="93"/>
      <c r="QXI24" s="93"/>
      <c r="QXJ24" s="93"/>
      <c r="QXK24" s="93"/>
      <c r="QXL24" s="93"/>
      <c r="QXM24" s="93"/>
      <c r="QXN24" s="93"/>
      <c r="QXO24" s="93"/>
      <c r="QXP24" s="93"/>
      <c r="QXQ24" s="93"/>
      <c r="QXR24" s="93"/>
      <c r="QXS24" s="93"/>
      <c r="QXT24" s="93"/>
      <c r="QXU24" s="93"/>
      <c r="QXV24" s="93"/>
      <c r="QXW24" s="93"/>
      <c r="QXX24" s="93"/>
      <c r="QXY24" s="93"/>
      <c r="QXZ24" s="93"/>
      <c r="QYA24" s="93"/>
      <c r="QYB24" s="93"/>
      <c r="QYC24" s="93"/>
      <c r="QYD24" s="93"/>
      <c r="QYE24" s="93"/>
      <c r="QYF24" s="93"/>
      <c r="QYG24" s="93"/>
      <c r="QYH24" s="93"/>
      <c r="QYI24" s="93"/>
      <c r="QYJ24" s="93"/>
      <c r="QYK24" s="93"/>
      <c r="QYL24" s="93"/>
      <c r="QYM24" s="93"/>
      <c r="QYN24" s="93"/>
      <c r="QYO24" s="93"/>
      <c r="QYP24" s="93"/>
      <c r="QYQ24" s="93"/>
      <c r="QYR24" s="93"/>
      <c r="QYS24" s="93"/>
      <c r="QYT24" s="93"/>
      <c r="QYU24" s="93"/>
      <c r="QYV24" s="93"/>
      <c r="QYW24" s="93"/>
      <c r="QYX24" s="93"/>
      <c r="QYY24" s="93"/>
      <c r="QYZ24" s="93"/>
      <c r="QZA24" s="93"/>
      <c r="QZB24" s="93"/>
      <c r="QZC24" s="93"/>
      <c r="QZD24" s="93"/>
      <c r="QZE24" s="93"/>
      <c r="QZF24" s="93"/>
      <c r="QZG24" s="93"/>
      <c r="QZH24" s="93"/>
      <c r="QZI24" s="93"/>
      <c r="QZJ24" s="93"/>
      <c r="QZK24" s="93"/>
      <c r="QZL24" s="93"/>
      <c r="QZM24" s="93"/>
      <c r="QZN24" s="93"/>
      <c r="QZO24" s="93"/>
      <c r="QZP24" s="93"/>
      <c r="QZQ24" s="93"/>
      <c r="QZR24" s="93"/>
      <c r="QZS24" s="93"/>
      <c r="QZT24" s="93"/>
      <c r="QZU24" s="93"/>
      <c r="QZV24" s="93"/>
      <c r="QZW24" s="93"/>
      <c r="QZX24" s="93"/>
      <c r="QZY24" s="93"/>
      <c r="QZZ24" s="93"/>
      <c r="RAA24" s="93"/>
      <c r="RAB24" s="93"/>
      <c r="RAC24" s="93"/>
      <c r="RAD24" s="93"/>
      <c r="RAE24" s="93"/>
      <c r="RAF24" s="93"/>
      <c r="RAG24" s="93"/>
      <c r="RAH24" s="93"/>
      <c r="RAI24" s="93"/>
      <c r="RAJ24" s="93"/>
      <c r="RAK24" s="93"/>
      <c r="RAL24" s="93"/>
      <c r="RAM24" s="93"/>
      <c r="RAN24" s="93"/>
      <c r="RAO24" s="93"/>
      <c r="RAP24" s="93"/>
      <c r="RAQ24" s="93"/>
      <c r="RAR24" s="93"/>
      <c r="RAS24" s="93"/>
      <c r="RAT24" s="93"/>
      <c r="RAU24" s="93"/>
      <c r="RAV24" s="93"/>
      <c r="RAW24" s="93"/>
      <c r="RAX24" s="93"/>
      <c r="RAY24" s="93"/>
      <c r="RAZ24" s="93"/>
      <c r="RBA24" s="93"/>
      <c r="RBB24" s="93"/>
      <c r="RBC24" s="93"/>
      <c r="RBD24" s="93"/>
      <c r="RBE24" s="93"/>
      <c r="RBF24" s="93"/>
      <c r="RBG24" s="93"/>
      <c r="RBH24" s="93"/>
      <c r="RBI24" s="93"/>
      <c r="RBJ24" s="93"/>
      <c r="RBK24" s="93"/>
      <c r="RBL24" s="93"/>
      <c r="RBM24" s="93"/>
      <c r="RBN24" s="93"/>
      <c r="RBO24" s="93"/>
      <c r="RBP24" s="93"/>
      <c r="RBQ24" s="93"/>
      <c r="RBR24" s="93"/>
      <c r="RBS24" s="93"/>
      <c r="RBT24" s="93"/>
      <c r="RBU24" s="93"/>
      <c r="RBV24" s="93"/>
      <c r="RBW24" s="93"/>
      <c r="RBX24" s="93"/>
      <c r="RBY24" s="93"/>
      <c r="RBZ24" s="93"/>
      <c r="RCA24" s="93"/>
      <c r="RCB24" s="93"/>
      <c r="RCC24" s="93"/>
      <c r="RCD24" s="93"/>
      <c r="RCE24" s="93"/>
      <c r="RCF24" s="93"/>
      <c r="RCG24" s="93"/>
      <c r="RCH24" s="93"/>
      <c r="RCI24" s="93"/>
      <c r="RCJ24" s="93"/>
      <c r="RCK24" s="93"/>
      <c r="RCL24" s="93"/>
      <c r="RCM24" s="93"/>
      <c r="RCN24" s="93"/>
      <c r="RCO24" s="93"/>
      <c r="RCP24" s="93"/>
      <c r="RCQ24" s="93"/>
      <c r="RCR24" s="93"/>
      <c r="RCS24" s="93"/>
      <c r="RCT24" s="93"/>
      <c r="RCU24" s="93"/>
      <c r="RCV24" s="93"/>
      <c r="RCW24" s="93"/>
      <c r="RCX24" s="93"/>
      <c r="RCY24" s="93"/>
      <c r="RCZ24" s="93"/>
      <c r="RDA24" s="93"/>
      <c r="RDB24" s="93"/>
      <c r="RDC24" s="93"/>
      <c r="RDD24" s="93"/>
      <c r="RDE24" s="93"/>
      <c r="RDF24" s="93"/>
      <c r="RDG24" s="93"/>
      <c r="RDH24" s="93"/>
      <c r="RDI24" s="93"/>
      <c r="RDJ24" s="93"/>
      <c r="RDK24" s="93"/>
      <c r="RDL24" s="93"/>
      <c r="RDM24" s="93"/>
      <c r="RDN24" s="93"/>
      <c r="RDO24" s="93"/>
      <c r="RDP24" s="93"/>
      <c r="RDQ24" s="93"/>
      <c r="RDR24" s="93"/>
      <c r="RDS24" s="93"/>
      <c r="RDT24" s="93"/>
      <c r="RDU24" s="93"/>
      <c r="RDV24" s="93"/>
      <c r="RDW24" s="93"/>
      <c r="RDX24" s="93"/>
      <c r="RDY24" s="93"/>
      <c r="RDZ24" s="93"/>
      <c r="REA24" s="93"/>
      <c r="REB24" s="93"/>
      <c r="REC24" s="93"/>
      <c r="RED24" s="93"/>
      <c r="REE24" s="93"/>
      <c r="REF24" s="93"/>
      <c r="REG24" s="93"/>
      <c r="REH24" s="93"/>
      <c r="REI24" s="93"/>
      <c r="REJ24" s="93"/>
      <c r="REK24" s="93"/>
      <c r="REL24" s="93"/>
      <c r="REM24" s="93"/>
      <c r="REN24" s="93"/>
      <c r="REO24" s="93"/>
      <c r="REP24" s="93"/>
      <c r="REQ24" s="93"/>
      <c r="RER24" s="93"/>
      <c r="RES24" s="93"/>
      <c r="RET24" s="93"/>
      <c r="REU24" s="93"/>
      <c r="REV24" s="93"/>
      <c r="REW24" s="93"/>
      <c r="REX24" s="93"/>
      <c r="REY24" s="93"/>
      <c r="REZ24" s="93"/>
      <c r="RFA24" s="93"/>
      <c r="RFB24" s="93"/>
      <c r="RFC24" s="93"/>
      <c r="RFD24" s="93"/>
      <c r="RFE24" s="93"/>
      <c r="RFF24" s="93"/>
      <c r="RFG24" s="93"/>
      <c r="RFH24" s="93"/>
      <c r="RFI24" s="93"/>
      <c r="RFJ24" s="93"/>
      <c r="RFK24" s="93"/>
      <c r="RFL24" s="93"/>
      <c r="RFM24" s="93"/>
      <c r="RFN24" s="93"/>
      <c r="RFO24" s="93"/>
      <c r="RFP24" s="93"/>
      <c r="RFQ24" s="93"/>
      <c r="RFR24" s="93"/>
      <c r="RFS24" s="93"/>
      <c r="RFT24" s="93"/>
      <c r="RFU24" s="93"/>
      <c r="RFV24" s="93"/>
      <c r="RFW24" s="93"/>
      <c r="RFX24" s="93"/>
      <c r="RFY24" s="93"/>
      <c r="RFZ24" s="93"/>
      <c r="RGA24" s="93"/>
      <c r="RGB24" s="93"/>
      <c r="RGC24" s="93"/>
      <c r="RGD24" s="93"/>
      <c r="RGE24" s="93"/>
      <c r="RGF24" s="93"/>
      <c r="RGG24" s="93"/>
      <c r="RGH24" s="93"/>
      <c r="RGI24" s="93"/>
      <c r="RGJ24" s="93"/>
      <c r="RGK24" s="93"/>
      <c r="RGL24" s="93"/>
      <c r="RGM24" s="93"/>
      <c r="RGN24" s="93"/>
      <c r="RGO24" s="93"/>
      <c r="RGP24" s="93"/>
      <c r="RGQ24" s="93"/>
      <c r="RGR24" s="93"/>
      <c r="RGS24" s="93"/>
      <c r="RGT24" s="93"/>
      <c r="RGU24" s="93"/>
      <c r="RGV24" s="93"/>
      <c r="RGW24" s="93"/>
      <c r="RGX24" s="93"/>
      <c r="RGY24" s="93"/>
      <c r="RGZ24" s="93"/>
      <c r="RHA24" s="93"/>
      <c r="RHB24" s="93"/>
      <c r="RHC24" s="93"/>
      <c r="RHD24" s="93"/>
      <c r="RHE24" s="93"/>
      <c r="RHF24" s="93"/>
      <c r="RHG24" s="93"/>
      <c r="RHH24" s="93"/>
      <c r="RHI24" s="93"/>
      <c r="RHJ24" s="93"/>
      <c r="RHK24" s="93"/>
      <c r="RHL24" s="93"/>
      <c r="RHM24" s="93"/>
      <c r="RHN24" s="93"/>
      <c r="RHO24" s="93"/>
      <c r="RHP24" s="93"/>
      <c r="RHQ24" s="93"/>
      <c r="RHR24" s="93"/>
      <c r="RHS24" s="93"/>
      <c r="RHT24" s="93"/>
      <c r="RHU24" s="93"/>
      <c r="RHV24" s="93"/>
      <c r="RHW24" s="93"/>
      <c r="RHX24" s="93"/>
      <c r="RHY24" s="93"/>
      <c r="RHZ24" s="93"/>
      <c r="RIA24" s="93"/>
      <c r="RIB24" s="93"/>
      <c r="RIC24" s="93"/>
      <c r="RID24" s="93"/>
      <c r="RIE24" s="93"/>
      <c r="RIF24" s="93"/>
      <c r="RIG24" s="93"/>
      <c r="RIH24" s="93"/>
      <c r="RII24" s="93"/>
      <c r="RIJ24" s="93"/>
      <c r="RIK24" s="93"/>
      <c r="RIL24" s="93"/>
      <c r="RIM24" s="93"/>
      <c r="RIN24" s="93"/>
      <c r="RIO24" s="93"/>
      <c r="RIP24" s="93"/>
      <c r="RIQ24" s="93"/>
      <c r="RIR24" s="93"/>
      <c r="RIS24" s="93"/>
      <c r="RIT24" s="93"/>
      <c r="RIU24" s="93"/>
      <c r="RIV24" s="93"/>
      <c r="RIW24" s="93"/>
      <c r="RIX24" s="93"/>
      <c r="RIY24" s="93"/>
      <c r="RIZ24" s="93"/>
      <c r="RJA24" s="93"/>
      <c r="RJB24" s="93"/>
      <c r="RJC24" s="93"/>
      <c r="RJD24" s="93"/>
      <c r="RJE24" s="93"/>
      <c r="RJF24" s="93"/>
      <c r="RJG24" s="93"/>
      <c r="RJH24" s="93"/>
      <c r="RJI24" s="93"/>
      <c r="RJJ24" s="93"/>
      <c r="RJK24" s="93"/>
      <c r="RJL24" s="93"/>
      <c r="RJM24" s="93"/>
      <c r="RJN24" s="93"/>
      <c r="RJO24" s="93"/>
      <c r="RJP24" s="93"/>
      <c r="RJQ24" s="93"/>
      <c r="RJR24" s="93"/>
      <c r="RJS24" s="93"/>
      <c r="RJT24" s="93"/>
      <c r="RJU24" s="93"/>
      <c r="RJV24" s="93"/>
      <c r="RJW24" s="93"/>
      <c r="RJX24" s="93"/>
      <c r="RJY24" s="93"/>
      <c r="RJZ24" s="93"/>
      <c r="RKA24" s="93"/>
      <c r="RKB24" s="93"/>
      <c r="RKC24" s="93"/>
      <c r="RKD24" s="93"/>
      <c r="RKE24" s="93"/>
      <c r="RKF24" s="93"/>
      <c r="RKG24" s="93"/>
      <c r="RKH24" s="93"/>
      <c r="RKI24" s="93"/>
      <c r="RKJ24" s="93"/>
      <c r="RKK24" s="93"/>
      <c r="RKL24" s="93"/>
      <c r="RKM24" s="93"/>
      <c r="RKN24" s="93"/>
      <c r="RKO24" s="93"/>
      <c r="RKP24" s="93"/>
      <c r="RKQ24" s="93"/>
      <c r="RKR24" s="93"/>
      <c r="RKS24" s="93"/>
      <c r="RKT24" s="93"/>
      <c r="RKU24" s="93"/>
      <c r="RKV24" s="93"/>
      <c r="RKW24" s="93"/>
      <c r="RKX24" s="93"/>
      <c r="RKY24" s="93"/>
      <c r="RKZ24" s="93"/>
      <c r="RLA24" s="93"/>
      <c r="RLB24" s="93"/>
      <c r="RLC24" s="93"/>
      <c r="RLD24" s="93"/>
      <c r="RLE24" s="93"/>
      <c r="RLF24" s="93"/>
      <c r="RLG24" s="93"/>
      <c r="RLH24" s="93"/>
      <c r="RLI24" s="93"/>
      <c r="RLJ24" s="93"/>
      <c r="RLK24" s="93"/>
      <c r="RLL24" s="93"/>
      <c r="RLM24" s="93"/>
      <c r="RLN24" s="93"/>
      <c r="RLO24" s="93"/>
      <c r="RLP24" s="93"/>
      <c r="RLQ24" s="93"/>
      <c r="RLR24" s="93"/>
      <c r="RLS24" s="93"/>
      <c r="RLT24" s="93"/>
      <c r="RLU24" s="93"/>
      <c r="RLV24" s="93"/>
      <c r="RLW24" s="93"/>
      <c r="RLX24" s="93"/>
      <c r="RLY24" s="93"/>
      <c r="RLZ24" s="93"/>
      <c r="RMA24" s="93"/>
      <c r="RMB24" s="93"/>
      <c r="RMC24" s="93"/>
      <c r="RMD24" s="93"/>
      <c r="RME24" s="93"/>
      <c r="RMF24" s="93"/>
      <c r="RMG24" s="93"/>
      <c r="RMH24" s="93"/>
      <c r="RMI24" s="93"/>
      <c r="RMJ24" s="93"/>
      <c r="RMK24" s="93"/>
      <c r="RML24" s="93"/>
      <c r="RMM24" s="93"/>
      <c r="RMN24" s="93"/>
      <c r="RMO24" s="93"/>
      <c r="RMP24" s="93"/>
      <c r="RMQ24" s="93"/>
      <c r="RMR24" s="93"/>
      <c r="RMS24" s="93"/>
      <c r="RMT24" s="93"/>
      <c r="RMU24" s="93"/>
      <c r="RMV24" s="93"/>
      <c r="RMW24" s="93"/>
      <c r="RMX24" s="93"/>
      <c r="RMY24" s="93"/>
      <c r="RMZ24" s="93"/>
      <c r="RNA24" s="93"/>
      <c r="RNB24" s="93"/>
      <c r="RNC24" s="93"/>
      <c r="RND24" s="93"/>
      <c r="RNE24" s="93"/>
      <c r="RNF24" s="93"/>
      <c r="RNG24" s="93"/>
      <c r="RNH24" s="93"/>
      <c r="RNI24" s="93"/>
      <c r="RNJ24" s="93"/>
      <c r="RNK24" s="93"/>
      <c r="RNL24" s="93"/>
      <c r="RNM24" s="93"/>
      <c r="RNN24" s="93"/>
      <c r="RNO24" s="93"/>
      <c r="RNP24" s="93"/>
      <c r="RNQ24" s="93"/>
      <c r="RNR24" s="93"/>
      <c r="RNS24" s="93"/>
      <c r="RNT24" s="93"/>
      <c r="RNU24" s="93"/>
      <c r="RNV24" s="93"/>
      <c r="RNW24" s="93"/>
      <c r="RNX24" s="93"/>
      <c r="RNY24" s="93"/>
      <c r="RNZ24" s="93"/>
      <c r="ROA24" s="93"/>
      <c r="ROB24" s="93"/>
      <c r="ROC24" s="93"/>
      <c r="ROD24" s="93"/>
      <c r="ROE24" s="93"/>
      <c r="ROF24" s="93"/>
      <c r="ROG24" s="93"/>
      <c r="ROH24" s="93"/>
      <c r="ROI24" s="93"/>
      <c r="ROJ24" s="93"/>
      <c r="ROK24" s="93"/>
      <c r="ROL24" s="93"/>
      <c r="ROM24" s="93"/>
      <c r="RON24" s="93"/>
      <c r="ROO24" s="93"/>
      <c r="ROP24" s="93"/>
      <c r="ROQ24" s="93"/>
      <c r="ROR24" s="93"/>
      <c r="ROS24" s="93"/>
      <c r="ROT24" s="93"/>
      <c r="ROU24" s="93"/>
      <c r="ROV24" s="93"/>
      <c r="ROW24" s="93"/>
      <c r="ROX24" s="93"/>
      <c r="ROY24" s="93"/>
      <c r="ROZ24" s="93"/>
      <c r="RPA24" s="93"/>
      <c r="RPB24" s="93"/>
      <c r="RPC24" s="93"/>
      <c r="RPD24" s="93"/>
      <c r="RPE24" s="93"/>
      <c r="RPF24" s="93"/>
      <c r="RPG24" s="93"/>
      <c r="RPH24" s="93"/>
      <c r="RPI24" s="93"/>
      <c r="RPJ24" s="93"/>
      <c r="RPK24" s="93"/>
      <c r="RPL24" s="93"/>
      <c r="RPM24" s="93"/>
      <c r="RPN24" s="93"/>
      <c r="RPO24" s="93"/>
      <c r="RPP24" s="93"/>
      <c r="RPQ24" s="93"/>
      <c r="RPR24" s="93"/>
      <c r="RPS24" s="93"/>
      <c r="RPT24" s="93"/>
      <c r="RPU24" s="93"/>
      <c r="RPV24" s="93"/>
      <c r="RPW24" s="93"/>
      <c r="RPX24" s="93"/>
      <c r="RPY24" s="93"/>
      <c r="RPZ24" s="93"/>
      <c r="RQA24" s="93"/>
      <c r="RQB24" s="93"/>
      <c r="RQC24" s="93"/>
      <c r="RQD24" s="93"/>
      <c r="RQE24" s="93"/>
      <c r="RQF24" s="93"/>
      <c r="RQG24" s="93"/>
      <c r="RQH24" s="93"/>
      <c r="RQI24" s="93"/>
      <c r="RQJ24" s="93"/>
      <c r="RQK24" s="93"/>
      <c r="RQL24" s="93"/>
      <c r="RQM24" s="93"/>
      <c r="RQN24" s="93"/>
      <c r="RQO24" s="93"/>
      <c r="RQP24" s="93"/>
      <c r="RQQ24" s="93"/>
      <c r="RQR24" s="93"/>
      <c r="RQS24" s="93"/>
      <c r="RQT24" s="93"/>
      <c r="RQU24" s="93"/>
      <c r="RQV24" s="93"/>
      <c r="RQW24" s="93"/>
      <c r="RQX24" s="93"/>
      <c r="RQY24" s="93"/>
      <c r="RQZ24" s="93"/>
      <c r="RRA24" s="93"/>
      <c r="RRB24" s="93"/>
      <c r="RRC24" s="93"/>
      <c r="RRD24" s="93"/>
      <c r="RRE24" s="93"/>
      <c r="RRF24" s="93"/>
      <c r="RRG24" s="93"/>
      <c r="RRH24" s="93"/>
      <c r="RRI24" s="93"/>
      <c r="RRJ24" s="93"/>
      <c r="RRK24" s="93"/>
      <c r="RRL24" s="93"/>
      <c r="RRM24" s="93"/>
      <c r="RRN24" s="93"/>
      <c r="RRO24" s="93"/>
      <c r="RRP24" s="93"/>
      <c r="RRQ24" s="93"/>
      <c r="RRR24" s="93"/>
      <c r="RRS24" s="93"/>
      <c r="RRT24" s="93"/>
      <c r="RRU24" s="93"/>
      <c r="RRV24" s="93"/>
      <c r="RRW24" s="93"/>
      <c r="RRX24" s="93"/>
      <c r="RRY24" s="93"/>
      <c r="RRZ24" s="93"/>
      <c r="RSA24" s="93"/>
      <c r="RSB24" s="93"/>
      <c r="RSC24" s="93"/>
      <c r="RSD24" s="93"/>
      <c r="RSE24" s="93"/>
      <c r="RSF24" s="93"/>
      <c r="RSG24" s="93"/>
      <c r="RSH24" s="93"/>
      <c r="RSI24" s="93"/>
      <c r="RSJ24" s="93"/>
      <c r="RSK24" s="93"/>
      <c r="RSL24" s="93"/>
      <c r="RSM24" s="93"/>
      <c r="RSN24" s="93"/>
      <c r="RSO24" s="93"/>
      <c r="RSP24" s="93"/>
      <c r="RSQ24" s="93"/>
      <c r="RSR24" s="93"/>
      <c r="RSS24" s="93"/>
      <c r="RST24" s="93"/>
      <c r="RSU24" s="93"/>
      <c r="RSV24" s="93"/>
      <c r="RSW24" s="93"/>
      <c r="RSX24" s="93"/>
      <c r="RSY24" s="93"/>
      <c r="RSZ24" s="93"/>
      <c r="RTA24" s="93"/>
      <c r="RTB24" s="93"/>
      <c r="RTC24" s="93"/>
      <c r="RTD24" s="93"/>
      <c r="RTE24" s="93"/>
      <c r="RTF24" s="93"/>
      <c r="RTG24" s="93"/>
      <c r="RTH24" s="93"/>
      <c r="RTI24" s="93"/>
      <c r="RTJ24" s="93"/>
      <c r="RTK24" s="93"/>
      <c r="RTL24" s="93"/>
      <c r="RTM24" s="93"/>
      <c r="RTN24" s="93"/>
      <c r="RTO24" s="93"/>
      <c r="RTP24" s="93"/>
      <c r="RTQ24" s="93"/>
      <c r="RTR24" s="93"/>
      <c r="RTS24" s="93"/>
      <c r="RTT24" s="93"/>
      <c r="RTU24" s="93"/>
      <c r="RTV24" s="93"/>
      <c r="RTW24" s="93"/>
      <c r="RTX24" s="93"/>
      <c r="RTY24" s="93"/>
      <c r="RTZ24" s="93"/>
      <c r="RUA24" s="93"/>
      <c r="RUB24" s="93"/>
      <c r="RUC24" s="93"/>
      <c r="RUD24" s="93"/>
      <c r="RUE24" s="93"/>
      <c r="RUF24" s="93"/>
      <c r="RUG24" s="93"/>
      <c r="RUH24" s="93"/>
      <c r="RUI24" s="93"/>
      <c r="RUJ24" s="93"/>
      <c r="RUK24" s="93"/>
      <c r="RUL24" s="93"/>
      <c r="RUM24" s="93"/>
      <c r="RUN24" s="93"/>
      <c r="RUO24" s="93"/>
      <c r="RUP24" s="93"/>
      <c r="RUQ24" s="93"/>
      <c r="RUR24" s="93"/>
      <c r="RUS24" s="93"/>
      <c r="RUT24" s="93"/>
      <c r="RUU24" s="93"/>
      <c r="RUV24" s="93"/>
      <c r="RUW24" s="93"/>
      <c r="RUX24" s="93"/>
      <c r="RUY24" s="93"/>
      <c r="RUZ24" s="93"/>
      <c r="RVA24" s="93"/>
      <c r="RVB24" s="93"/>
      <c r="RVC24" s="93"/>
      <c r="RVD24" s="93"/>
      <c r="RVE24" s="93"/>
      <c r="RVF24" s="93"/>
      <c r="RVG24" s="93"/>
      <c r="RVH24" s="93"/>
      <c r="RVI24" s="93"/>
      <c r="RVJ24" s="93"/>
      <c r="RVK24" s="93"/>
      <c r="RVL24" s="93"/>
      <c r="RVM24" s="93"/>
      <c r="RVN24" s="93"/>
      <c r="RVO24" s="93"/>
      <c r="RVP24" s="93"/>
      <c r="RVQ24" s="93"/>
      <c r="RVR24" s="93"/>
      <c r="RVS24" s="93"/>
      <c r="RVT24" s="93"/>
      <c r="RVU24" s="93"/>
      <c r="RVV24" s="93"/>
      <c r="RVW24" s="93"/>
      <c r="RVX24" s="93"/>
      <c r="RVY24" s="93"/>
      <c r="RVZ24" s="93"/>
      <c r="RWA24" s="93"/>
      <c r="RWB24" s="93"/>
      <c r="RWC24" s="93"/>
      <c r="RWD24" s="93"/>
      <c r="RWE24" s="93"/>
      <c r="RWF24" s="93"/>
      <c r="RWG24" s="93"/>
      <c r="RWH24" s="93"/>
      <c r="RWI24" s="93"/>
      <c r="RWJ24" s="93"/>
      <c r="RWK24" s="93"/>
      <c r="RWL24" s="93"/>
      <c r="RWM24" s="93"/>
      <c r="RWN24" s="93"/>
      <c r="RWO24" s="93"/>
      <c r="RWP24" s="93"/>
      <c r="RWQ24" s="93"/>
      <c r="RWR24" s="93"/>
      <c r="RWS24" s="93"/>
      <c r="RWT24" s="93"/>
      <c r="RWU24" s="93"/>
      <c r="RWV24" s="93"/>
      <c r="RWW24" s="93"/>
      <c r="RWX24" s="93"/>
      <c r="RWY24" s="93"/>
      <c r="RWZ24" s="93"/>
      <c r="RXA24" s="93"/>
      <c r="RXB24" s="93"/>
      <c r="RXC24" s="93"/>
      <c r="RXD24" s="93"/>
      <c r="RXE24" s="93"/>
      <c r="RXF24" s="93"/>
      <c r="RXG24" s="93"/>
      <c r="RXH24" s="93"/>
      <c r="RXI24" s="93"/>
      <c r="RXJ24" s="93"/>
      <c r="RXK24" s="93"/>
      <c r="RXL24" s="93"/>
      <c r="RXM24" s="93"/>
      <c r="RXN24" s="93"/>
      <c r="RXO24" s="93"/>
      <c r="RXP24" s="93"/>
      <c r="RXQ24" s="93"/>
      <c r="RXR24" s="93"/>
      <c r="RXS24" s="93"/>
      <c r="RXT24" s="93"/>
      <c r="RXU24" s="93"/>
      <c r="RXV24" s="93"/>
      <c r="RXW24" s="93"/>
      <c r="RXX24" s="93"/>
      <c r="RXY24" s="93"/>
      <c r="RXZ24" s="93"/>
      <c r="RYA24" s="93"/>
      <c r="RYB24" s="93"/>
      <c r="RYC24" s="93"/>
      <c r="RYD24" s="93"/>
      <c r="RYE24" s="93"/>
      <c r="RYF24" s="93"/>
      <c r="RYG24" s="93"/>
      <c r="RYH24" s="93"/>
      <c r="RYI24" s="93"/>
      <c r="RYJ24" s="93"/>
      <c r="RYK24" s="93"/>
      <c r="RYL24" s="93"/>
      <c r="RYM24" s="93"/>
      <c r="RYN24" s="93"/>
      <c r="RYO24" s="93"/>
      <c r="RYP24" s="93"/>
      <c r="RYQ24" s="93"/>
      <c r="RYR24" s="93"/>
      <c r="RYS24" s="93"/>
      <c r="RYT24" s="93"/>
      <c r="RYU24" s="93"/>
      <c r="RYV24" s="93"/>
      <c r="RYW24" s="93"/>
      <c r="RYX24" s="93"/>
      <c r="RYY24" s="93"/>
      <c r="RYZ24" s="93"/>
      <c r="RZA24" s="93"/>
      <c r="RZB24" s="93"/>
      <c r="RZC24" s="93"/>
      <c r="RZD24" s="93"/>
      <c r="RZE24" s="93"/>
      <c r="RZF24" s="93"/>
      <c r="RZG24" s="93"/>
      <c r="RZH24" s="93"/>
      <c r="RZI24" s="93"/>
      <c r="RZJ24" s="93"/>
      <c r="RZK24" s="93"/>
      <c r="RZL24" s="93"/>
      <c r="RZM24" s="93"/>
      <c r="RZN24" s="93"/>
      <c r="RZO24" s="93"/>
      <c r="RZP24" s="93"/>
      <c r="RZQ24" s="93"/>
      <c r="RZR24" s="93"/>
      <c r="RZS24" s="93"/>
      <c r="RZT24" s="93"/>
      <c r="RZU24" s="93"/>
      <c r="RZV24" s="93"/>
      <c r="RZW24" s="93"/>
      <c r="RZX24" s="93"/>
      <c r="RZY24" s="93"/>
      <c r="RZZ24" s="93"/>
      <c r="SAA24" s="93"/>
      <c r="SAB24" s="93"/>
      <c r="SAC24" s="93"/>
      <c r="SAD24" s="93"/>
      <c r="SAE24" s="93"/>
      <c r="SAF24" s="93"/>
      <c r="SAG24" s="93"/>
      <c r="SAH24" s="93"/>
      <c r="SAI24" s="93"/>
      <c r="SAJ24" s="93"/>
      <c r="SAK24" s="93"/>
      <c r="SAL24" s="93"/>
      <c r="SAM24" s="93"/>
      <c r="SAN24" s="93"/>
      <c r="SAO24" s="93"/>
      <c r="SAP24" s="93"/>
      <c r="SAQ24" s="93"/>
      <c r="SAR24" s="93"/>
      <c r="SAS24" s="93"/>
      <c r="SAT24" s="93"/>
      <c r="SAU24" s="93"/>
      <c r="SAV24" s="93"/>
      <c r="SAW24" s="93"/>
      <c r="SAX24" s="93"/>
      <c r="SAY24" s="93"/>
      <c r="SAZ24" s="93"/>
      <c r="SBA24" s="93"/>
      <c r="SBB24" s="93"/>
      <c r="SBC24" s="93"/>
      <c r="SBD24" s="93"/>
      <c r="SBE24" s="93"/>
      <c r="SBF24" s="93"/>
      <c r="SBG24" s="93"/>
      <c r="SBH24" s="93"/>
      <c r="SBI24" s="93"/>
      <c r="SBJ24" s="93"/>
      <c r="SBK24" s="93"/>
      <c r="SBL24" s="93"/>
      <c r="SBM24" s="93"/>
      <c r="SBN24" s="93"/>
      <c r="SBO24" s="93"/>
      <c r="SBP24" s="93"/>
      <c r="SBQ24" s="93"/>
      <c r="SBR24" s="93"/>
      <c r="SBS24" s="93"/>
      <c r="SBT24" s="93"/>
      <c r="SBU24" s="93"/>
      <c r="SBV24" s="93"/>
      <c r="SBW24" s="93"/>
      <c r="SBX24" s="93"/>
      <c r="SBY24" s="93"/>
      <c r="SBZ24" s="93"/>
      <c r="SCA24" s="93"/>
      <c r="SCB24" s="93"/>
      <c r="SCC24" s="93"/>
      <c r="SCD24" s="93"/>
      <c r="SCE24" s="93"/>
      <c r="SCF24" s="93"/>
      <c r="SCG24" s="93"/>
      <c r="SCH24" s="93"/>
      <c r="SCI24" s="93"/>
      <c r="SCJ24" s="93"/>
      <c r="SCK24" s="93"/>
      <c r="SCL24" s="93"/>
      <c r="SCM24" s="93"/>
      <c r="SCN24" s="93"/>
      <c r="SCO24" s="93"/>
      <c r="SCP24" s="93"/>
      <c r="SCQ24" s="93"/>
      <c r="SCR24" s="93"/>
      <c r="SCS24" s="93"/>
      <c r="SCT24" s="93"/>
      <c r="SCU24" s="93"/>
      <c r="SCV24" s="93"/>
      <c r="SCW24" s="93"/>
      <c r="SCX24" s="93"/>
      <c r="SCY24" s="93"/>
      <c r="SCZ24" s="93"/>
      <c r="SDA24" s="93"/>
      <c r="SDB24" s="93"/>
      <c r="SDC24" s="93"/>
      <c r="SDD24" s="93"/>
      <c r="SDE24" s="93"/>
      <c r="SDF24" s="93"/>
      <c r="SDG24" s="93"/>
      <c r="SDH24" s="93"/>
      <c r="SDI24" s="93"/>
      <c r="SDJ24" s="93"/>
      <c r="SDK24" s="93"/>
      <c r="SDL24" s="93"/>
      <c r="SDM24" s="93"/>
      <c r="SDN24" s="93"/>
      <c r="SDO24" s="93"/>
      <c r="SDP24" s="93"/>
      <c r="SDQ24" s="93"/>
      <c r="SDR24" s="93"/>
      <c r="SDS24" s="93"/>
      <c r="SDT24" s="93"/>
      <c r="SDU24" s="93"/>
      <c r="SDV24" s="93"/>
      <c r="SDW24" s="93"/>
      <c r="SDX24" s="93"/>
      <c r="SDY24" s="93"/>
      <c r="SDZ24" s="93"/>
      <c r="SEA24" s="93"/>
      <c r="SEB24" s="93"/>
      <c r="SEC24" s="93"/>
      <c r="SED24" s="93"/>
      <c r="SEE24" s="93"/>
      <c r="SEF24" s="93"/>
      <c r="SEG24" s="93"/>
      <c r="SEH24" s="93"/>
      <c r="SEI24" s="93"/>
      <c r="SEJ24" s="93"/>
      <c r="SEK24" s="93"/>
      <c r="SEL24" s="93"/>
      <c r="SEM24" s="93"/>
      <c r="SEN24" s="93"/>
      <c r="SEO24" s="93"/>
      <c r="SEP24" s="93"/>
      <c r="SEQ24" s="93"/>
      <c r="SER24" s="93"/>
      <c r="SES24" s="93"/>
      <c r="SET24" s="93"/>
      <c r="SEU24" s="93"/>
      <c r="SEV24" s="93"/>
      <c r="SEW24" s="93"/>
      <c r="SEX24" s="93"/>
      <c r="SEY24" s="93"/>
      <c r="SEZ24" s="93"/>
      <c r="SFA24" s="93"/>
      <c r="SFB24" s="93"/>
      <c r="SFC24" s="93"/>
      <c r="SFD24" s="93"/>
      <c r="SFE24" s="93"/>
      <c r="SFF24" s="93"/>
      <c r="SFG24" s="93"/>
      <c r="SFH24" s="93"/>
      <c r="SFI24" s="93"/>
      <c r="SFJ24" s="93"/>
      <c r="SFK24" s="93"/>
      <c r="SFL24" s="93"/>
      <c r="SFM24" s="93"/>
      <c r="SFN24" s="93"/>
      <c r="SFO24" s="93"/>
      <c r="SFP24" s="93"/>
      <c r="SFQ24" s="93"/>
      <c r="SFR24" s="93"/>
      <c r="SFS24" s="93"/>
      <c r="SFT24" s="93"/>
      <c r="SFU24" s="93"/>
      <c r="SFV24" s="93"/>
      <c r="SFW24" s="93"/>
      <c r="SFX24" s="93"/>
      <c r="SFY24" s="93"/>
      <c r="SFZ24" s="93"/>
      <c r="SGA24" s="93"/>
      <c r="SGB24" s="93"/>
      <c r="SGC24" s="93"/>
      <c r="SGD24" s="93"/>
      <c r="SGE24" s="93"/>
      <c r="SGF24" s="93"/>
      <c r="SGG24" s="93"/>
      <c r="SGH24" s="93"/>
      <c r="SGI24" s="93"/>
      <c r="SGJ24" s="93"/>
      <c r="SGK24" s="93"/>
      <c r="SGL24" s="93"/>
      <c r="SGM24" s="93"/>
      <c r="SGN24" s="93"/>
      <c r="SGO24" s="93"/>
      <c r="SGP24" s="93"/>
      <c r="SGQ24" s="93"/>
      <c r="SGR24" s="93"/>
      <c r="SGS24" s="93"/>
      <c r="SGT24" s="93"/>
      <c r="SGU24" s="93"/>
      <c r="SGV24" s="93"/>
      <c r="SGW24" s="93"/>
      <c r="SGX24" s="93"/>
      <c r="SGY24" s="93"/>
      <c r="SGZ24" s="93"/>
      <c r="SHA24" s="93"/>
      <c r="SHB24" s="93"/>
      <c r="SHC24" s="93"/>
      <c r="SHD24" s="93"/>
      <c r="SHE24" s="93"/>
      <c r="SHF24" s="93"/>
      <c r="SHG24" s="93"/>
      <c r="SHH24" s="93"/>
      <c r="SHI24" s="93"/>
      <c r="SHJ24" s="93"/>
      <c r="SHK24" s="93"/>
      <c r="SHL24" s="93"/>
      <c r="SHM24" s="93"/>
      <c r="SHN24" s="93"/>
      <c r="SHO24" s="93"/>
      <c r="SHP24" s="93"/>
      <c r="SHQ24" s="93"/>
      <c r="SHR24" s="93"/>
      <c r="SHS24" s="93"/>
      <c r="SHT24" s="93"/>
      <c r="SHU24" s="93"/>
      <c r="SHV24" s="93"/>
      <c r="SHW24" s="93"/>
      <c r="SHX24" s="93"/>
      <c r="SHY24" s="93"/>
      <c r="SHZ24" s="93"/>
      <c r="SIA24" s="93"/>
      <c r="SIB24" s="93"/>
      <c r="SIC24" s="93"/>
      <c r="SID24" s="93"/>
      <c r="SIE24" s="93"/>
      <c r="SIF24" s="93"/>
      <c r="SIG24" s="93"/>
      <c r="SIH24" s="93"/>
      <c r="SII24" s="93"/>
      <c r="SIJ24" s="93"/>
      <c r="SIK24" s="93"/>
      <c r="SIL24" s="93"/>
      <c r="SIM24" s="93"/>
      <c r="SIN24" s="93"/>
      <c r="SIO24" s="93"/>
      <c r="SIP24" s="93"/>
      <c r="SIQ24" s="93"/>
      <c r="SIR24" s="93"/>
      <c r="SIS24" s="93"/>
      <c r="SIT24" s="93"/>
      <c r="SIU24" s="93"/>
      <c r="SIV24" s="93"/>
      <c r="SIW24" s="93"/>
      <c r="SIX24" s="93"/>
      <c r="SIY24" s="93"/>
      <c r="SIZ24" s="93"/>
      <c r="SJA24" s="93"/>
      <c r="SJB24" s="93"/>
      <c r="SJC24" s="93"/>
      <c r="SJD24" s="93"/>
      <c r="SJE24" s="93"/>
      <c r="SJF24" s="93"/>
      <c r="SJG24" s="93"/>
      <c r="SJH24" s="93"/>
      <c r="SJI24" s="93"/>
      <c r="SJJ24" s="93"/>
      <c r="SJK24" s="93"/>
      <c r="SJL24" s="93"/>
      <c r="SJM24" s="93"/>
      <c r="SJN24" s="93"/>
      <c r="SJO24" s="93"/>
      <c r="SJP24" s="93"/>
      <c r="SJQ24" s="93"/>
      <c r="SJR24" s="93"/>
      <c r="SJS24" s="93"/>
      <c r="SJT24" s="93"/>
      <c r="SJU24" s="93"/>
      <c r="SJV24" s="93"/>
      <c r="SJW24" s="93"/>
      <c r="SJX24" s="93"/>
      <c r="SJY24" s="93"/>
      <c r="SJZ24" s="93"/>
      <c r="SKA24" s="93"/>
      <c r="SKB24" s="93"/>
      <c r="SKC24" s="93"/>
      <c r="SKD24" s="93"/>
      <c r="SKE24" s="93"/>
      <c r="SKF24" s="93"/>
      <c r="SKG24" s="93"/>
      <c r="SKH24" s="93"/>
      <c r="SKI24" s="93"/>
      <c r="SKJ24" s="93"/>
      <c r="SKK24" s="93"/>
      <c r="SKL24" s="93"/>
      <c r="SKM24" s="93"/>
      <c r="SKN24" s="93"/>
      <c r="SKO24" s="93"/>
      <c r="SKP24" s="93"/>
      <c r="SKQ24" s="93"/>
      <c r="SKR24" s="93"/>
      <c r="SKS24" s="93"/>
      <c r="SKT24" s="93"/>
      <c r="SKU24" s="93"/>
      <c r="SKV24" s="93"/>
      <c r="SKW24" s="93"/>
      <c r="SKX24" s="93"/>
      <c r="SKY24" s="93"/>
      <c r="SKZ24" s="93"/>
      <c r="SLA24" s="93"/>
      <c r="SLB24" s="93"/>
      <c r="SLC24" s="93"/>
      <c r="SLD24" s="93"/>
      <c r="SLE24" s="93"/>
      <c r="SLF24" s="93"/>
      <c r="SLG24" s="93"/>
      <c r="SLH24" s="93"/>
      <c r="SLI24" s="93"/>
      <c r="SLJ24" s="93"/>
      <c r="SLK24" s="93"/>
      <c r="SLL24" s="93"/>
      <c r="SLM24" s="93"/>
      <c r="SLN24" s="93"/>
      <c r="SLO24" s="93"/>
      <c r="SLP24" s="93"/>
      <c r="SLQ24" s="93"/>
      <c r="SLR24" s="93"/>
      <c r="SLS24" s="93"/>
      <c r="SLT24" s="93"/>
      <c r="SLU24" s="93"/>
      <c r="SLV24" s="93"/>
      <c r="SLW24" s="93"/>
      <c r="SLX24" s="93"/>
      <c r="SLY24" s="93"/>
      <c r="SLZ24" s="93"/>
      <c r="SMA24" s="93"/>
      <c r="SMB24" s="93"/>
      <c r="SMC24" s="93"/>
      <c r="SMD24" s="93"/>
      <c r="SME24" s="93"/>
      <c r="SMF24" s="93"/>
      <c r="SMG24" s="93"/>
      <c r="SMH24" s="93"/>
      <c r="SMI24" s="93"/>
      <c r="SMJ24" s="93"/>
      <c r="SMK24" s="93"/>
      <c r="SML24" s="93"/>
      <c r="SMM24" s="93"/>
      <c r="SMN24" s="93"/>
      <c r="SMO24" s="93"/>
      <c r="SMP24" s="93"/>
      <c r="SMQ24" s="93"/>
      <c r="SMR24" s="93"/>
      <c r="SMS24" s="93"/>
      <c r="SMT24" s="93"/>
      <c r="SMU24" s="93"/>
      <c r="SMV24" s="93"/>
      <c r="SMW24" s="93"/>
      <c r="SMX24" s="93"/>
      <c r="SMY24" s="93"/>
      <c r="SMZ24" s="93"/>
      <c r="SNA24" s="93"/>
      <c r="SNB24" s="93"/>
      <c r="SNC24" s="93"/>
      <c r="SND24" s="93"/>
      <c r="SNE24" s="93"/>
      <c r="SNF24" s="93"/>
      <c r="SNG24" s="93"/>
      <c r="SNH24" s="93"/>
      <c r="SNI24" s="93"/>
      <c r="SNJ24" s="93"/>
      <c r="SNK24" s="93"/>
      <c r="SNL24" s="93"/>
      <c r="SNM24" s="93"/>
      <c r="SNN24" s="93"/>
      <c r="SNO24" s="93"/>
      <c r="SNP24" s="93"/>
      <c r="SNQ24" s="93"/>
      <c r="SNR24" s="93"/>
      <c r="SNS24" s="93"/>
      <c r="SNT24" s="93"/>
      <c r="SNU24" s="93"/>
      <c r="SNV24" s="93"/>
      <c r="SNW24" s="93"/>
      <c r="SNX24" s="93"/>
      <c r="SNY24" s="93"/>
      <c r="SNZ24" s="93"/>
      <c r="SOA24" s="93"/>
      <c r="SOB24" s="93"/>
      <c r="SOC24" s="93"/>
      <c r="SOD24" s="93"/>
      <c r="SOE24" s="93"/>
      <c r="SOF24" s="93"/>
      <c r="SOG24" s="93"/>
      <c r="SOH24" s="93"/>
      <c r="SOI24" s="93"/>
      <c r="SOJ24" s="93"/>
      <c r="SOK24" s="93"/>
      <c r="SOL24" s="93"/>
      <c r="SOM24" s="93"/>
      <c r="SON24" s="93"/>
      <c r="SOO24" s="93"/>
      <c r="SOP24" s="93"/>
      <c r="SOQ24" s="93"/>
      <c r="SOR24" s="93"/>
      <c r="SOS24" s="93"/>
      <c r="SOT24" s="93"/>
      <c r="SOU24" s="93"/>
      <c r="SOV24" s="93"/>
      <c r="SOW24" s="93"/>
      <c r="SOX24" s="93"/>
      <c r="SOY24" s="93"/>
      <c r="SOZ24" s="93"/>
      <c r="SPA24" s="93"/>
      <c r="SPB24" s="93"/>
      <c r="SPC24" s="93"/>
      <c r="SPD24" s="93"/>
      <c r="SPE24" s="93"/>
      <c r="SPF24" s="93"/>
      <c r="SPG24" s="93"/>
      <c r="SPH24" s="93"/>
      <c r="SPI24" s="93"/>
      <c r="SPJ24" s="93"/>
      <c r="SPK24" s="93"/>
      <c r="SPL24" s="93"/>
      <c r="SPM24" s="93"/>
      <c r="SPN24" s="93"/>
      <c r="SPO24" s="93"/>
      <c r="SPP24" s="93"/>
      <c r="SPQ24" s="93"/>
      <c r="SPR24" s="93"/>
      <c r="SPS24" s="93"/>
      <c r="SPT24" s="93"/>
      <c r="SPU24" s="93"/>
      <c r="SPV24" s="93"/>
      <c r="SPW24" s="93"/>
      <c r="SPX24" s="93"/>
      <c r="SPY24" s="93"/>
      <c r="SPZ24" s="93"/>
      <c r="SQA24" s="93"/>
      <c r="SQB24" s="93"/>
      <c r="SQC24" s="93"/>
      <c r="SQD24" s="93"/>
      <c r="SQE24" s="93"/>
      <c r="SQF24" s="93"/>
      <c r="SQG24" s="93"/>
      <c r="SQH24" s="93"/>
      <c r="SQI24" s="93"/>
      <c r="SQJ24" s="93"/>
      <c r="SQK24" s="93"/>
      <c r="SQL24" s="93"/>
      <c r="SQM24" s="93"/>
      <c r="SQN24" s="93"/>
      <c r="SQO24" s="93"/>
      <c r="SQP24" s="93"/>
      <c r="SQQ24" s="93"/>
      <c r="SQR24" s="93"/>
      <c r="SQS24" s="93"/>
      <c r="SQT24" s="93"/>
      <c r="SQU24" s="93"/>
      <c r="SQV24" s="93"/>
      <c r="SQW24" s="93"/>
      <c r="SQX24" s="93"/>
      <c r="SQY24" s="93"/>
      <c r="SQZ24" s="93"/>
      <c r="SRA24" s="93"/>
      <c r="SRB24" s="93"/>
      <c r="SRC24" s="93"/>
      <c r="SRD24" s="93"/>
      <c r="SRE24" s="93"/>
      <c r="SRF24" s="93"/>
      <c r="SRG24" s="93"/>
      <c r="SRH24" s="93"/>
      <c r="SRI24" s="93"/>
      <c r="SRJ24" s="93"/>
      <c r="SRK24" s="93"/>
      <c r="SRL24" s="93"/>
      <c r="SRM24" s="93"/>
      <c r="SRN24" s="93"/>
      <c r="SRO24" s="93"/>
      <c r="SRP24" s="93"/>
      <c r="SRQ24" s="93"/>
      <c r="SRR24" s="93"/>
      <c r="SRS24" s="93"/>
      <c r="SRT24" s="93"/>
      <c r="SRU24" s="93"/>
      <c r="SRV24" s="93"/>
      <c r="SRW24" s="93"/>
      <c r="SRX24" s="93"/>
      <c r="SRY24" s="93"/>
      <c r="SRZ24" s="93"/>
      <c r="SSA24" s="93"/>
      <c r="SSB24" s="93"/>
      <c r="SSC24" s="93"/>
      <c r="SSD24" s="93"/>
      <c r="SSE24" s="93"/>
      <c r="SSF24" s="93"/>
      <c r="SSG24" s="93"/>
      <c r="SSH24" s="93"/>
      <c r="SSI24" s="93"/>
      <c r="SSJ24" s="93"/>
      <c r="SSK24" s="93"/>
      <c r="SSL24" s="93"/>
      <c r="SSM24" s="93"/>
      <c r="SSN24" s="93"/>
      <c r="SSO24" s="93"/>
      <c r="SSP24" s="93"/>
      <c r="SSQ24" s="93"/>
      <c r="SSR24" s="93"/>
      <c r="SSS24" s="93"/>
      <c r="SST24" s="93"/>
      <c r="SSU24" s="93"/>
      <c r="SSV24" s="93"/>
      <c r="SSW24" s="93"/>
      <c r="SSX24" s="93"/>
      <c r="SSY24" s="93"/>
      <c r="SSZ24" s="93"/>
      <c r="STA24" s="93"/>
      <c r="STB24" s="93"/>
      <c r="STC24" s="93"/>
      <c r="STD24" s="93"/>
      <c r="STE24" s="93"/>
      <c r="STF24" s="93"/>
      <c r="STG24" s="93"/>
      <c r="STH24" s="93"/>
      <c r="STI24" s="93"/>
      <c r="STJ24" s="93"/>
      <c r="STK24" s="93"/>
      <c r="STL24" s="93"/>
      <c r="STM24" s="93"/>
      <c r="STN24" s="93"/>
      <c r="STO24" s="93"/>
      <c r="STP24" s="93"/>
      <c r="STQ24" s="93"/>
      <c r="STR24" s="93"/>
      <c r="STS24" s="93"/>
      <c r="STT24" s="93"/>
      <c r="STU24" s="93"/>
      <c r="STV24" s="93"/>
      <c r="STW24" s="93"/>
      <c r="STX24" s="93"/>
      <c r="STY24" s="93"/>
      <c r="STZ24" s="93"/>
      <c r="SUA24" s="93"/>
      <c r="SUB24" s="93"/>
      <c r="SUC24" s="93"/>
      <c r="SUD24" s="93"/>
      <c r="SUE24" s="93"/>
      <c r="SUF24" s="93"/>
      <c r="SUG24" s="93"/>
      <c r="SUH24" s="93"/>
      <c r="SUI24" s="93"/>
      <c r="SUJ24" s="93"/>
      <c r="SUK24" s="93"/>
      <c r="SUL24" s="93"/>
      <c r="SUM24" s="93"/>
      <c r="SUN24" s="93"/>
      <c r="SUO24" s="93"/>
      <c r="SUP24" s="93"/>
      <c r="SUQ24" s="93"/>
      <c r="SUR24" s="93"/>
      <c r="SUS24" s="93"/>
      <c r="SUT24" s="93"/>
      <c r="SUU24" s="93"/>
      <c r="SUV24" s="93"/>
      <c r="SUW24" s="93"/>
      <c r="SUX24" s="93"/>
      <c r="SUY24" s="93"/>
      <c r="SUZ24" s="93"/>
      <c r="SVA24" s="93"/>
      <c r="SVB24" s="93"/>
      <c r="SVC24" s="93"/>
      <c r="SVD24" s="93"/>
      <c r="SVE24" s="93"/>
      <c r="SVF24" s="93"/>
      <c r="SVG24" s="93"/>
      <c r="SVH24" s="93"/>
      <c r="SVI24" s="93"/>
      <c r="SVJ24" s="93"/>
      <c r="SVK24" s="93"/>
      <c r="SVL24" s="93"/>
      <c r="SVM24" s="93"/>
      <c r="SVN24" s="93"/>
      <c r="SVO24" s="93"/>
      <c r="SVP24" s="93"/>
      <c r="SVQ24" s="93"/>
      <c r="SVR24" s="93"/>
      <c r="SVS24" s="93"/>
      <c r="SVT24" s="93"/>
      <c r="SVU24" s="93"/>
      <c r="SVV24" s="93"/>
      <c r="SVW24" s="93"/>
      <c r="SVX24" s="93"/>
      <c r="SVY24" s="93"/>
      <c r="SVZ24" s="93"/>
      <c r="SWA24" s="93"/>
      <c r="SWB24" s="93"/>
      <c r="SWC24" s="93"/>
      <c r="SWD24" s="93"/>
      <c r="SWE24" s="93"/>
      <c r="SWF24" s="93"/>
      <c r="SWG24" s="93"/>
      <c r="SWH24" s="93"/>
      <c r="SWI24" s="93"/>
      <c r="SWJ24" s="93"/>
      <c r="SWK24" s="93"/>
      <c r="SWL24" s="93"/>
      <c r="SWM24" s="93"/>
      <c r="SWN24" s="93"/>
      <c r="SWO24" s="93"/>
      <c r="SWP24" s="93"/>
      <c r="SWQ24" s="93"/>
      <c r="SWR24" s="93"/>
      <c r="SWS24" s="93"/>
      <c r="SWT24" s="93"/>
      <c r="SWU24" s="93"/>
      <c r="SWV24" s="93"/>
      <c r="SWW24" s="93"/>
      <c r="SWX24" s="93"/>
      <c r="SWY24" s="93"/>
      <c r="SWZ24" s="93"/>
      <c r="SXA24" s="93"/>
      <c r="SXB24" s="93"/>
      <c r="SXC24" s="93"/>
      <c r="SXD24" s="93"/>
      <c r="SXE24" s="93"/>
      <c r="SXF24" s="93"/>
      <c r="SXG24" s="93"/>
      <c r="SXH24" s="93"/>
      <c r="SXI24" s="93"/>
      <c r="SXJ24" s="93"/>
      <c r="SXK24" s="93"/>
      <c r="SXL24" s="93"/>
      <c r="SXM24" s="93"/>
      <c r="SXN24" s="93"/>
      <c r="SXO24" s="93"/>
      <c r="SXP24" s="93"/>
      <c r="SXQ24" s="93"/>
      <c r="SXR24" s="93"/>
      <c r="SXS24" s="93"/>
      <c r="SXT24" s="93"/>
      <c r="SXU24" s="93"/>
      <c r="SXV24" s="93"/>
      <c r="SXW24" s="93"/>
      <c r="SXX24" s="93"/>
      <c r="SXY24" s="93"/>
      <c r="SXZ24" s="93"/>
      <c r="SYA24" s="93"/>
      <c r="SYB24" s="93"/>
      <c r="SYC24" s="93"/>
      <c r="SYD24" s="93"/>
      <c r="SYE24" s="93"/>
      <c r="SYF24" s="93"/>
      <c r="SYG24" s="93"/>
      <c r="SYH24" s="93"/>
      <c r="SYI24" s="93"/>
      <c r="SYJ24" s="93"/>
      <c r="SYK24" s="93"/>
      <c r="SYL24" s="93"/>
      <c r="SYM24" s="93"/>
      <c r="SYN24" s="93"/>
      <c r="SYO24" s="93"/>
      <c r="SYP24" s="93"/>
      <c r="SYQ24" s="93"/>
      <c r="SYR24" s="93"/>
      <c r="SYS24" s="93"/>
      <c r="SYT24" s="93"/>
      <c r="SYU24" s="93"/>
      <c r="SYV24" s="93"/>
      <c r="SYW24" s="93"/>
      <c r="SYX24" s="93"/>
      <c r="SYY24" s="93"/>
      <c r="SYZ24" s="93"/>
      <c r="SZA24" s="93"/>
      <c r="SZB24" s="93"/>
      <c r="SZC24" s="93"/>
      <c r="SZD24" s="93"/>
      <c r="SZE24" s="93"/>
      <c r="SZF24" s="93"/>
      <c r="SZG24" s="93"/>
      <c r="SZH24" s="93"/>
      <c r="SZI24" s="93"/>
      <c r="SZJ24" s="93"/>
      <c r="SZK24" s="93"/>
      <c r="SZL24" s="93"/>
      <c r="SZM24" s="93"/>
      <c r="SZN24" s="93"/>
      <c r="SZO24" s="93"/>
      <c r="SZP24" s="93"/>
      <c r="SZQ24" s="93"/>
      <c r="SZR24" s="93"/>
      <c r="SZS24" s="93"/>
      <c r="SZT24" s="93"/>
      <c r="SZU24" s="93"/>
      <c r="SZV24" s="93"/>
      <c r="SZW24" s="93"/>
      <c r="SZX24" s="93"/>
      <c r="SZY24" s="93"/>
      <c r="SZZ24" s="93"/>
      <c r="TAA24" s="93"/>
      <c r="TAB24" s="93"/>
      <c r="TAC24" s="93"/>
      <c r="TAD24" s="93"/>
      <c r="TAE24" s="93"/>
      <c r="TAF24" s="93"/>
      <c r="TAG24" s="93"/>
      <c r="TAH24" s="93"/>
      <c r="TAI24" s="93"/>
      <c r="TAJ24" s="93"/>
      <c r="TAK24" s="93"/>
      <c r="TAL24" s="93"/>
      <c r="TAM24" s="93"/>
      <c r="TAN24" s="93"/>
      <c r="TAO24" s="93"/>
      <c r="TAP24" s="93"/>
      <c r="TAQ24" s="93"/>
      <c r="TAR24" s="93"/>
      <c r="TAS24" s="93"/>
      <c r="TAT24" s="93"/>
      <c r="TAU24" s="93"/>
      <c r="TAV24" s="93"/>
      <c r="TAW24" s="93"/>
      <c r="TAX24" s="93"/>
      <c r="TAY24" s="93"/>
      <c r="TAZ24" s="93"/>
      <c r="TBA24" s="93"/>
      <c r="TBB24" s="93"/>
      <c r="TBC24" s="93"/>
      <c r="TBD24" s="93"/>
      <c r="TBE24" s="93"/>
      <c r="TBF24" s="93"/>
      <c r="TBG24" s="93"/>
      <c r="TBH24" s="93"/>
      <c r="TBI24" s="93"/>
      <c r="TBJ24" s="93"/>
      <c r="TBK24" s="93"/>
      <c r="TBL24" s="93"/>
      <c r="TBM24" s="93"/>
      <c r="TBN24" s="93"/>
      <c r="TBO24" s="93"/>
      <c r="TBP24" s="93"/>
      <c r="TBQ24" s="93"/>
      <c r="TBR24" s="93"/>
      <c r="TBS24" s="93"/>
      <c r="TBT24" s="93"/>
      <c r="TBU24" s="93"/>
      <c r="TBV24" s="93"/>
      <c r="TBW24" s="93"/>
      <c r="TBX24" s="93"/>
      <c r="TBY24" s="93"/>
      <c r="TBZ24" s="93"/>
      <c r="TCA24" s="93"/>
      <c r="TCB24" s="93"/>
      <c r="TCC24" s="93"/>
      <c r="TCD24" s="93"/>
      <c r="TCE24" s="93"/>
      <c r="TCF24" s="93"/>
      <c r="TCG24" s="93"/>
      <c r="TCH24" s="93"/>
      <c r="TCI24" s="93"/>
      <c r="TCJ24" s="93"/>
      <c r="TCK24" s="93"/>
      <c r="TCL24" s="93"/>
      <c r="TCM24" s="93"/>
      <c r="TCN24" s="93"/>
      <c r="TCO24" s="93"/>
      <c r="TCP24" s="93"/>
      <c r="TCQ24" s="93"/>
      <c r="TCR24" s="93"/>
      <c r="TCS24" s="93"/>
      <c r="TCT24" s="93"/>
      <c r="TCU24" s="93"/>
      <c r="TCV24" s="93"/>
      <c r="TCW24" s="93"/>
      <c r="TCX24" s="93"/>
      <c r="TCY24" s="93"/>
      <c r="TCZ24" s="93"/>
      <c r="TDA24" s="93"/>
      <c r="TDB24" s="93"/>
      <c r="TDC24" s="93"/>
      <c r="TDD24" s="93"/>
      <c r="TDE24" s="93"/>
      <c r="TDF24" s="93"/>
      <c r="TDG24" s="93"/>
      <c r="TDH24" s="93"/>
      <c r="TDI24" s="93"/>
      <c r="TDJ24" s="93"/>
      <c r="TDK24" s="93"/>
      <c r="TDL24" s="93"/>
      <c r="TDM24" s="93"/>
      <c r="TDN24" s="93"/>
      <c r="TDO24" s="93"/>
      <c r="TDP24" s="93"/>
      <c r="TDQ24" s="93"/>
      <c r="TDR24" s="93"/>
      <c r="TDS24" s="93"/>
      <c r="TDT24" s="93"/>
      <c r="TDU24" s="93"/>
      <c r="TDV24" s="93"/>
      <c r="TDW24" s="93"/>
      <c r="TDX24" s="93"/>
      <c r="TDY24" s="93"/>
      <c r="TDZ24" s="93"/>
      <c r="TEA24" s="93"/>
      <c r="TEB24" s="93"/>
      <c r="TEC24" s="93"/>
      <c r="TED24" s="93"/>
      <c r="TEE24" s="93"/>
      <c r="TEF24" s="93"/>
      <c r="TEG24" s="93"/>
      <c r="TEH24" s="93"/>
      <c r="TEI24" s="93"/>
      <c r="TEJ24" s="93"/>
      <c r="TEK24" s="93"/>
      <c r="TEL24" s="93"/>
      <c r="TEM24" s="93"/>
      <c r="TEN24" s="93"/>
      <c r="TEO24" s="93"/>
      <c r="TEP24" s="93"/>
      <c r="TEQ24" s="93"/>
      <c r="TER24" s="93"/>
      <c r="TES24" s="93"/>
      <c r="TET24" s="93"/>
      <c r="TEU24" s="93"/>
      <c r="TEV24" s="93"/>
      <c r="TEW24" s="93"/>
      <c r="TEX24" s="93"/>
      <c r="TEY24" s="93"/>
      <c r="TEZ24" s="93"/>
      <c r="TFA24" s="93"/>
      <c r="TFB24" s="93"/>
      <c r="TFC24" s="93"/>
      <c r="TFD24" s="93"/>
      <c r="TFE24" s="93"/>
      <c r="TFF24" s="93"/>
      <c r="TFG24" s="93"/>
      <c r="TFH24" s="93"/>
      <c r="TFI24" s="93"/>
      <c r="TFJ24" s="93"/>
      <c r="TFK24" s="93"/>
      <c r="TFL24" s="93"/>
      <c r="TFM24" s="93"/>
      <c r="TFN24" s="93"/>
      <c r="TFO24" s="93"/>
      <c r="TFP24" s="93"/>
      <c r="TFQ24" s="93"/>
      <c r="TFR24" s="93"/>
      <c r="TFS24" s="93"/>
      <c r="TFT24" s="93"/>
      <c r="TFU24" s="93"/>
      <c r="TFV24" s="93"/>
      <c r="TFW24" s="93"/>
      <c r="TFX24" s="93"/>
      <c r="TFY24" s="93"/>
      <c r="TFZ24" s="93"/>
      <c r="TGA24" s="93"/>
      <c r="TGB24" s="93"/>
      <c r="TGC24" s="93"/>
      <c r="TGD24" s="93"/>
      <c r="TGE24" s="93"/>
      <c r="TGF24" s="93"/>
      <c r="TGG24" s="93"/>
      <c r="TGH24" s="93"/>
      <c r="TGI24" s="93"/>
      <c r="TGJ24" s="93"/>
      <c r="TGK24" s="93"/>
      <c r="TGL24" s="93"/>
      <c r="TGM24" s="93"/>
      <c r="TGN24" s="93"/>
      <c r="TGO24" s="93"/>
      <c r="TGP24" s="93"/>
      <c r="TGQ24" s="93"/>
      <c r="TGR24" s="93"/>
      <c r="TGS24" s="93"/>
      <c r="TGT24" s="93"/>
      <c r="TGU24" s="93"/>
      <c r="TGV24" s="93"/>
      <c r="TGW24" s="93"/>
      <c r="TGX24" s="93"/>
      <c r="TGY24" s="93"/>
      <c r="TGZ24" s="93"/>
      <c r="THA24" s="93"/>
      <c r="THB24" s="93"/>
      <c r="THC24" s="93"/>
      <c r="THD24" s="93"/>
      <c r="THE24" s="93"/>
      <c r="THF24" s="93"/>
      <c r="THG24" s="93"/>
      <c r="THH24" s="93"/>
      <c r="THI24" s="93"/>
      <c r="THJ24" s="93"/>
      <c r="THK24" s="93"/>
      <c r="THL24" s="93"/>
      <c r="THM24" s="93"/>
      <c r="THN24" s="93"/>
      <c r="THO24" s="93"/>
      <c r="THP24" s="93"/>
      <c r="THQ24" s="93"/>
      <c r="THR24" s="93"/>
      <c r="THS24" s="93"/>
      <c r="THT24" s="93"/>
      <c r="THU24" s="93"/>
      <c r="THV24" s="93"/>
      <c r="THW24" s="93"/>
      <c r="THX24" s="93"/>
      <c r="THY24" s="93"/>
      <c r="THZ24" s="93"/>
      <c r="TIA24" s="93"/>
      <c r="TIB24" s="93"/>
      <c r="TIC24" s="93"/>
      <c r="TID24" s="93"/>
      <c r="TIE24" s="93"/>
      <c r="TIF24" s="93"/>
      <c r="TIG24" s="93"/>
      <c r="TIH24" s="93"/>
      <c r="TII24" s="93"/>
      <c r="TIJ24" s="93"/>
      <c r="TIK24" s="93"/>
      <c r="TIL24" s="93"/>
      <c r="TIM24" s="93"/>
      <c r="TIN24" s="93"/>
      <c r="TIO24" s="93"/>
      <c r="TIP24" s="93"/>
      <c r="TIQ24" s="93"/>
      <c r="TIR24" s="93"/>
      <c r="TIS24" s="93"/>
      <c r="TIT24" s="93"/>
      <c r="TIU24" s="93"/>
      <c r="TIV24" s="93"/>
      <c r="TIW24" s="93"/>
      <c r="TIX24" s="93"/>
      <c r="TIY24" s="93"/>
      <c r="TIZ24" s="93"/>
      <c r="TJA24" s="93"/>
      <c r="TJB24" s="93"/>
      <c r="TJC24" s="93"/>
      <c r="TJD24" s="93"/>
      <c r="TJE24" s="93"/>
      <c r="TJF24" s="93"/>
      <c r="TJG24" s="93"/>
      <c r="TJH24" s="93"/>
      <c r="TJI24" s="93"/>
      <c r="TJJ24" s="93"/>
      <c r="TJK24" s="93"/>
      <c r="TJL24" s="93"/>
      <c r="TJM24" s="93"/>
      <c r="TJN24" s="93"/>
      <c r="TJO24" s="93"/>
      <c r="TJP24" s="93"/>
      <c r="TJQ24" s="93"/>
      <c r="TJR24" s="93"/>
      <c r="TJS24" s="93"/>
      <c r="TJT24" s="93"/>
      <c r="TJU24" s="93"/>
      <c r="TJV24" s="93"/>
      <c r="TJW24" s="93"/>
      <c r="TJX24" s="93"/>
      <c r="TJY24" s="93"/>
      <c r="TJZ24" s="93"/>
      <c r="TKA24" s="93"/>
      <c r="TKB24" s="93"/>
      <c r="TKC24" s="93"/>
      <c r="TKD24" s="93"/>
      <c r="TKE24" s="93"/>
      <c r="TKF24" s="93"/>
      <c r="TKG24" s="93"/>
      <c r="TKH24" s="93"/>
      <c r="TKI24" s="93"/>
      <c r="TKJ24" s="93"/>
      <c r="TKK24" s="93"/>
      <c r="TKL24" s="93"/>
      <c r="TKM24" s="93"/>
      <c r="TKN24" s="93"/>
      <c r="TKO24" s="93"/>
      <c r="TKP24" s="93"/>
      <c r="TKQ24" s="93"/>
      <c r="TKR24" s="93"/>
      <c r="TKS24" s="93"/>
      <c r="TKT24" s="93"/>
      <c r="TKU24" s="93"/>
      <c r="TKV24" s="93"/>
      <c r="TKW24" s="93"/>
      <c r="TKX24" s="93"/>
      <c r="TKY24" s="93"/>
      <c r="TKZ24" s="93"/>
      <c r="TLA24" s="93"/>
      <c r="TLB24" s="93"/>
      <c r="TLC24" s="93"/>
      <c r="TLD24" s="93"/>
      <c r="TLE24" s="93"/>
      <c r="TLF24" s="93"/>
      <c r="TLG24" s="93"/>
      <c r="TLH24" s="93"/>
      <c r="TLI24" s="93"/>
      <c r="TLJ24" s="93"/>
      <c r="TLK24" s="93"/>
      <c r="TLL24" s="93"/>
      <c r="TLM24" s="93"/>
      <c r="TLN24" s="93"/>
      <c r="TLO24" s="93"/>
      <c r="TLP24" s="93"/>
      <c r="TLQ24" s="93"/>
      <c r="TLR24" s="93"/>
      <c r="TLS24" s="93"/>
      <c r="TLT24" s="93"/>
      <c r="TLU24" s="93"/>
      <c r="TLV24" s="93"/>
      <c r="TLW24" s="93"/>
      <c r="TLX24" s="93"/>
      <c r="TLY24" s="93"/>
      <c r="TLZ24" s="93"/>
      <c r="TMA24" s="93"/>
      <c r="TMB24" s="93"/>
      <c r="TMC24" s="93"/>
      <c r="TMD24" s="93"/>
      <c r="TME24" s="93"/>
      <c r="TMF24" s="93"/>
      <c r="TMG24" s="93"/>
      <c r="TMH24" s="93"/>
      <c r="TMI24" s="93"/>
      <c r="TMJ24" s="93"/>
      <c r="TMK24" s="93"/>
      <c r="TML24" s="93"/>
      <c r="TMM24" s="93"/>
      <c r="TMN24" s="93"/>
      <c r="TMO24" s="93"/>
      <c r="TMP24" s="93"/>
      <c r="TMQ24" s="93"/>
      <c r="TMR24" s="93"/>
      <c r="TMS24" s="93"/>
      <c r="TMT24" s="93"/>
      <c r="TMU24" s="93"/>
      <c r="TMV24" s="93"/>
      <c r="TMW24" s="93"/>
      <c r="TMX24" s="93"/>
      <c r="TMY24" s="93"/>
      <c r="TMZ24" s="93"/>
      <c r="TNA24" s="93"/>
      <c r="TNB24" s="93"/>
      <c r="TNC24" s="93"/>
      <c r="TND24" s="93"/>
      <c r="TNE24" s="93"/>
      <c r="TNF24" s="93"/>
      <c r="TNG24" s="93"/>
      <c r="TNH24" s="93"/>
      <c r="TNI24" s="93"/>
      <c r="TNJ24" s="93"/>
      <c r="TNK24" s="93"/>
      <c r="TNL24" s="93"/>
      <c r="TNM24" s="93"/>
      <c r="TNN24" s="93"/>
      <c r="TNO24" s="93"/>
      <c r="TNP24" s="93"/>
      <c r="TNQ24" s="93"/>
      <c r="TNR24" s="93"/>
      <c r="TNS24" s="93"/>
      <c r="TNT24" s="93"/>
      <c r="TNU24" s="93"/>
      <c r="TNV24" s="93"/>
      <c r="TNW24" s="93"/>
      <c r="TNX24" s="93"/>
      <c r="TNY24" s="93"/>
      <c r="TNZ24" s="93"/>
      <c r="TOA24" s="93"/>
      <c r="TOB24" s="93"/>
      <c r="TOC24" s="93"/>
      <c r="TOD24" s="93"/>
      <c r="TOE24" s="93"/>
      <c r="TOF24" s="93"/>
      <c r="TOG24" s="93"/>
      <c r="TOH24" s="93"/>
      <c r="TOI24" s="93"/>
      <c r="TOJ24" s="93"/>
      <c r="TOK24" s="93"/>
      <c r="TOL24" s="93"/>
      <c r="TOM24" s="93"/>
      <c r="TON24" s="93"/>
      <c r="TOO24" s="93"/>
      <c r="TOP24" s="93"/>
      <c r="TOQ24" s="93"/>
      <c r="TOR24" s="93"/>
      <c r="TOS24" s="93"/>
      <c r="TOT24" s="93"/>
      <c r="TOU24" s="93"/>
      <c r="TOV24" s="93"/>
      <c r="TOW24" s="93"/>
      <c r="TOX24" s="93"/>
      <c r="TOY24" s="93"/>
      <c r="TOZ24" s="93"/>
      <c r="TPA24" s="93"/>
      <c r="TPB24" s="93"/>
      <c r="TPC24" s="93"/>
      <c r="TPD24" s="93"/>
      <c r="TPE24" s="93"/>
      <c r="TPF24" s="93"/>
      <c r="TPG24" s="93"/>
      <c r="TPH24" s="93"/>
      <c r="TPI24" s="93"/>
      <c r="TPJ24" s="93"/>
      <c r="TPK24" s="93"/>
      <c r="TPL24" s="93"/>
      <c r="TPM24" s="93"/>
      <c r="TPN24" s="93"/>
      <c r="TPO24" s="93"/>
      <c r="TPP24" s="93"/>
      <c r="TPQ24" s="93"/>
      <c r="TPR24" s="93"/>
      <c r="TPS24" s="93"/>
      <c r="TPT24" s="93"/>
      <c r="TPU24" s="93"/>
      <c r="TPV24" s="93"/>
      <c r="TPW24" s="93"/>
      <c r="TPX24" s="93"/>
      <c r="TPY24" s="93"/>
      <c r="TPZ24" s="93"/>
      <c r="TQA24" s="93"/>
      <c r="TQB24" s="93"/>
      <c r="TQC24" s="93"/>
      <c r="TQD24" s="93"/>
      <c r="TQE24" s="93"/>
      <c r="TQF24" s="93"/>
      <c r="TQG24" s="93"/>
      <c r="TQH24" s="93"/>
      <c r="TQI24" s="93"/>
      <c r="TQJ24" s="93"/>
      <c r="TQK24" s="93"/>
      <c r="TQL24" s="93"/>
      <c r="TQM24" s="93"/>
      <c r="TQN24" s="93"/>
      <c r="TQO24" s="93"/>
      <c r="TQP24" s="93"/>
      <c r="TQQ24" s="93"/>
      <c r="TQR24" s="93"/>
      <c r="TQS24" s="93"/>
      <c r="TQT24" s="93"/>
      <c r="TQU24" s="93"/>
      <c r="TQV24" s="93"/>
      <c r="TQW24" s="93"/>
      <c r="TQX24" s="93"/>
      <c r="TQY24" s="93"/>
      <c r="TQZ24" s="93"/>
      <c r="TRA24" s="93"/>
      <c r="TRB24" s="93"/>
      <c r="TRC24" s="93"/>
      <c r="TRD24" s="93"/>
      <c r="TRE24" s="93"/>
      <c r="TRF24" s="93"/>
      <c r="TRG24" s="93"/>
      <c r="TRH24" s="93"/>
      <c r="TRI24" s="93"/>
      <c r="TRJ24" s="93"/>
      <c r="TRK24" s="93"/>
      <c r="TRL24" s="93"/>
      <c r="TRM24" s="93"/>
      <c r="TRN24" s="93"/>
      <c r="TRO24" s="93"/>
      <c r="TRP24" s="93"/>
      <c r="TRQ24" s="93"/>
      <c r="TRR24" s="93"/>
      <c r="TRS24" s="93"/>
      <c r="TRT24" s="93"/>
      <c r="TRU24" s="93"/>
      <c r="TRV24" s="93"/>
      <c r="TRW24" s="93"/>
      <c r="TRX24" s="93"/>
      <c r="TRY24" s="93"/>
      <c r="TRZ24" s="93"/>
      <c r="TSA24" s="93"/>
      <c r="TSB24" s="93"/>
      <c r="TSC24" s="93"/>
      <c r="TSD24" s="93"/>
      <c r="TSE24" s="93"/>
      <c r="TSF24" s="93"/>
      <c r="TSG24" s="93"/>
      <c r="TSH24" s="93"/>
      <c r="TSI24" s="93"/>
      <c r="TSJ24" s="93"/>
      <c r="TSK24" s="93"/>
      <c r="TSL24" s="93"/>
      <c r="TSM24" s="93"/>
      <c r="TSN24" s="93"/>
      <c r="TSO24" s="93"/>
      <c r="TSP24" s="93"/>
      <c r="TSQ24" s="93"/>
      <c r="TSR24" s="93"/>
      <c r="TSS24" s="93"/>
      <c r="TST24" s="93"/>
      <c r="TSU24" s="93"/>
      <c r="TSV24" s="93"/>
      <c r="TSW24" s="93"/>
      <c r="TSX24" s="93"/>
      <c r="TSY24" s="93"/>
      <c r="TSZ24" s="93"/>
      <c r="TTA24" s="93"/>
      <c r="TTB24" s="93"/>
      <c r="TTC24" s="93"/>
      <c r="TTD24" s="93"/>
      <c r="TTE24" s="93"/>
      <c r="TTF24" s="93"/>
      <c r="TTG24" s="93"/>
      <c r="TTH24" s="93"/>
      <c r="TTI24" s="93"/>
      <c r="TTJ24" s="93"/>
      <c r="TTK24" s="93"/>
      <c r="TTL24" s="93"/>
      <c r="TTM24" s="93"/>
      <c r="TTN24" s="93"/>
      <c r="TTO24" s="93"/>
      <c r="TTP24" s="93"/>
      <c r="TTQ24" s="93"/>
      <c r="TTR24" s="93"/>
      <c r="TTS24" s="93"/>
      <c r="TTT24" s="93"/>
      <c r="TTU24" s="93"/>
      <c r="TTV24" s="93"/>
      <c r="TTW24" s="93"/>
      <c r="TTX24" s="93"/>
      <c r="TTY24" s="93"/>
      <c r="TTZ24" s="93"/>
      <c r="TUA24" s="93"/>
      <c r="TUB24" s="93"/>
      <c r="TUC24" s="93"/>
      <c r="TUD24" s="93"/>
      <c r="TUE24" s="93"/>
      <c r="TUF24" s="93"/>
      <c r="TUG24" s="93"/>
      <c r="TUH24" s="93"/>
      <c r="TUI24" s="93"/>
      <c r="TUJ24" s="93"/>
      <c r="TUK24" s="93"/>
      <c r="TUL24" s="93"/>
      <c r="TUM24" s="93"/>
      <c r="TUN24" s="93"/>
      <c r="TUO24" s="93"/>
      <c r="TUP24" s="93"/>
      <c r="TUQ24" s="93"/>
      <c r="TUR24" s="93"/>
      <c r="TUS24" s="93"/>
      <c r="TUT24" s="93"/>
      <c r="TUU24" s="93"/>
      <c r="TUV24" s="93"/>
      <c r="TUW24" s="93"/>
      <c r="TUX24" s="93"/>
      <c r="TUY24" s="93"/>
      <c r="TUZ24" s="93"/>
      <c r="TVA24" s="93"/>
      <c r="TVB24" s="93"/>
      <c r="TVC24" s="93"/>
      <c r="TVD24" s="93"/>
      <c r="TVE24" s="93"/>
      <c r="TVF24" s="93"/>
      <c r="TVG24" s="93"/>
      <c r="TVH24" s="93"/>
      <c r="TVI24" s="93"/>
      <c r="TVJ24" s="93"/>
      <c r="TVK24" s="93"/>
      <c r="TVL24" s="93"/>
      <c r="TVM24" s="93"/>
      <c r="TVN24" s="93"/>
      <c r="TVO24" s="93"/>
      <c r="TVP24" s="93"/>
      <c r="TVQ24" s="93"/>
      <c r="TVR24" s="93"/>
      <c r="TVS24" s="93"/>
      <c r="TVT24" s="93"/>
      <c r="TVU24" s="93"/>
      <c r="TVV24" s="93"/>
      <c r="TVW24" s="93"/>
      <c r="TVX24" s="93"/>
      <c r="TVY24" s="93"/>
      <c r="TVZ24" s="93"/>
      <c r="TWA24" s="93"/>
      <c r="TWB24" s="93"/>
      <c r="TWC24" s="93"/>
      <c r="TWD24" s="93"/>
      <c r="TWE24" s="93"/>
      <c r="TWF24" s="93"/>
      <c r="TWG24" s="93"/>
      <c r="TWH24" s="93"/>
      <c r="TWI24" s="93"/>
      <c r="TWJ24" s="93"/>
      <c r="TWK24" s="93"/>
      <c r="TWL24" s="93"/>
      <c r="TWM24" s="93"/>
      <c r="TWN24" s="93"/>
      <c r="TWO24" s="93"/>
      <c r="TWP24" s="93"/>
      <c r="TWQ24" s="93"/>
      <c r="TWR24" s="93"/>
      <c r="TWS24" s="93"/>
      <c r="TWT24" s="93"/>
      <c r="TWU24" s="93"/>
      <c r="TWV24" s="93"/>
      <c r="TWW24" s="93"/>
      <c r="TWX24" s="93"/>
      <c r="TWY24" s="93"/>
      <c r="TWZ24" s="93"/>
      <c r="TXA24" s="93"/>
      <c r="TXB24" s="93"/>
      <c r="TXC24" s="93"/>
      <c r="TXD24" s="93"/>
      <c r="TXE24" s="93"/>
      <c r="TXF24" s="93"/>
      <c r="TXG24" s="93"/>
      <c r="TXH24" s="93"/>
      <c r="TXI24" s="93"/>
      <c r="TXJ24" s="93"/>
      <c r="TXK24" s="93"/>
      <c r="TXL24" s="93"/>
      <c r="TXM24" s="93"/>
      <c r="TXN24" s="93"/>
      <c r="TXO24" s="93"/>
      <c r="TXP24" s="93"/>
      <c r="TXQ24" s="93"/>
      <c r="TXR24" s="93"/>
      <c r="TXS24" s="93"/>
      <c r="TXT24" s="93"/>
      <c r="TXU24" s="93"/>
      <c r="TXV24" s="93"/>
      <c r="TXW24" s="93"/>
      <c r="TXX24" s="93"/>
      <c r="TXY24" s="93"/>
      <c r="TXZ24" s="93"/>
      <c r="TYA24" s="93"/>
      <c r="TYB24" s="93"/>
      <c r="TYC24" s="93"/>
      <c r="TYD24" s="93"/>
      <c r="TYE24" s="93"/>
      <c r="TYF24" s="93"/>
      <c r="TYG24" s="93"/>
      <c r="TYH24" s="93"/>
      <c r="TYI24" s="93"/>
      <c r="TYJ24" s="93"/>
      <c r="TYK24" s="93"/>
      <c r="TYL24" s="93"/>
      <c r="TYM24" s="93"/>
      <c r="TYN24" s="93"/>
      <c r="TYO24" s="93"/>
      <c r="TYP24" s="93"/>
      <c r="TYQ24" s="93"/>
      <c r="TYR24" s="93"/>
      <c r="TYS24" s="93"/>
      <c r="TYT24" s="93"/>
      <c r="TYU24" s="93"/>
      <c r="TYV24" s="93"/>
      <c r="TYW24" s="93"/>
      <c r="TYX24" s="93"/>
      <c r="TYY24" s="93"/>
      <c r="TYZ24" s="93"/>
      <c r="TZA24" s="93"/>
      <c r="TZB24" s="93"/>
      <c r="TZC24" s="93"/>
      <c r="TZD24" s="93"/>
      <c r="TZE24" s="93"/>
      <c r="TZF24" s="93"/>
      <c r="TZG24" s="93"/>
      <c r="TZH24" s="93"/>
      <c r="TZI24" s="93"/>
      <c r="TZJ24" s="93"/>
      <c r="TZK24" s="93"/>
      <c r="TZL24" s="93"/>
      <c r="TZM24" s="93"/>
      <c r="TZN24" s="93"/>
      <c r="TZO24" s="93"/>
      <c r="TZP24" s="93"/>
      <c r="TZQ24" s="93"/>
      <c r="TZR24" s="93"/>
      <c r="TZS24" s="93"/>
      <c r="TZT24" s="93"/>
      <c r="TZU24" s="93"/>
      <c r="TZV24" s="93"/>
      <c r="TZW24" s="93"/>
      <c r="TZX24" s="93"/>
      <c r="TZY24" s="93"/>
      <c r="TZZ24" s="93"/>
      <c r="UAA24" s="93"/>
      <c r="UAB24" s="93"/>
      <c r="UAC24" s="93"/>
      <c r="UAD24" s="93"/>
      <c r="UAE24" s="93"/>
      <c r="UAF24" s="93"/>
      <c r="UAG24" s="93"/>
      <c r="UAH24" s="93"/>
      <c r="UAI24" s="93"/>
      <c r="UAJ24" s="93"/>
      <c r="UAK24" s="93"/>
      <c r="UAL24" s="93"/>
      <c r="UAM24" s="93"/>
      <c r="UAN24" s="93"/>
      <c r="UAO24" s="93"/>
      <c r="UAP24" s="93"/>
      <c r="UAQ24" s="93"/>
      <c r="UAR24" s="93"/>
      <c r="UAS24" s="93"/>
      <c r="UAT24" s="93"/>
      <c r="UAU24" s="93"/>
      <c r="UAV24" s="93"/>
      <c r="UAW24" s="93"/>
      <c r="UAX24" s="93"/>
      <c r="UAY24" s="93"/>
      <c r="UAZ24" s="93"/>
      <c r="UBA24" s="93"/>
      <c r="UBB24" s="93"/>
      <c r="UBC24" s="93"/>
      <c r="UBD24" s="93"/>
      <c r="UBE24" s="93"/>
      <c r="UBF24" s="93"/>
      <c r="UBG24" s="93"/>
      <c r="UBH24" s="93"/>
      <c r="UBI24" s="93"/>
      <c r="UBJ24" s="93"/>
      <c r="UBK24" s="93"/>
      <c r="UBL24" s="93"/>
      <c r="UBM24" s="93"/>
      <c r="UBN24" s="93"/>
      <c r="UBO24" s="93"/>
      <c r="UBP24" s="93"/>
      <c r="UBQ24" s="93"/>
      <c r="UBR24" s="93"/>
      <c r="UBS24" s="93"/>
      <c r="UBT24" s="93"/>
      <c r="UBU24" s="93"/>
      <c r="UBV24" s="93"/>
      <c r="UBW24" s="93"/>
      <c r="UBX24" s="93"/>
      <c r="UBY24" s="93"/>
      <c r="UBZ24" s="93"/>
      <c r="UCA24" s="93"/>
      <c r="UCB24" s="93"/>
      <c r="UCC24" s="93"/>
      <c r="UCD24" s="93"/>
      <c r="UCE24" s="93"/>
      <c r="UCF24" s="93"/>
      <c r="UCG24" s="93"/>
      <c r="UCH24" s="93"/>
      <c r="UCI24" s="93"/>
      <c r="UCJ24" s="93"/>
      <c r="UCK24" s="93"/>
      <c r="UCL24" s="93"/>
      <c r="UCM24" s="93"/>
      <c r="UCN24" s="93"/>
      <c r="UCO24" s="93"/>
      <c r="UCP24" s="93"/>
      <c r="UCQ24" s="93"/>
      <c r="UCR24" s="93"/>
      <c r="UCS24" s="93"/>
      <c r="UCT24" s="93"/>
      <c r="UCU24" s="93"/>
      <c r="UCV24" s="93"/>
      <c r="UCW24" s="93"/>
      <c r="UCX24" s="93"/>
      <c r="UCY24" s="93"/>
      <c r="UCZ24" s="93"/>
      <c r="UDA24" s="93"/>
      <c r="UDB24" s="93"/>
      <c r="UDC24" s="93"/>
      <c r="UDD24" s="93"/>
      <c r="UDE24" s="93"/>
      <c r="UDF24" s="93"/>
      <c r="UDG24" s="93"/>
      <c r="UDH24" s="93"/>
      <c r="UDI24" s="93"/>
      <c r="UDJ24" s="93"/>
      <c r="UDK24" s="93"/>
      <c r="UDL24" s="93"/>
      <c r="UDM24" s="93"/>
      <c r="UDN24" s="93"/>
      <c r="UDO24" s="93"/>
      <c r="UDP24" s="93"/>
      <c r="UDQ24" s="93"/>
      <c r="UDR24" s="93"/>
      <c r="UDS24" s="93"/>
      <c r="UDT24" s="93"/>
      <c r="UDU24" s="93"/>
      <c r="UDV24" s="93"/>
      <c r="UDW24" s="93"/>
      <c r="UDX24" s="93"/>
      <c r="UDY24" s="93"/>
      <c r="UDZ24" s="93"/>
      <c r="UEA24" s="93"/>
      <c r="UEB24" s="93"/>
      <c r="UEC24" s="93"/>
      <c r="UED24" s="93"/>
      <c r="UEE24" s="93"/>
      <c r="UEF24" s="93"/>
      <c r="UEG24" s="93"/>
      <c r="UEH24" s="93"/>
      <c r="UEI24" s="93"/>
      <c r="UEJ24" s="93"/>
      <c r="UEK24" s="93"/>
      <c r="UEL24" s="93"/>
      <c r="UEM24" s="93"/>
      <c r="UEN24" s="93"/>
      <c r="UEO24" s="93"/>
      <c r="UEP24" s="93"/>
      <c r="UEQ24" s="93"/>
      <c r="UER24" s="93"/>
      <c r="UES24" s="93"/>
      <c r="UET24" s="93"/>
      <c r="UEU24" s="93"/>
      <c r="UEV24" s="93"/>
      <c r="UEW24" s="93"/>
      <c r="UEX24" s="93"/>
      <c r="UEY24" s="93"/>
      <c r="UEZ24" s="93"/>
      <c r="UFA24" s="93"/>
      <c r="UFB24" s="93"/>
      <c r="UFC24" s="93"/>
      <c r="UFD24" s="93"/>
      <c r="UFE24" s="93"/>
      <c r="UFF24" s="93"/>
      <c r="UFG24" s="93"/>
      <c r="UFH24" s="93"/>
      <c r="UFI24" s="93"/>
      <c r="UFJ24" s="93"/>
      <c r="UFK24" s="93"/>
      <c r="UFL24" s="93"/>
      <c r="UFM24" s="93"/>
      <c r="UFN24" s="93"/>
      <c r="UFO24" s="93"/>
      <c r="UFP24" s="93"/>
      <c r="UFQ24" s="93"/>
      <c r="UFR24" s="93"/>
      <c r="UFS24" s="93"/>
      <c r="UFT24" s="93"/>
      <c r="UFU24" s="93"/>
      <c r="UFV24" s="93"/>
      <c r="UFW24" s="93"/>
      <c r="UFX24" s="93"/>
      <c r="UFY24" s="93"/>
      <c r="UFZ24" s="93"/>
      <c r="UGA24" s="93"/>
      <c r="UGB24" s="93"/>
      <c r="UGC24" s="93"/>
      <c r="UGD24" s="93"/>
      <c r="UGE24" s="93"/>
      <c r="UGF24" s="93"/>
      <c r="UGG24" s="93"/>
      <c r="UGH24" s="93"/>
      <c r="UGI24" s="93"/>
      <c r="UGJ24" s="93"/>
      <c r="UGK24" s="93"/>
      <c r="UGL24" s="93"/>
      <c r="UGM24" s="93"/>
      <c r="UGN24" s="93"/>
      <c r="UGO24" s="93"/>
      <c r="UGP24" s="93"/>
      <c r="UGQ24" s="93"/>
      <c r="UGR24" s="93"/>
      <c r="UGS24" s="93"/>
      <c r="UGT24" s="93"/>
      <c r="UGU24" s="93"/>
      <c r="UGV24" s="93"/>
      <c r="UGW24" s="93"/>
      <c r="UGX24" s="93"/>
      <c r="UGY24" s="93"/>
      <c r="UGZ24" s="93"/>
      <c r="UHA24" s="93"/>
      <c r="UHB24" s="93"/>
      <c r="UHC24" s="93"/>
      <c r="UHD24" s="93"/>
      <c r="UHE24" s="93"/>
      <c r="UHF24" s="93"/>
      <c r="UHG24" s="93"/>
      <c r="UHH24" s="93"/>
      <c r="UHI24" s="93"/>
      <c r="UHJ24" s="93"/>
      <c r="UHK24" s="93"/>
      <c r="UHL24" s="93"/>
      <c r="UHM24" s="93"/>
      <c r="UHN24" s="93"/>
      <c r="UHO24" s="93"/>
      <c r="UHP24" s="93"/>
      <c r="UHQ24" s="93"/>
      <c r="UHR24" s="93"/>
      <c r="UHS24" s="93"/>
      <c r="UHT24" s="93"/>
      <c r="UHU24" s="93"/>
      <c r="UHV24" s="93"/>
      <c r="UHW24" s="93"/>
      <c r="UHX24" s="93"/>
      <c r="UHY24" s="93"/>
      <c r="UHZ24" s="93"/>
      <c r="UIA24" s="93"/>
      <c r="UIB24" s="93"/>
      <c r="UIC24" s="93"/>
      <c r="UID24" s="93"/>
      <c r="UIE24" s="93"/>
      <c r="UIF24" s="93"/>
      <c r="UIG24" s="93"/>
      <c r="UIH24" s="93"/>
      <c r="UII24" s="93"/>
      <c r="UIJ24" s="93"/>
      <c r="UIK24" s="93"/>
      <c r="UIL24" s="93"/>
      <c r="UIM24" s="93"/>
      <c r="UIN24" s="93"/>
      <c r="UIO24" s="93"/>
      <c r="UIP24" s="93"/>
      <c r="UIQ24" s="93"/>
      <c r="UIR24" s="93"/>
      <c r="UIS24" s="93"/>
      <c r="UIT24" s="93"/>
      <c r="UIU24" s="93"/>
      <c r="UIV24" s="93"/>
      <c r="UIW24" s="93"/>
      <c r="UIX24" s="93"/>
      <c r="UIY24" s="93"/>
      <c r="UIZ24" s="93"/>
      <c r="UJA24" s="93"/>
      <c r="UJB24" s="93"/>
      <c r="UJC24" s="93"/>
      <c r="UJD24" s="93"/>
      <c r="UJE24" s="93"/>
      <c r="UJF24" s="93"/>
      <c r="UJG24" s="93"/>
      <c r="UJH24" s="93"/>
      <c r="UJI24" s="93"/>
      <c r="UJJ24" s="93"/>
      <c r="UJK24" s="93"/>
      <c r="UJL24" s="93"/>
      <c r="UJM24" s="93"/>
      <c r="UJN24" s="93"/>
      <c r="UJO24" s="93"/>
      <c r="UJP24" s="93"/>
      <c r="UJQ24" s="93"/>
      <c r="UJR24" s="93"/>
      <c r="UJS24" s="93"/>
      <c r="UJT24" s="93"/>
      <c r="UJU24" s="93"/>
      <c r="UJV24" s="93"/>
      <c r="UJW24" s="93"/>
      <c r="UJX24" s="93"/>
      <c r="UJY24" s="93"/>
      <c r="UJZ24" s="93"/>
      <c r="UKA24" s="93"/>
      <c r="UKB24" s="93"/>
      <c r="UKC24" s="93"/>
      <c r="UKD24" s="93"/>
      <c r="UKE24" s="93"/>
      <c r="UKF24" s="93"/>
      <c r="UKG24" s="93"/>
      <c r="UKH24" s="93"/>
      <c r="UKI24" s="93"/>
      <c r="UKJ24" s="93"/>
      <c r="UKK24" s="93"/>
      <c r="UKL24" s="93"/>
      <c r="UKM24" s="93"/>
      <c r="UKN24" s="93"/>
      <c r="UKO24" s="93"/>
      <c r="UKP24" s="93"/>
      <c r="UKQ24" s="93"/>
      <c r="UKR24" s="93"/>
      <c r="UKS24" s="93"/>
      <c r="UKT24" s="93"/>
      <c r="UKU24" s="93"/>
      <c r="UKV24" s="93"/>
      <c r="UKW24" s="93"/>
      <c r="UKX24" s="93"/>
      <c r="UKY24" s="93"/>
      <c r="UKZ24" s="93"/>
      <c r="ULA24" s="93"/>
      <c r="ULB24" s="93"/>
      <c r="ULC24" s="93"/>
      <c r="ULD24" s="93"/>
      <c r="ULE24" s="93"/>
      <c r="ULF24" s="93"/>
      <c r="ULG24" s="93"/>
      <c r="ULH24" s="93"/>
      <c r="ULI24" s="93"/>
      <c r="ULJ24" s="93"/>
      <c r="ULK24" s="93"/>
      <c r="ULL24" s="93"/>
      <c r="ULM24" s="93"/>
      <c r="ULN24" s="93"/>
      <c r="ULO24" s="93"/>
      <c r="ULP24" s="93"/>
      <c r="ULQ24" s="93"/>
      <c r="ULR24" s="93"/>
      <c r="ULS24" s="93"/>
      <c r="ULT24" s="93"/>
      <c r="ULU24" s="93"/>
      <c r="ULV24" s="93"/>
      <c r="ULW24" s="93"/>
      <c r="ULX24" s="93"/>
      <c r="ULY24" s="93"/>
      <c r="ULZ24" s="93"/>
      <c r="UMA24" s="93"/>
      <c r="UMB24" s="93"/>
      <c r="UMC24" s="93"/>
      <c r="UMD24" s="93"/>
      <c r="UME24" s="93"/>
      <c r="UMF24" s="93"/>
      <c r="UMG24" s="93"/>
      <c r="UMH24" s="93"/>
      <c r="UMI24" s="93"/>
      <c r="UMJ24" s="93"/>
      <c r="UMK24" s="93"/>
      <c r="UML24" s="93"/>
      <c r="UMM24" s="93"/>
      <c r="UMN24" s="93"/>
      <c r="UMO24" s="93"/>
      <c r="UMP24" s="93"/>
      <c r="UMQ24" s="93"/>
      <c r="UMR24" s="93"/>
      <c r="UMS24" s="93"/>
      <c r="UMT24" s="93"/>
      <c r="UMU24" s="93"/>
      <c r="UMV24" s="93"/>
      <c r="UMW24" s="93"/>
      <c r="UMX24" s="93"/>
      <c r="UMY24" s="93"/>
      <c r="UMZ24" s="93"/>
      <c r="UNA24" s="93"/>
      <c r="UNB24" s="93"/>
      <c r="UNC24" s="93"/>
      <c r="UND24" s="93"/>
      <c r="UNE24" s="93"/>
      <c r="UNF24" s="93"/>
      <c r="UNG24" s="93"/>
      <c r="UNH24" s="93"/>
      <c r="UNI24" s="93"/>
      <c r="UNJ24" s="93"/>
      <c r="UNK24" s="93"/>
      <c r="UNL24" s="93"/>
      <c r="UNM24" s="93"/>
      <c r="UNN24" s="93"/>
      <c r="UNO24" s="93"/>
      <c r="UNP24" s="93"/>
      <c r="UNQ24" s="93"/>
      <c r="UNR24" s="93"/>
      <c r="UNS24" s="93"/>
      <c r="UNT24" s="93"/>
      <c r="UNU24" s="93"/>
      <c r="UNV24" s="93"/>
      <c r="UNW24" s="93"/>
      <c r="UNX24" s="93"/>
      <c r="UNY24" s="93"/>
      <c r="UNZ24" s="93"/>
      <c r="UOA24" s="93"/>
      <c r="UOB24" s="93"/>
      <c r="UOC24" s="93"/>
      <c r="UOD24" s="93"/>
      <c r="UOE24" s="93"/>
      <c r="UOF24" s="93"/>
      <c r="UOG24" s="93"/>
      <c r="UOH24" s="93"/>
      <c r="UOI24" s="93"/>
      <c r="UOJ24" s="93"/>
      <c r="UOK24" s="93"/>
      <c r="UOL24" s="93"/>
      <c r="UOM24" s="93"/>
      <c r="UON24" s="93"/>
      <c r="UOO24" s="93"/>
      <c r="UOP24" s="93"/>
      <c r="UOQ24" s="93"/>
      <c r="UOR24" s="93"/>
      <c r="UOS24" s="93"/>
      <c r="UOT24" s="93"/>
      <c r="UOU24" s="93"/>
      <c r="UOV24" s="93"/>
      <c r="UOW24" s="93"/>
      <c r="UOX24" s="93"/>
      <c r="UOY24" s="93"/>
      <c r="UOZ24" s="93"/>
      <c r="UPA24" s="93"/>
      <c r="UPB24" s="93"/>
      <c r="UPC24" s="93"/>
      <c r="UPD24" s="93"/>
      <c r="UPE24" s="93"/>
      <c r="UPF24" s="93"/>
      <c r="UPG24" s="93"/>
      <c r="UPH24" s="93"/>
      <c r="UPI24" s="93"/>
      <c r="UPJ24" s="93"/>
      <c r="UPK24" s="93"/>
      <c r="UPL24" s="93"/>
      <c r="UPM24" s="93"/>
      <c r="UPN24" s="93"/>
      <c r="UPO24" s="93"/>
      <c r="UPP24" s="93"/>
      <c r="UPQ24" s="93"/>
      <c r="UPR24" s="93"/>
      <c r="UPS24" s="93"/>
      <c r="UPT24" s="93"/>
      <c r="UPU24" s="93"/>
      <c r="UPV24" s="93"/>
      <c r="UPW24" s="93"/>
      <c r="UPX24" s="93"/>
      <c r="UPY24" s="93"/>
      <c r="UPZ24" s="93"/>
      <c r="UQA24" s="93"/>
      <c r="UQB24" s="93"/>
      <c r="UQC24" s="93"/>
      <c r="UQD24" s="93"/>
      <c r="UQE24" s="93"/>
      <c r="UQF24" s="93"/>
      <c r="UQG24" s="93"/>
      <c r="UQH24" s="93"/>
      <c r="UQI24" s="93"/>
      <c r="UQJ24" s="93"/>
      <c r="UQK24" s="93"/>
      <c r="UQL24" s="93"/>
      <c r="UQM24" s="93"/>
      <c r="UQN24" s="93"/>
      <c r="UQO24" s="93"/>
      <c r="UQP24" s="93"/>
      <c r="UQQ24" s="93"/>
      <c r="UQR24" s="93"/>
      <c r="UQS24" s="93"/>
      <c r="UQT24" s="93"/>
      <c r="UQU24" s="93"/>
      <c r="UQV24" s="93"/>
      <c r="UQW24" s="93"/>
      <c r="UQX24" s="93"/>
      <c r="UQY24" s="93"/>
      <c r="UQZ24" s="93"/>
      <c r="URA24" s="93"/>
      <c r="URB24" s="93"/>
      <c r="URC24" s="93"/>
      <c r="URD24" s="93"/>
      <c r="URE24" s="93"/>
      <c r="URF24" s="93"/>
      <c r="URG24" s="93"/>
      <c r="URH24" s="93"/>
      <c r="URI24" s="93"/>
      <c r="URJ24" s="93"/>
      <c r="URK24" s="93"/>
      <c r="URL24" s="93"/>
      <c r="URM24" s="93"/>
      <c r="URN24" s="93"/>
      <c r="URO24" s="93"/>
      <c r="URP24" s="93"/>
      <c r="URQ24" s="93"/>
      <c r="URR24" s="93"/>
      <c r="URS24" s="93"/>
      <c r="URT24" s="93"/>
      <c r="URU24" s="93"/>
      <c r="URV24" s="93"/>
      <c r="URW24" s="93"/>
      <c r="URX24" s="93"/>
      <c r="URY24" s="93"/>
      <c r="URZ24" s="93"/>
      <c r="USA24" s="93"/>
      <c r="USB24" s="93"/>
      <c r="USC24" s="93"/>
      <c r="USD24" s="93"/>
      <c r="USE24" s="93"/>
      <c r="USF24" s="93"/>
      <c r="USG24" s="93"/>
      <c r="USH24" s="93"/>
      <c r="USI24" s="93"/>
      <c r="USJ24" s="93"/>
      <c r="USK24" s="93"/>
      <c r="USL24" s="93"/>
      <c r="USM24" s="93"/>
      <c r="USN24" s="93"/>
      <c r="USO24" s="93"/>
      <c r="USP24" s="93"/>
      <c r="USQ24" s="93"/>
      <c r="USR24" s="93"/>
      <c r="USS24" s="93"/>
      <c r="UST24" s="93"/>
      <c r="USU24" s="93"/>
      <c r="USV24" s="93"/>
      <c r="USW24" s="93"/>
      <c r="USX24" s="93"/>
      <c r="USY24" s="93"/>
      <c r="USZ24" s="93"/>
      <c r="UTA24" s="93"/>
      <c r="UTB24" s="93"/>
      <c r="UTC24" s="93"/>
      <c r="UTD24" s="93"/>
      <c r="UTE24" s="93"/>
      <c r="UTF24" s="93"/>
      <c r="UTG24" s="93"/>
      <c r="UTH24" s="93"/>
      <c r="UTI24" s="93"/>
      <c r="UTJ24" s="93"/>
      <c r="UTK24" s="93"/>
      <c r="UTL24" s="93"/>
      <c r="UTM24" s="93"/>
      <c r="UTN24" s="93"/>
      <c r="UTO24" s="93"/>
      <c r="UTP24" s="93"/>
      <c r="UTQ24" s="93"/>
      <c r="UTR24" s="93"/>
      <c r="UTS24" s="93"/>
      <c r="UTT24" s="93"/>
      <c r="UTU24" s="93"/>
      <c r="UTV24" s="93"/>
      <c r="UTW24" s="93"/>
      <c r="UTX24" s="93"/>
      <c r="UTY24" s="93"/>
      <c r="UTZ24" s="93"/>
      <c r="UUA24" s="93"/>
      <c r="UUB24" s="93"/>
      <c r="UUC24" s="93"/>
      <c r="UUD24" s="93"/>
      <c r="UUE24" s="93"/>
      <c r="UUF24" s="93"/>
      <c r="UUG24" s="93"/>
      <c r="UUH24" s="93"/>
      <c r="UUI24" s="93"/>
      <c r="UUJ24" s="93"/>
      <c r="UUK24" s="93"/>
      <c r="UUL24" s="93"/>
      <c r="UUM24" s="93"/>
      <c r="UUN24" s="93"/>
      <c r="UUO24" s="93"/>
      <c r="UUP24" s="93"/>
      <c r="UUQ24" s="93"/>
      <c r="UUR24" s="93"/>
      <c r="UUS24" s="93"/>
      <c r="UUT24" s="93"/>
      <c r="UUU24" s="93"/>
      <c r="UUV24" s="93"/>
      <c r="UUW24" s="93"/>
      <c r="UUX24" s="93"/>
      <c r="UUY24" s="93"/>
      <c r="UUZ24" s="93"/>
      <c r="UVA24" s="93"/>
      <c r="UVB24" s="93"/>
      <c r="UVC24" s="93"/>
      <c r="UVD24" s="93"/>
      <c r="UVE24" s="93"/>
      <c r="UVF24" s="93"/>
      <c r="UVG24" s="93"/>
      <c r="UVH24" s="93"/>
      <c r="UVI24" s="93"/>
      <c r="UVJ24" s="93"/>
      <c r="UVK24" s="93"/>
      <c r="UVL24" s="93"/>
      <c r="UVM24" s="93"/>
      <c r="UVN24" s="93"/>
      <c r="UVO24" s="93"/>
      <c r="UVP24" s="93"/>
      <c r="UVQ24" s="93"/>
      <c r="UVR24" s="93"/>
      <c r="UVS24" s="93"/>
      <c r="UVT24" s="93"/>
      <c r="UVU24" s="93"/>
      <c r="UVV24" s="93"/>
      <c r="UVW24" s="93"/>
      <c r="UVX24" s="93"/>
      <c r="UVY24" s="93"/>
      <c r="UVZ24" s="93"/>
      <c r="UWA24" s="93"/>
      <c r="UWB24" s="93"/>
      <c r="UWC24" s="93"/>
      <c r="UWD24" s="93"/>
      <c r="UWE24" s="93"/>
      <c r="UWF24" s="93"/>
      <c r="UWG24" s="93"/>
      <c r="UWH24" s="93"/>
      <c r="UWI24" s="93"/>
      <c r="UWJ24" s="93"/>
      <c r="UWK24" s="93"/>
      <c r="UWL24" s="93"/>
      <c r="UWM24" s="93"/>
      <c r="UWN24" s="93"/>
      <c r="UWO24" s="93"/>
      <c r="UWP24" s="93"/>
      <c r="UWQ24" s="93"/>
      <c r="UWR24" s="93"/>
      <c r="UWS24" s="93"/>
      <c r="UWT24" s="93"/>
      <c r="UWU24" s="93"/>
      <c r="UWV24" s="93"/>
      <c r="UWW24" s="93"/>
      <c r="UWX24" s="93"/>
      <c r="UWY24" s="93"/>
      <c r="UWZ24" s="93"/>
      <c r="UXA24" s="93"/>
      <c r="UXB24" s="93"/>
      <c r="UXC24" s="93"/>
      <c r="UXD24" s="93"/>
      <c r="UXE24" s="93"/>
      <c r="UXF24" s="93"/>
      <c r="UXG24" s="93"/>
      <c r="UXH24" s="93"/>
      <c r="UXI24" s="93"/>
      <c r="UXJ24" s="93"/>
      <c r="UXK24" s="93"/>
      <c r="UXL24" s="93"/>
      <c r="UXM24" s="93"/>
      <c r="UXN24" s="93"/>
      <c r="UXO24" s="93"/>
      <c r="UXP24" s="93"/>
      <c r="UXQ24" s="93"/>
      <c r="UXR24" s="93"/>
      <c r="UXS24" s="93"/>
      <c r="UXT24" s="93"/>
      <c r="UXU24" s="93"/>
      <c r="UXV24" s="93"/>
      <c r="UXW24" s="93"/>
      <c r="UXX24" s="93"/>
      <c r="UXY24" s="93"/>
      <c r="UXZ24" s="93"/>
      <c r="UYA24" s="93"/>
      <c r="UYB24" s="93"/>
      <c r="UYC24" s="93"/>
      <c r="UYD24" s="93"/>
      <c r="UYE24" s="93"/>
      <c r="UYF24" s="93"/>
      <c r="UYG24" s="93"/>
      <c r="UYH24" s="93"/>
      <c r="UYI24" s="93"/>
      <c r="UYJ24" s="93"/>
      <c r="UYK24" s="93"/>
      <c r="UYL24" s="93"/>
      <c r="UYM24" s="93"/>
      <c r="UYN24" s="93"/>
      <c r="UYO24" s="93"/>
      <c r="UYP24" s="93"/>
      <c r="UYQ24" s="93"/>
      <c r="UYR24" s="93"/>
      <c r="UYS24" s="93"/>
      <c r="UYT24" s="93"/>
      <c r="UYU24" s="93"/>
      <c r="UYV24" s="93"/>
      <c r="UYW24" s="93"/>
      <c r="UYX24" s="93"/>
      <c r="UYY24" s="93"/>
      <c r="UYZ24" s="93"/>
      <c r="UZA24" s="93"/>
      <c r="UZB24" s="93"/>
      <c r="UZC24" s="93"/>
      <c r="UZD24" s="93"/>
      <c r="UZE24" s="93"/>
      <c r="UZF24" s="93"/>
      <c r="UZG24" s="93"/>
      <c r="UZH24" s="93"/>
      <c r="UZI24" s="93"/>
      <c r="UZJ24" s="93"/>
      <c r="UZK24" s="93"/>
      <c r="UZL24" s="93"/>
      <c r="UZM24" s="93"/>
      <c r="UZN24" s="93"/>
      <c r="UZO24" s="93"/>
      <c r="UZP24" s="93"/>
      <c r="UZQ24" s="93"/>
      <c r="UZR24" s="93"/>
      <c r="UZS24" s="93"/>
      <c r="UZT24" s="93"/>
      <c r="UZU24" s="93"/>
      <c r="UZV24" s="93"/>
      <c r="UZW24" s="93"/>
      <c r="UZX24" s="93"/>
      <c r="UZY24" s="93"/>
      <c r="UZZ24" s="93"/>
      <c r="VAA24" s="93"/>
      <c r="VAB24" s="93"/>
      <c r="VAC24" s="93"/>
      <c r="VAD24" s="93"/>
      <c r="VAE24" s="93"/>
      <c r="VAF24" s="93"/>
      <c r="VAG24" s="93"/>
      <c r="VAH24" s="93"/>
      <c r="VAI24" s="93"/>
      <c r="VAJ24" s="93"/>
      <c r="VAK24" s="93"/>
      <c r="VAL24" s="93"/>
      <c r="VAM24" s="93"/>
      <c r="VAN24" s="93"/>
      <c r="VAO24" s="93"/>
      <c r="VAP24" s="93"/>
      <c r="VAQ24" s="93"/>
      <c r="VAR24" s="93"/>
      <c r="VAS24" s="93"/>
      <c r="VAT24" s="93"/>
      <c r="VAU24" s="93"/>
      <c r="VAV24" s="93"/>
      <c r="VAW24" s="93"/>
      <c r="VAX24" s="93"/>
      <c r="VAY24" s="93"/>
      <c r="VAZ24" s="93"/>
      <c r="VBA24" s="93"/>
      <c r="VBB24" s="93"/>
      <c r="VBC24" s="93"/>
      <c r="VBD24" s="93"/>
      <c r="VBE24" s="93"/>
      <c r="VBF24" s="93"/>
      <c r="VBG24" s="93"/>
      <c r="VBH24" s="93"/>
      <c r="VBI24" s="93"/>
      <c r="VBJ24" s="93"/>
      <c r="VBK24" s="93"/>
      <c r="VBL24" s="93"/>
      <c r="VBM24" s="93"/>
      <c r="VBN24" s="93"/>
      <c r="VBO24" s="93"/>
      <c r="VBP24" s="93"/>
      <c r="VBQ24" s="93"/>
      <c r="VBR24" s="93"/>
      <c r="VBS24" s="93"/>
      <c r="VBT24" s="93"/>
      <c r="VBU24" s="93"/>
      <c r="VBV24" s="93"/>
      <c r="VBW24" s="93"/>
      <c r="VBX24" s="93"/>
      <c r="VBY24" s="93"/>
      <c r="VBZ24" s="93"/>
      <c r="VCA24" s="93"/>
      <c r="VCB24" s="93"/>
      <c r="VCC24" s="93"/>
      <c r="VCD24" s="93"/>
      <c r="VCE24" s="93"/>
      <c r="VCF24" s="93"/>
      <c r="VCG24" s="93"/>
      <c r="VCH24" s="93"/>
      <c r="VCI24" s="93"/>
      <c r="VCJ24" s="93"/>
      <c r="VCK24" s="93"/>
      <c r="VCL24" s="93"/>
      <c r="VCM24" s="93"/>
      <c r="VCN24" s="93"/>
      <c r="VCO24" s="93"/>
      <c r="VCP24" s="93"/>
      <c r="VCQ24" s="93"/>
      <c r="VCR24" s="93"/>
      <c r="VCS24" s="93"/>
      <c r="VCT24" s="93"/>
      <c r="VCU24" s="93"/>
      <c r="VCV24" s="93"/>
      <c r="VCW24" s="93"/>
      <c r="VCX24" s="93"/>
      <c r="VCY24" s="93"/>
      <c r="VCZ24" s="93"/>
      <c r="VDA24" s="93"/>
      <c r="VDB24" s="93"/>
      <c r="VDC24" s="93"/>
      <c r="VDD24" s="93"/>
      <c r="VDE24" s="93"/>
      <c r="VDF24" s="93"/>
      <c r="VDG24" s="93"/>
      <c r="VDH24" s="93"/>
      <c r="VDI24" s="93"/>
      <c r="VDJ24" s="93"/>
      <c r="VDK24" s="93"/>
      <c r="VDL24" s="93"/>
      <c r="VDM24" s="93"/>
      <c r="VDN24" s="93"/>
      <c r="VDO24" s="93"/>
      <c r="VDP24" s="93"/>
      <c r="VDQ24" s="93"/>
      <c r="VDR24" s="93"/>
      <c r="VDS24" s="93"/>
      <c r="VDT24" s="93"/>
      <c r="VDU24" s="93"/>
      <c r="VDV24" s="93"/>
      <c r="VDW24" s="93"/>
      <c r="VDX24" s="93"/>
      <c r="VDY24" s="93"/>
      <c r="VDZ24" s="93"/>
      <c r="VEA24" s="93"/>
      <c r="VEB24" s="93"/>
      <c r="VEC24" s="93"/>
      <c r="VED24" s="93"/>
      <c r="VEE24" s="93"/>
      <c r="VEF24" s="93"/>
      <c r="VEG24" s="93"/>
      <c r="VEH24" s="93"/>
      <c r="VEI24" s="93"/>
      <c r="VEJ24" s="93"/>
      <c r="VEK24" s="93"/>
      <c r="VEL24" s="93"/>
      <c r="VEM24" s="93"/>
      <c r="VEN24" s="93"/>
      <c r="VEO24" s="93"/>
      <c r="VEP24" s="93"/>
      <c r="VEQ24" s="93"/>
      <c r="VER24" s="93"/>
      <c r="VES24" s="93"/>
      <c r="VET24" s="93"/>
      <c r="VEU24" s="93"/>
      <c r="VEV24" s="93"/>
      <c r="VEW24" s="93"/>
      <c r="VEX24" s="93"/>
      <c r="VEY24" s="93"/>
      <c r="VEZ24" s="93"/>
      <c r="VFA24" s="93"/>
      <c r="VFB24" s="93"/>
      <c r="VFC24" s="93"/>
      <c r="VFD24" s="93"/>
      <c r="VFE24" s="93"/>
      <c r="VFF24" s="93"/>
      <c r="VFG24" s="93"/>
      <c r="VFH24" s="93"/>
      <c r="VFI24" s="93"/>
      <c r="VFJ24" s="93"/>
      <c r="VFK24" s="93"/>
      <c r="VFL24" s="93"/>
      <c r="VFM24" s="93"/>
      <c r="VFN24" s="93"/>
      <c r="VFO24" s="93"/>
      <c r="VFP24" s="93"/>
      <c r="VFQ24" s="93"/>
      <c r="VFR24" s="93"/>
      <c r="VFS24" s="93"/>
      <c r="VFT24" s="93"/>
      <c r="VFU24" s="93"/>
      <c r="VFV24" s="93"/>
      <c r="VFW24" s="93"/>
      <c r="VFX24" s="93"/>
      <c r="VFY24" s="93"/>
      <c r="VFZ24" s="93"/>
      <c r="VGA24" s="93"/>
      <c r="VGB24" s="93"/>
      <c r="VGC24" s="93"/>
      <c r="VGD24" s="93"/>
      <c r="VGE24" s="93"/>
      <c r="VGF24" s="93"/>
      <c r="VGG24" s="93"/>
      <c r="VGH24" s="93"/>
      <c r="VGI24" s="93"/>
      <c r="VGJ24" s="93"/>
      <c r="VGK24" s="93"/>
      <c r="VGL24" s="93"/>
      <c r="VGM24" s="93"/>
      <c r="VGN24" s="93"/>
      <c r="VGO24" s="93"/>
      <c r="VGP24" s="93"/>
      <c r="VGQ24" s="93"/>
      <c r="VGR24" s="93"/>
      <c r="VGS24" s="93"/>
      <c r="VGT24" s="93"/>
      <c r="VGU24" s="93"/>
      <c r="VGV24" s="93"/>
      <c r="VGW24" s="93"/>
      <c r="VGX24" s="93"/>
      <c r="VGY24" s="93"/>
      <c r="VGZ24" s="93"/>
      <c r="VHA24" s="93"/>
      <c r="VHB24" s="93"/>
      <c r="VHC24" s="93"/>
      <c r="VHD24" s="93"/>
      <c r="VHE24" s="93"/>
      <c r="VHF24" s="93"/>
      <c r="VHG24" s="93"/>
      <c r="VHH24" s="93"/>
      <c r="VHI24" s="93"/>
      <c r="VHJ24" s="93"/>
      <c r="VHK24" s="93"/>
      <c r="VHL24" s="93"/>
      <c r="VHM24" s="93"/>
      <c r="VHN24" s="93"/>
      <c r="VHO24" s="93"/>
      <c r="VHP24" s="93"/>
      <c r="VHQ24" s="93"/>
      <c r="VHR24" s="93"/>
      <c r="VHS24" s="93"/>
      <c r="VHT24" s="93"/>
      <c r="VHU24" s="93"/>
      <c r="VHV24" s="93"/>
      <c r="VHW24" s="93"/>
      <c r="VHX24" s="93"/>
      <c r="VHY24" s="93"/>
      <c r="VHZ24" s="93"/>
      <c r="VIA24" s="93"/>
      <c r="VIB24" s="93"/>
      <c r="VIC24" s="93"/>
      <c r="VID24" s="93"/>
      <c r="VIE24" s="93"/>
      <c r="VIF24" s="93"/>
      <c r="VIG24" s="93"/>
      <c r="VIH24" s="93"/>
      <c r="VII24" s="93"/>
      <c r="VIJ24" s="93"/>
      <c r="VIK24" s="93"/>
      <c r="VIL24" s="93"/>
      <c r="VIM24" s="93"/>
      <c r="VIN24" s="93"/>
      <c r="VIO24" s="93"/>
      <c r="VIP24" s="93"/>
      <c r="VIQ24" s="93"/>
      <c r="VIR24" s="93"/>
      <c r="VIS24" s="93"/>
      <c r="VIT24" s="93"/>
      <c r="VIU24" s="93"/>
      <c r="VIV24" s="93"/>
      <c r="VIW24" s="93"/>
      <c r="VIX24" s="93"/>
      <c r="VIY24" s="93"/>
      <c r="VIZ24" s="93"/>
      <c r="VJA24" s="93"/>
      <c r="VJB24" s="93"/>
      <c r="VJC24" s="93"/>
      <c r="VJD24" s="93"/>
      <c r="VJE24" s="93"/>
      <c r="VJF24" s="93"/>
      <c r="VJG24" s="93"/>
      <c r="VJH24" s="93"/>
      <c r="VJI24" s="93"/>
      <c r="VJJ24" s="93"/>
      <c r="VJK24" s="93"/>
      <c r="VJL24" s="93"/>
      <c r="VJM24" s="93"/>
      <c r="VJN24" s="93"/>
      <c r="VJO24" s="93"/>
      <c r="VJP24" s="93"/>
      <c r="VJQ24" s="93"/>
      <c r="VJR24" s="93"/>
      <c r="VJS24" s="93"/>
      <c r="VJT24" s="93"/>
      <c r="VJU24" s="93"/>
      <c r="VJV24" s="93"/>
      <c r="VJW24" s="93"/>
      <c r="VJX24" s="93"/>
      <c r="VJY24" s="93"/>
      <c r="VJZ24" s="93"/>
      <c r="VKA24" s="93"/>
      <c r="VKB24" s="93"/>
      <c r="VKC24" s="93"/>
      <c r="VKD24" s="93"/>
      <c r="VKE24" s="93"/>
      <c r="VKF24" s="93"/>
      <c r="VKG24" s="93"/>
      <c r="VKH24" s="93"/>
      <c r="VKI24" s="93"/>
      <c r="VKJ24" s="93"/>
      <c r="VKK24" s="93"/>
      <c r="VKL24" s="93"/>
      <c r="VKM24" s="93"/>
      <c r="VKN24" s="93"/>
      <c r="VKO24" s="93"/>
      <c r="VKP24" s="93"/>
      <c r="VKQ24" s="93"/>
      <c r="VKR24" s="93"/>
      <c r="VKS24" s="93"/>
      <c r="VKT24" s="93"/>
      <c r="VKU24" s="93"/>
      <c r="VKV24" s="93"/>
      <c r="VKW24" s="93"/>
      <c r="VKX24" s="93"/>
      <c r="VKY24" s="93"/>
      <c r="VKZ24" s="93"/>
      <c r="VLA24" s="93"/>
      <c r="VLB24" s="93"/>
      <c r="VLC24" s="93"/>
      <c r="VLD24" s="93"/>
      <c r="VLE24" s="93"/>
      <c r="VLF24" s="93"/>
      <c r="VLG24" s="93"/>
      <c r="VLH24" s="93"/>
      <c r="VLI24" s="93"/>
      <c r="VLJ24" s="93"/>
      <c r="VLK24" s="93"/>
      <c r="VLL24" s="93"/>
      <c r="VLM24" s="93"/>
      <c r="VLN24" s="93"/>
      <c r="VLO24" s="93"/>
      <c r="VLP24" s="93"/>
      <c r="VLQ24" s="93"/>
      <c r="VLR24" s="93"/>
      <c r="VLS24" s="93"/>
      <c r="VLT24" s="93"/>
      <c r="VLU24" s="93"/>
      <c r="VLV24" s="93"/>
      <c r="VLW24" s="93"/>
      <c r="VLX24" s="93"/>
      <c r="VLY24" s="93"/>
      <c r="VLZ24" s="93"/>
      <c r="VMA24" s="93"/>
      <c r="VMB24" s="93"/>
      <c r="VMC24" s="93"/>
      <c r="VMD24" s="93"/>
      <c r="VME24" s="93"/>
      <c r="VMF24" s="93"/>
      <c r="VMG24" s="93"/>
      <c r="VMH24" s="93"/>
      <c r="VMI24" s="93"/>
      <c r="VMJ24" s="93"/>
      <c r="VMK24" s="93"/>
      <c r="VML24" s="93"/>
      <c r="VMM24" s="93"/>
      <c r="VMN24" s="93"/>
      <c r="VMO24" s="93"/>
      <c r="VMP24" s="93"/>
      <c r="VMQ24" s="93"/>
      <c r="VMR24" s="93"/>
      <c r="VMS24" s="93"/>
      <c r="VMT24" s="93"/>
      <c r="VMU24" s="93"/>
      <c r="VMV24" s="93"/>
      <c r="VMW24" s="93"/>
      <c r="VMX24" s="93"/>
      <c r="VMY24" s="93"/>
      <c r="VMZ24" s="93"/>
      <c r="VNA24" s="93"/>
      <c r="VNB24" s="93"/>
      <c r="VNC24" s="93"/>
      <c r="VND24" s="93"/>
      <c r="VNE24" s="93"/>
      <c r="VNF24" s="93"/>
      <c r="VNG24" s="93"/>
      <c r="VNH24" s="93"/>
      <c r="VNI24" s="93"/>
      <c r="VNJ24" s="93"/>
      <c r="VNK24" s="93"/>
      <c r="VNL24" s="93"/>
      <c r="VNM24" s="93"/>
      <c r="VNN24" s="93"/>
      <c r="VNO24" s="93"/>
      <c r="VNP24" s="93"/>
      <c r="VNQ24" s="93"/>
      <c r="VNR24" s="93"/>
      <c r="VNS24" s="93"/>
      <c r="VNT24" s="93"/>
      <c r="VNU24" s="93"/>
      <c r="VNV24" s="93"/>
      <c r="VNW24" s="93"/>
      <c r="VNX24" s="93"/>
      <c r="VNY24" s="93"/>
      <c r="VNZ24" s="93"/>
      <c r="VOA24" s="93"/>
      <c r="VOB24" s="93"/>
      <c r="VOC24" s="93"/>
      <c r="VOD24" s="93"/>
      <c r="VOE24" s="93"/>
      <c r="VOF24" s="93"/>
      <c r="VOG24" s="93"/>
      <c r="VOH24" s="93"/>
      <c r="VOI24" s="93"/>
      <c r="VOJ24" s="93"/>
      <c r="VOK24" s="93"/>
      <c r="VOL24" s="93"/>
      <c r="VOM24" s="93"/>
      <c r="VON24" s="93"/>
      <c r="VOO24" s="93"/>
      <c r="VOP24" s="93"/>
      <c r="VOQ24" s="93"/>
      <c r="VOR24" s="93"/>
      <c r="VOS24" s="93"/>
      <c r="VOT24" s="93"/>
      <c r="VOU24" s="93"/>
      <c r="VOV24" s="93"/>
      <c r="VOW24" s="93"/>
      <c r="VOX24" s="93"/>
      <c r="VOY24" s="93"/>
      <c r="VOZ24" s="93"/>
      <c r="VPA24" s="93"/>
      <c r="VPB24" s="93"/>
      <c r="VPC24" s="93"/>
      <c r="VPD24" s="93"/>
      <c r="VPE24" s="93"/>
      <c r="VPF24" s="93"/>
      <c r="VPG24" s="93"/>
      <c r="VPH24" s="93"/>
      <c r="VPI24" s="93"/>
      <c r="VPJ24" s="93"/>
      <c r="VPK24" s="93"/>
      <c r="VPL24" s="93"/>
      <c r="VPM24" s="93"/>
      <c r="VPN24" s="93"/>
      <c r="VPO24" s="93"/>
      <c r="VPP24" s="93"/>
      <c r="VPQ24" s="93"/>
      <c r="VPR24" s="93"/>
      <c r="VPS24" s="93"/>
      <c r="VPT24" s="93"/>
      <c r="VPU24" s="93"/>
      <c r="VPV24" s="93"/>
      <c r="VPW24" s="93"/>
      <c r="VPX24" s="93"/>
      <c r="VPY24" s="93"/>
      <c r="VPZ24" s="93"/>
      <c r="VQA24" s="93"/>
      <c r="VQB24" s="93"/>
      <c r="VQC24" s="93"/>
      <c r="VQD24" s="93"/>
      <c r="VQE24" s="93"/>
      <c r="VQF24" s="93"/>
      <c r="VQG24" s="93"/>
      <c r="VQH24" s="93"/>
      <c r="VQI24" s="93"/>
      <c r="VQJ24" s="93"/>
      <c r="VQK24" s="93"/>
      <c r="VQL24" s="93"/>
      <c r="VQM24" s="93"/>
      <c r="VQN24" s="93"/>
      <c r="VQO24" s="93"/>
      <c r="VQP24" s="93"/>
      <c r="VQQ24" s="93"/>
      <c r="VQR24" s="93"/>
      <c r="VQS24" s="93"/>
      <c r="VQT24" s="93"/>
      <c r="VQU24" s="93"/>
      <c r="VQV24" s="93"/>
      <c r="VQW24" s="93"/>
      <c r="VQX24" s="93"/>
      <c r="VQY24" s="93"/>
      <c r="VQZ24" s="93"/>
      <c r="VRA24" s="93"/>
      <c r="VRB24" s="93"/>
      <c r="VRC24" s="93"/>
      <c r="VRD24" s="93"/>
      <c r="VRE24" s="93"/>
      <c r="VRF24" s="93"/>
      <c r="VRG24" s="93"/>
      <c r="VRH24" s="93"/>
      <c r="VRI24" s="93"/>
      <c r="VRJ24" s="93"/>
      <c r="VRK24" s="93"/>
      <c r="VRL24" s="93"/>
      <c r="VRM24" s="93"/>
      <c r="VRN24" s="93"/>
      <c r="VRO24" s="93"/>
      <c r="VRP24" s="93"/>
      <c r="VRQ24" s="93"/>
      <c r="VRR24" s="93"/>
      <c r="VRS24" s="93"/>
      <c r="VRT24" s="93"/>
      <c r="VRU24" s="93"/>
      <c r="VRV24" s="93"/>
      <c r="VRW24" s="93"/>
      <c r="VRX24" s="93"/>
      <c r="VRY24" s="93"/>
      <c r="VRZ24" s="93"/>
      <c r="VSA24" s="93"/>
      <c r="VSB24" s="93"/>
      <c r="VSC24" s="93"/>
      <c r="VSD24" s="93"/>
      <c r="VSE24" s="93"/>
      <c r="VSF24" s="93"/>
      <c r="VSG24" s="93"/>
      <c r="VSH24" s="93"/>
      <c r="VSI24" s="93"/>
      <c r="VSJ24" s="93"/>
      <c r="VSK24" s="93"/>
      <c r="VSL24" s="93"/>
      <c r="VSM24" s="93"/>
      <c r="VSN24" s="93"/>
      <c r="VSO24" s="93"/>
      <c r="VSP24" s="93"/>
      <c r="VSQ24" s="93"/>
      <c r="VSR24" s="93"/>
      <c r="VSS24" s="93"/>
      <c r="VST24" s="93"/>
      <c r="VSU24" s="93"/>
      <c r="VSV24" s="93"/>
      <c r="VSW24" s="93"/>
      <c r="VSX24" s="93"/>
      <c r="VSY24" s="93"/>
      <c r="VSZ24" s="93"/>
      <c r="VTA24" s="93"/>
      <c r="VTB24" s="93"/>
      <c r="VTC24" s="93"/>
      <c r="VTD24" s="93"/>
      <c r="VTE24" s="93"/>
      <c r="VTF24" s="93"/>
      <c r="VTG24" s="93"/>
      <c r="VTH24" s="93"/>
      <c r="VTI24" s="93"/>
      <c r="VTJ24" s="93"/>
      <c r="VTK24" s="93"/>
      <c r="VTL24" s="93"/>
      <c r="VTM24" s="93"/>
      <c r="VTN24" s="93"/>
      <c r="VTO24" s="93"/>
      <c r="VTP24" s="93"/>
      <c r="VTQ24" s="93"/>
      <c r="VTR24" s="93"/>
      <c r="VTS24" s="93"/>
      <c r="VTT24" s="93"/>
      <c r="VTU24" s="93"/>
      <c r="VTV24" s="93"/>
      <c r="VTW24" s="93"/>
      <c r="VTX24" s="93"/>
      <c r="VTY24" s="93"/>
      <c r="VTZ24" s="93"/>
      <c r="VUA24" s="93"/>
      <c r="VUB24" s="93"/>
      <c r="VUC24" s="93"/>
      <c r="VUD24" s="93"/>
      <c r="VUE24" s="93"/>
      <c r="VUF24" s="93"/>
      <c r="VUG24" s="93"/>
      <c r="VUH24" s="93"/>
      <c r="VUI24" s="93"/>
      <c r="VUJ24" s="93"/>
      <c r="VUK24" s="93"/>
      <c r="VUL24" s="93"/>
      <c r="VUM24" s="93"/>
      <c r="VUN24" s="93"/>
      <c r="VUO24" s="93"/>
      <c r="VUP24" s="93"/>
      <c r="VUQ24" s="93"/>
      <c r="VUR24" s="93"/>
      <c r="VUS24" s="93"/>
      <c r="VUT24" s="93"/>
      <c r="VUU24" s="93"/>
      <c r="VUV24" s="93"/>
      <c r="VUW24" s="93"/>
      <c r="VUX24" s="93"/>
      <c r="VUY24" s="93"/>
      <c r="VUZ24" s="93"/>
      <c r="VVA24" s="93"/>
      <c r="VVB24" s="93"/>
      <c r="VVC24" s="93"/>
      <c r="VVD24" s="93"/>
      <c r="VVE24" s="93"/>
      <c r="VVF24" s="93"/>
      <c r="VVG24" s="93"/>
      <c r="VVH24" s="93"/>
      <c r="VVI24" s="93"/>
      <c r="VVJ24" s="93"/>
      <c r="VVK24" s="93"/>
      <c r="VVL24" s="93"/>
      <c r="VVM24" s="93"/>
      <c r="VVN24" s="93"/>
      <c r="VVO24" s="93"/>
      <c r="VVP24" s="93"/>
      <c r="VVQ24" s="93"/>
      <c r="VVR24" s="93"/>
      <c r="VVS24" s="93"/>
      <c r="VVT24" s="93"/>
      <c r="VVU24" s="93"/>
      <c r="VVV24" s="93"/>
      <c r="VVW24" s="93"/>
      <c r="VVX24" s="93"/>
      <c r="VVY24" s="93"/>
      <c r="VVZ24" s="93"/>
      <c r="VWA24" s="93"/>
      <c r="VWB24" s="93"/>
      <c r="VWC24" s="93"/>
      <c r="VWD24" s="93"/>
      <c r="VWE24" s="93"/>
      <c r="VWF24" s="93"/>
      <c r="VWG24" s="93"/>
      <c r="VWH24" s="93"/>
      <c r="VWI24" s="93"/>
      <c r="VWJ24" s="93"/>
      <c r="VWK24" s="93"/>
      <c r="VWL24" s="93"/>
      <c r="VWM24" s="93"/>
      <c r="VWN24" s="93"/>
      <c r="VWO24" s="93"/>
      <c r="VWP24" s="93"/>
      <c r="VWQ24" s="93"/>
      <c r="VWR24" s="93"/>
      <c r="VWS24" s="93"/>
      <c r="VWT24" s="93"/>
      <c r="VWU24" s="93"/>
      <c r="VWV24" s="93"/>
      <c r="VWW24" s="93"/>
      <c r="VWX24" s="93"/>
      <c r="VWY24" s="93"/>
      <c r="VWZ24" s="93"/>
      <c r="VXA24" s="93"/>
      <c r="VXB24" s="93"/>
      <c r="VXC24" s="93"/>
      <c r="VXD24" s="93"/>
      <c r="VXE24" s="93"/>
      <c r="VXF24" s="93"/>
      <c r="VXG24" s="93"/>
      <c r="VXH24" s="93"/>
      <c r="VXI24" s="93"/>
      <c r="VXJ24" s="93"/>
      <c r="VXK24" s="93"/>
      <c r="VXL24" s="93"/>
      <c r="VXM24" s="93"/>
      <c r="VXN24" s="93"/>
      <c r="VXO24" s="93"/>
      <c r="VXP24" s="93"/>
      <c r="VXQ24" s="93"/>
      <c r="VXR24" s="93"/>
      <c r="VXS24" s="93"/>
      <c r="VXT24" s="93"/>
      <c r="VXU24" s="93"/>
      <c r="VXV24" s="93"/>
      <c r="VXW24" s="93"/>
      <c r="VXX24" s="93"/>
      <c r="VXY24" s="93"/>
      <c r="VXZ24" s="93"/>
      <c r="VYA24" s="93"/>
      <c r="VYB24" s="93"/>
      <c r="VYC24" s="93"/>
      <c r="VYD24" s="93"/>
      <c r="VYE24" s="93"/>
      <c r="VYF24" s="93"/>
      <c r="VYG24" s="93"/>
      <c r="VYH24" s="93"/>
      <c r="VYI24" s="93"/>
      <c r="VYJ24" s="93"/>
      <c r="VYK24" s="93"/>
      <c r="VYL24" s="93"/>
      <c r="VYM24" s="93"/>
      <c r="VYN24" s="93"/>
      <c r="VYO24" s="93"/>
      <c r="VYP24" s="93"/>
      <c r="VYQ24" s="93"/>
      <c r="VYR24" s="93"/>
      <c r="VYS24" s="93"/>
      <c r="VYT24" s="93"/>
      <c r="VYU24" s="93"/>
      <c r="VYV24" s="93"/>
      <c r="VYW24" s="93"/>
      <c r="VYX24" s="93"/>
      <c r="VYY24" s="93"/>
      <c r="VYZ24" s="93"/>
      <c r="VZA24" s="93"/>
      <c r="VZB24" s="93"/>
      <c r="VZC24" s="93"/>
      <c r="VZD24" s="93"/>
      <c r="VZE24" s="93"/>
      <c r="VZF24" s="93"/>
      <c r="VZG24" s="93"/>
      <c r="VZH24" s="93"/>
      <c r="VZI24" s="93"/>
      <c r="VZJ24" s="93"/>
      <c r="VZK24" s="93"/>
      <c r="VZL24" s="93"/>
      <c r="VZM24" s="93"/>
      <c r="VZN24" s="93"/>
      <c r="VZO24" s="93"/>
      <c r="VZP24" s="93"/>
      <c r="VZQ24" s="93"/>
      <c r="VZR24" s="93"/>
      <c r="VZS24" s="93"/>
      <c r="VZT24" s="93"/>
      <c r="VZU24" s="93"/>
      <c r="VZV24" s="93"/>
      <c r="VZW24" s="93"/>
      <c r="VZX24" s="93"/>
      <c r="VZY24" s="93"/>
      <c r="VZZ24" s="93"/>
      <c r="WAA24" s="93"/>
      <c r="WAB24" s="93"/>
      <c r="WAC24" s="93"/>
      <c r="WAD24" s="93"/>
      <c r="WAE24" s="93"/>
      <c r="WAF24" s="93"/>
      <c r="WAG24" s="93"/>
      <c r="WAH24" s="93"/>
      <c r="WAI24" s="93"/>
      <c r="WAJ24" s="93"/>
      <c r="WAK24" s="93"/>
      <c r="WAL24" s="93"/>
      <c r="WAM24" s="93"/>
      <c r="WAN24" s="93"/>
      <c r="WAO24" s="93"/>
      <c r="WAP24" s="93"/>
      <c r="WAQ24" s="93"/>
      <c r="WAR24" s="93"/>
      <c r="WAS24" s="93"/>
      <c r="WAT24" s="93"/>
      <c r="WAU24" s="93"/>
      <c r="WAV24" s="93"/>
      <c r="WAW24" s="93"/>
      <c r="WAX24" s="93"/>
      <c r="WAY24" s="93"/>
      <c r="WAZ24" s="93"/>
      <c r="WBA24" s="93"/>
      <c r="WBB24" s="93"/>
      <c r="WBC24" s="93"/>
      <c r="WBD24" s="93"/>
      <c r="WBE24" s="93"/>
      <c r="WBF24" s="93"/>
      <c r="WBG24" s="93"/>
      <c r="WBH24" s="93"/>
      <c r="WBI24" s="93"/>
      <c r="WBJ24" s="93"/>
      <c r="WBK24" s="93"/>
      <c r="WBL24" s="93"/>
      <c r="WBM24" s="93"/>
      <c r="WBN24" s="93"/>
      <c r="WBO24" s="93"/>
      <c r="WBP24" s="93"/>
      <c r="WBQ24" s="93"/>
      <c r="WBR24" s="93"/>
      <c r="WBS24" s="93"/>
      <c r="WBT24" s="93"/>
      <c r="WBU24" s="93"/>
      <c r="WBV24" s="93"/>
      <c r="WBW24" s="93"/>
      <c r="WBX24" s="93"/>
      <c r="WBY24" s="93"/>
      <c r="WBZ24" s="93"/>
      <c r="WCA24" s="93"/>
      <c r="WCB24" s="93"/>
      <c r="WCC24" s="93"/>
      <c r="WCD24" s="93"/>
      <c r="WCE24" s="93"/>
      <c r="WCF24" s="93"/>
      <c r="WCG24" s="93"/>
      <c r="WCH24" s="93"/>
      <c r="WCI24" s="93"/>
      <c r="WCJ24" s="93"/>
      <c r="WCK24" s="93"/>
      <c r="WCL24" s="93"/>
      <c r="WCM24" s="93"/>
      <c r="WCN24" s="93"/>
      <c r="WCO24" s="93"/>
      <c r="WCP24" s="93"/>
      <c r="WCQ24" s="93"/>
      <c r="WCR24" s="93"/>
      <c r="WCS24" s="93"/>
      <c r="WCT24" s="93"/>
      <c r="WCU24" s="93"/>
      <c r="WCV24" s="93"/>
      <c r="WCW24" s="93"/>
      <c r="WCX24" s="93"/>
      <c r="WCY24" s="93"/>
      <c r="WCZ24" s="93"/>
      <c r="WDA24" s="93"/>
      <c r="WDB24" s="93"/>
      <c r="WDC24" s="93"/>
      <c r="WDD24" s="93"/>
      <c r="WDE24" s="93"/>
      <c r="WDF24" s="93"/>
      <c r="WDG24" s="93"/>
      <c r="WDH24" s="93"/>
      <c r="WDI24" s="93"/>
      <c r="WDJ24" s="93"/>
      <c r="WDK24" s="93"/>
      <c r="WDL24" s="93"/>
      <c r="WDM24" s="93"/>
      <c r="WDN24" s="93"/>
      <c r="WDO24" s="93"/>
      <c r="WDP24" s="93"/>
      <c r="WDQ24" s="93"/>
      <c r="WDR24" s="93"/>
      <c r="WDS24" s="93"/>
      <c r="WDT24" s="93"/>
      <c r="WDU24" s="93"/>
      <c r="WDV24" s="93"/>
      <c r="WDW24" s="93"/>
      <c r="WDX24" s="93"/>
      <c r="WDY24" s="93"/>
      <c r="WDZ24" s="93"/>
      <c r="WEA24" s="93"/>
      <c r="WEB24" s="93"/>
      <c r="WEC24" s="93"/>
      <c r="WED24" s="93"/>
      <c r="WEE24" s="93"/>
      <c r="WEF24" s="93"/>
      <c r="WEG24" s="93"/>
      <c r="WEH24" s="93"/>
      <c r="WEI24" s="93"/>
      <c r="WEJ24" s="93"/>
      <c r="WEK24" s="93"/>
      <c r="WEL24" s="93"/>
      <c r="WEM24" s="93"/>
      <c r="WEN24" s="93"/>
      <c r="WEO24" s="93"/>
      <c r="WEP24" s="93"/>
      <c r="WEQ24" s="93"/>
      <c r="WER24" s="93"/>
      <c r="WES24" s="93"/>
      <c r="WET24" s="93"/>
      <c r="WEU24" s="93"/>
      <c r="WEV24" s="93"/>
      <c r="WEW24" s="93"/>
      <c r="WEX24" s="93"/>
      <c r="WEY24" s="93"/>
      <c r="WEZ24" s="93"/>
      <c r="WFA24" s="93"/>
      <c r="WFB24" s="93"/>
      <c r="WFC24" s="93"/>
      <c r="WFD24" s="93"/>
      <c r="WFE24" s="93"/>
      <c r="WFF24" s="93"/>
      <c r="WFG24" s="93"/>
      <c r="WFH24" s="93"/>
      <c r="WFI24" s="93"/>
      <c r="WFJ24" s="93"/>
      <c r="WFK24" s="93"/>
      <c r="WFL24" s="93"/>
      <c r="WFM24" s="93"/>
      <c r="WFN24" s="93"/>
      <c r="WFO24" s="93"/>
      <c r="WFP24" s="93"/>
      <c r="WFQ24" s="93"/>
      <c r="WFR24" s="93"/>
      <c r="WFS24" s="93"/>
      <c r="WFT24" s="93"/>
      <c r="WFU24" s="93"/>
      <c r="WFV24" s="93"/>
      <c r="WFW24" s="93"/>
      <c r="WFX24" s="93"/>
      <c r="WFY24" s="93"/>
      <c r="WFZ24" s="93"/>
      <c r="WGA24" s="93"/>
      <c r="WGB24" s="93"/>
      <c r="WGC24" s="93"/>
      <c r="WGD24" s="93"/>
      <c r="WGE24" s="93"/>
      <c r="WGF24" s="93"/>
      <c r="WGG24" s="93"/>
      <c r="WGH24" s="93"/>
      <c r="WGI24" s="93"/>
      <c r="WGJ24" s="93"/>
      <c r="WGK24" s="93"/>
      <c r="WGL24" s="93"/>
      <c r="WGM24" s="93"/>
      <c r="WGN24" s="93"/>
      <c r="WGO24" s="93"/>
      <c r="WGP24" s="93"/>
      <c r="WGQ24" s="93"/>
      <c r="WGR24" s="93"/>
      <c r="WGS24" s="93"/>
      <c r="WGT24" s="93"/>
      <c r="WGU24" s="93"/>
      <c r="WGV24" s="93"/>
      <c r="WGW24" s="93"/>
      <c r="WGX24" s="93"/>
      <c r="WGY24" s="93"/>
      <c r="WGZ24" s="93"/>
      <c r="WHA24" s="93"/>
      <c r="WHB24" s="93"/>
      <c r="WHC24" s="93"/>
      <c r="WHD24" s="93"/>
      <c r="WHE24" s="93"/>
      <c r="WHF24" s="93"/>
      <c r="WHG24" s="93"/>
      <c r="WHH24" s="93"/>
      <c r="WHI24" s="93"/>
      <c r="WHJ24" s="93"/>
      <c r="WHK24" s="93"/>
      <c r="WHL24" s="93"/>
      <c r="WHM24" s="93"/>
      <c r="WHN24" s="93"/>
      <c r="WHO24" s="93"/>
      <c r="WHP24" s="93"/>
      <c r="WHQ24" s="93"/>
      <c r="WHR24" s="93"/>
      <c r="WHS24" s="93"/>
      <c r="WHT24" s="93"/>
      <c r="WHU24" s="93"/>
      <c r="WHV24" s="93"/>
      <c r="WHW24" s="93"/>
      <c r="WHX24" s="93"/>
      <c r="WHY24" s="93"/>
      <c r="WHZ24" s="93"/>
      <c r="WIA24" s="93"/>
      <c r="WIB24" s="93"/>
      <c r="WIC24" s="93"/>
      <c r="WID24" s="93"/>
      <c r="WIE24" s="93"/>
      <c r="WIF24" s="93"/>
      <c r="WIG24" s="93"/>
      <c r="WIH24" s="93"/>
      <c r="WII24" s="93"/>
      <c r="WIJ24" s="93"/>
      <c r="WIK24" s="93"/>
      <c r="WIL24" s="93"/>
      <c r="WIM24" s="93"/>
      <c r="WIN24" s="93"/>
      <c r="WIO24" s="93"/>
      <c r="WIP24" s="93"/>
      <c r="WIQ24" s="93"/>
      <c r="WIR24" s="93"/>
      <c r="WIS24" s="93"/>
      <c r="WIT24" s="93"/>
      <c r="WIU24" s="93"/>
      <c r="WIV24" s="93"/>
      <c r="WIW24" s="93"/>
      <c r="WIX24" s="93"/>
      <c r="WIY24" s="93"/>
      <c r="WIZ24" s="93"/>
      <c r="WJA24" s="93"/>
      <c r="WJB24" s="93"/>
      <c r="WJC24" s="93"/>
      <c r="WJD24" s="93"/>
      <c r="WJE24" s="93"/>
      <c r="WJF24" s="93"/>
      <c r="WJG24" s="93"/>
      <c r="WJH24" s="93"/>
      <c r="WJI24" s="93"/>
      <c r="WJJ24" s="93"/>
      <c r="WJK24" s="93"/>
      <c r="WJL24" s="93"/>
      <c r="WJM24" s="93"/>
      <c r="WJN24" s="93"/>
      <c r="WJO24" s="93"/>
      <c r="WJP24" s="93"/>
      <c r="WJQ24" s="93"/>
      <c r="WJR24" s="93"/>
      <c r="WJS24" s="93"/>
      <c r="WJT24" s="93"/>
      <c r="WJU24" s="93"/>
      <c r="WJV24" s="93"/>
      <c r="WJW24" s="93"/>
      <c r="WJX24" s="93"/>
      <c r="WJY24" s="93"/>
      <c r="WJZ24" s="93"/>
      <c r="WKA24" s="93"/>
      <c r="WKB24" s="93"/>
      <c r="WKC24" s="93"/>
      <c r="WKD24" s="93"/>
      <c r="WKE24" s="93"/>
      <c r="WKF24" s="93"/>
      <c r="WKG24" s="93"/>
      <c r="WKH24" s="93"/>
      <c r="WKI24" s="93"/>
      <c r="WKJ24" s="93"/>
      <c r="WKK24" s="93"/>
      <c r="WKL24" s="93"/>
      <c r="WKM24" s="93"/>
      <c r="WKN24" s="93"/>
      <c r="WKO24" s="93"/>
      <c r="WKP24" s="93"/>
      <c r="WKQ24" s="93"/>
      <c r="WKR24" s="93"/>
      <c r="WKS24" s="93"/>
      <c r="WKT24" s="93"/>
      <c r="WKU24" s="93"/>
      <c r="WKV24" s="93"/>
      <c r="WKW24" s="93"/>
      <c r="WKX24" s="93"/>
      <c r="WKY24" s="93"/>
      <c r="WKZ24" s="93"/>
      <c r="WLA24" s="93"/>
      <c r="WLB24" s="93"/>
      <c r="WLC24" s="93"/>
      <c r="WLD24" s="93"/>
      <c r="WLE24" s="93"/>
      <c r="WLF24" s="93"/>
      <c r="WLG24" s="93"/>
      <c r="WLH24" s="93"/>
      <c r="WLI24" s="93"/>
      <c r="WLJ24" s="93"/>
      <c r="WLK24" s="93"/>
      <c r="WLL24" s="93"/>
      <c r="WLM24" s="93"/>
      <c r="WLN24" s="93"/>
      <c r="WLO24" s="93"/>
      <c r="WLP24" s="93"/>
      <c r="WLQ24" s="93"/>
      <c r="WLR24" s="93"/>
      <c r="WLS24" s="93"/>
      <c r="WLT24" s="93"/>
      <c r="WLU24" s="93"/>
      <c r="WLV24" s="93"/>
      <c r="WLW24" s="93"/>
      <c r="WLX24" s="93"/>
      <c r="WLY24" s="93"/>
      <c r="WLZ24" s="93"/>
      <c r="WMA24" s="93"/>
      <c r="WMB24" s="93"/>
      <c r="WMC24" s="93"/>
      <c r="WMD24" s="93"/>
      <c r="WME24" s="93"/>
      <c r="WMF24" s="93"/>
      <c r="WMG24" s="93"/>
      <c r="WMH24" s="93"/>
      <c r="WMI24" s="93"/>
      <c r="WMJ24" s="93"/>
      <c r="WMK24" s="93"/>
      <c r="WML24" s="93"/>
      <c r="WMM24" s="93"/>
      <c r="WMN24" s="93"/>
      <c r="WMO24" s="93"/>
      <c r="WMP24" s="93"/>
      <c r="WMQ24" s="93"/>
      <c r="WMR24" s="93"/>
      <c r="WMS24" s="93"/>
      <c r="WMT24" s="93"/>
      <c r="WMU24" s="93"/>
      <c r="WMV24" s="93"/>
      <c r="WMW24" s="93"/>
      <c r="WMX24" s="93"/>
      <c r="WMY24" s="93"/>
      <c r="WMZ24" s="93"/>
      <c r="WNA24" s="93"/>
      <c r="WNB24" s="93"/>
      <c r="WNC24" s="93"/>
      <c r="WND24" s="93"/>
      <c r="WNE24" s="93"/>
      <c r="WNF24" s="93"/>
      <c r="WNG24" s="93"/>
      <c r="WNH24" s="93"/>
      <c r="WNI24" s="93"/>
      <c r="WNJ24" s="93"/>
      <c r="WNK24" s="93"/>
      <c r="WNL24" s="93"/>
      <c r="WNM24" s="93"/>
      <c r="WNN24" s="93"/>
      <c r="WNO24" s="93"/>
      <c r="WNP24" s="93"/>
      <c r="WNQ24" s="93"/>
      <c r="WNR24" s="93"/>
      <c r="WNS24" s="93"/>
      <c r="WNT24" s="93"/>
      <c r="WNU24" s="93"/>
      <c r="WNV24" s="93"/>
      <c r="WNW24" s="93"/>
      <c r="WNX24" s="93"/>
      <c r="WNY24" s="93"/>
      <c r="WNZ24" s="93"/>
      <c r="WOA24" s="93"/>
      <c r="WOB24" s="93"/>
      <c r="WOC24" s="93"/>
      <c r="WOD24" s="93"/>
      <c r="WOE24" s="93"/>
      <c r="WOF24" s="93"/>
      <c r="WOG24" s="93"/>
      <c r="WOH24" s="93"/>
      <c r="WOI24" s="93"/>
      <c r="WOJ24" s="93"/>
      <c r="WOK24" s="93"/>
      <c r="WOL24" s="93"/>
      <c r="WOM24" s="93"/>
      <c r="WON24" s="93"/>
      <c r="WOO24" s="93"/>
      <c r="WOP24" s="93"/>
      <c r="WOQ24" s="93"/>
      <c r="WOR24" s="93"/>
      <c r="WOS24" s="93"/>
      <c r="WOT24" s="93"/>
      <c r="WOU24" s="93"/>
      <c r="WOV24" s="93"/>
      <c r="WOW24" s="93"/>
      <c r="WOX24" s="93"/>
      <c r="WOY24" s="93"/>
      <c r="WOZ24" s="93"/>
      <c r="WPA24" s="93"/>
      <c r="WPB24" s="93"/>
      <c r="WPC24" s="93"/>
      <c r="WPD24" s="93"/>
      <c r="WPE24" s="93"/>
      <c r="WPF24" s="93"/>
      <c r="WPG24" s="93"/>
      <c r="WPH24" s="93"/>
      <c r="WPI24" s="93"/>
      <c r="WPJ24" s="93"/>
      <c r="WPK24" s="93"/>
      <c r="WPL24" s="93"/>
      <c r="WPM24" s="93"/>
      <c r="WPN24" s="93"/>
      <c r="WPO24" s="93"/>
      <c r="WPP24" s="93"/>
      <c r="WPQ24" s="93"/>
      <c r="WPR24" s="93"/>
      <c r="WPS24" s="93"/>
      <c r="WPT24" s="93"/>
      <c r="WPU24" s="93"/>
      <c r="WPV24" s="93"/>
      <c r="WPW24" s="93"/>
      <c r="WPX24" s="93"/>
      <c r="WPY24" s="93"/>
      <c r="WPZ24" s="93"/>
      <c r="WQA24" s="93"/>
      <c r="WQB24" s="93"/>
      <c r="WQC24" s="93"/>
      <c r="WQD24" s="93"/>
      <c r="WQE24" s="93"/>
      <c r="WQF24" s="93"/>
      <c r="WQG24" s="93"/>
      <c r="WQH24" s="93"/>
      <c r="WQI24" s="93"/>
      <c r="WQJ24" s="93"/>
      <c r="WQK24" s="93"/>
      <c r="WQL24" s="93"/>
      <c r="WQM24" s="93"/>
      <c r="WQN24" s="93"/>
      <c r="WQO24" s="93"/>
      <c r="WQP24" s="93"/>
      <c r="WQQ24" s="93"/>
      <c r="WQR24" s="93"/>
      <c r="WQS24" s="93"/>
      <c r="WQT24" s="93"/>
      <c r="WQU24" s="93"/>
      <c r="WQV24" s="93"/>
      <c r="WQW24" s="93"/>
      <c r="WQX24" s="93"/>
      <c r="WQY24" s="93"/>
      <c r="WQZ24" s="93"/>
      <c r="WRA24" s="93"/>
      <c r="WRB24" s="93"/>
      <c r="WRC24" s="93"/>
      <c r="WRD24" s="93"/>
      <c r="WRE24" s="93"/>
      <c r="WRF24" s="93"/>
      <c r="WRG24" s="93"/>
      <c r="WRH24" s="93"/>
      <c r="WRI24" s="93"/>
      <c r="WRJ24" s="93"/>
      <c r="WRK24" s="93"/>
      <c r="WRL24" s="93"/>
      <c r="WRM24" s="93"/>
      <c r="WRN24" s="93"/>
      <c r="WRO24" s="93"/>
      <c r="WRP24" s="93"/>
      <c r="WRQ24" s="93"/>
      <c r="WRR24" s="93"/>
      <c r="WRS24" s="93"/>
      <c r="WRT24" s="93"/>
      <c r="WRU24" s="93"/>
      <c r="WRV24" s="93"/>
      <c r="WRW24" s="93"/>
      <c r="WRX24" s="93"/>
      <c r="WRY24" s="93"/>
      <c r="WRZ24" s="93"/>
      <c r="WSA24" s="93"/>
      <c r="WSB24" s="93"/>
      <c r="WSC24" s="93"/>
      <c r="WSD24" s="93"/>
      <c r="WSE24" s="93"/>
      <c r="WSF24" s="93"/>
      <c r="WSG24" s="93"/>
      <c r="WSH24" s="93"/>
      <c r="WSI24" s="93"/>
      <c r="WSJ24" s="93"/>
      <c r="WSK24" s="93"/>
      <c r="WSL24" s="93"/>
      <c r="WSM24" s="93"/>
      <c r="WSN24" s="93"/>
      <c r="WSO24" s="93"/>
      <c r="WSP24" s="93"/>
      <c r="WSQ24" s="93"/>
      <c r="WSR24" s="93"/>
      <c r="WSS24" s="93"/>
      <c r="WST24" s="93"/>
      <c r="WSU24" s="93"/>
      <c r="WSV24" s="93"/>
      <c r="WSW24" s="93"/>
      <c r="WSX24" s="93"/>
      <c r="WSY24" s="93"/>
      <c r="WSZ24" s="93"/>
      <c r="WTA24" s="93"/>
      <c r="WTB24" s="93"/>
      <c r="WTC24" s="93"/>
      <c r="WTD24" s="93"/>
      <c r="WTE24" s="93"/>
      <c r="WTF24" s="93"/>
      <c r="WTG24" s="93"/>
      <c r="WTH24" s="93"/>
      <c r="WTI24" s="93"/>
      <c r="WTJ24" s="93"/>
      <c r="WTK24" s="93"/>
      <c r="WTL24" s="93"/>
      <c r="WTM24" s="93"/>
      <c r="WTN24" s="93"/>
      <c r="WTO24" s="93"/>
      <c r="WTP24" s="93"/>
      <c r="WTQ24" s="93"/>
      <c r="WTR24" s="93"/>
      <c r="WTS24" s="93"/>
      <c r="WTT24" s="93"/>
      <c r="WTU24" s="93"/>
      <c r="WTV24" s="93"/>
      <c r="WTW24" s="93"/>
      <c r="WTX24" s="93"/>
      <c r="WTY24" s="93"/>
      <c r="WTZ24" s="93"/>
      <c r="WUA24" s="93"/>
      <c r="WUB24" s="93"/>
      <c r="WUC24" s="93"/>
      <c r="WUD24" s="93"/>
      <c r="WUE24" s="93"/>
      <c r="WUF24" s="93"/>
      <c r="WUG24" s="93"/>
      <c r="WUH24" s="93"/>
      <c r="WUI24" s="93"/>
      <c r="WUJ24" s="93"/>
      <c r="WUK24" s="93"/>
      <c r="WUL24" s="93"/>
      <c r="WUM24" s="93"/>
      <c r="WUN24" s="93"/>
      <c r="WUO24" s="93"/>
      <c r="WUP24" s="93"/>
      <c r="WUQ24" s="93"/>
      <c r="WUR24" s="93"/>
      <c r="WUS24" s="93"/>
      <c r="WUT24" s="93"/>
      <c r="WUU24" s="93"/>
      <c r="WUV24" s="93"/>
      <c r="WUW24" s="93"/>
      <c r="WUX24" s="93"/>
      <c r="WUY24" s="93"/>
      <c r="WUZ24" s="93"/>
      <c r="WVA24" s="93"/>
      <c r="WVB24" s="93"/>
      <c r="WVC24" s="93"/>
      <c r="WVD24" s="93"/>
      <c r="WVE24" s="93"/>
      <c r="WVF24" s="93"/>
      <c r="WVG24" s="93"/>
      <c r="WVH24" s="93"/>
      <c r="WVI24" s="93"/>
      <c r="WVJ24" s="93"/>
      <c r="WVK24" s="93"/>
      <c r="WVL24" s="93"/>
      <c r="WVM24" s="93"/>
      <c r="WVN24" s="93"/>
      <c r="WVO24" s="93"/>
      <c r="WVP24" s="93"/>
      <c r="WVQ24" s="93"/>
      <c r="WVR24" s="93"/>
      <c r="WVS24" s="93"/>
      <c r="WVT24" s="93"/>
      <c r="WVU24" s="93"/>
      <c r="WVV24" s="93"/>
      <c r="WVW24" s="93"/>
      <c r="WVX24" s="93"/>
      <c r="WVY24" s="93"/>
      <c r="WVZ24" s="93"/>
      <c r="WWA24" s="93"/>
      <c r="WWB24" s="93"/>
      <c r="WWC24" s="93"/>
      <c r="WWD24" s="93"/>
      <c r="WWE24" s="93"/>
      <c r="WWF24" s="93"/>
      <c r="WWG24" s="93"/>
      <c r="WWH24" s="93"/>
      <c r="WWI24" s="93"/>
      <c r="WWJ24" s="93"/>
      <c r="WWK24" s="93"/>
      <c r="WWL24" s="93"/>
      <c r="WWM24" s="93"/>
      <c r="WWN24" s="93"/>
      <c r="WWO24" s="93"/>
      <c r="WWP24" s="93"/>
      <c r="WWQ24" s="93"/>
      <c r="WWR24" s="93"/>
      <c r="WWS24" s="93"/>
      <c r="WWT24" s="93"/>
      <c r="WWU24" s="93"/>
      <c r="WWV24" s="93"/>
      <c r="WWW24" s="93"/>
      <c r="WWX24" s="93"/>
      <c r="WWY24" s="93"/>
      <c r="WWZ24" s="93"/>
      <c r="WXA24" s="93"/>
      <c r="WXB24" s="93"/>
      <c r="WXC24" s="93"/>
      <c r="WXD24" s="93"/>
      <c r="WXE24" s="93"/>
      <c r="WXF24" s="93"/>
      <c r="WXG24" s="93"/>
      <c r="WXH24" s="93"/>
      <c r="WXI24" s="93"/>
      <c r="WXJ24" s="93"/>
      <c r="WXK24" s="93"/>
      <c r="WXL24" s="93"/>
      <c r="WXM24" s="93"/>
      <c r="WXN24" s="93"/>
      <c r="WXO24" s="93"/>
      <c r="WXP24" s="93"/>
      <c r="WXQ24" s="93"/>
      <c r="WXR24" s="93"/>
      <c r="WXS24" s="93"/>
      <c r="WXT24" s="93"/>
      <c r="WXU24" s="93"/>
      <c r="WXV24" s="93"/>
      <c r="WXW24" s="93"/>
      <c r="WXX24" s="93"/>
      <c r="WXY24" s="93"/>
      <c r="WXZ24" s="93"/>
      <c r="WYA24" s="93"/>
      <c r="WYB24" s="93"/>
      <c r="WYC24" s="93"/>
      <c r="WYD24" s="93"/>
      <c r="WYE24" s="93"/>
      <c r="WYF24" s="93"/>
      <c r="WYG24" s="93"/>
      <c r="WYH24" s="93"/>
      <c r="WYI24" s="93"/>
      <c r="WYJ24" s="93"/>
      <c r="WYK24" s="93"/>
      <c r="WYL24" s="93"/>
      <c r="WYM24" s="93"/>
      <c r="WYN24" s="93"/>
      <c r="WYO24" s="93"/>
      <c r="WYP24" s="93"/>
      <c r="WYQ24" s="93"/>
      <c r="WYR24" s="93"/>
      <c r="WYS24" s="93"/>
      <c r="WYT24" s="93"/>
      <c r="WYU24" s="93"/>
      <c r="WYV24" s="93"/>
      <c r="WYW24" s="93"/>
      <c r="WYX24" s="93"/>
      <c r="WYY24" s="93"/>
      <c r="WYZ24" s="93"/>
      <c r="WZA24" s="93"/>
      <c r="WZB24" s="93"/>
      <c r="WZC24" s="93"/>
      <c r="WZD24" s="93"/>
      <c r="WZE24" s="93"/>
      <c r="WZF24" s="93"/>
      <c r="WZG24" s="93"/>
      <c r="WZH24" s="93"/>
      <c r="WZI24" s="93"/>
      <c r="WZJ24" s="93"/>
      <c r="WZK24" s="93"/>
      <c r="WZL24" s="93"/>
      <c r="WZM24" s="93"/>
      <c r="WZN24" s="93"/>
      <c r="WZO24" s="93"/>
      <c r="WZP24" s="93"/>
      <c r="WZQ24" s="93"/>
      <c r="WZR24" s="93"/>
      <c r="WZS24" s="93"/>
      <c r="WZT24" s="93"/>
      <c r="WZU24" s="93"/>
      <c r="WZV24" s="93"/>
      <c r="WZW24" s="93"/>
      <c r="WZX24" s="93"/>
      <c r="WZY24" s="93"/>
      <c r="WZZ24" s="93"/>
      <c r="XAA24" s="93"/>
      <c r="XAB24" s="93"/>
      <c r="XAC24" s="93"/>
      <c r="XAD24" s="93"/>
      <c r="XAE24" s="93"/>
      <c r="XAF24" s="93"/>
      <c r="XAG24" s="93"/>
      <c r="XAH24" s="93"/>
      <c r="XAI24" s="93"/>
      <c r="XAJ24" s="93"/>
      <c r="XAK24" s="93"/>
      <c r="XAL24" s="93"/>
      <c r="XAM24" s="93"/>
      <c r="XAN24" s="93"/>
      <c r="XAO24" s="93"/>
      <c r="XAP24" s="93"/>
      <c r="XAQ24" s="93"/>
      <c r="XAR24" s="93"/>
      <c r="XAS24" s="93"/>
      <c r="XAT24" s="93"/>
      <c r="XAU24" s="93"/>
      <c r="XAV24" s="93"/>
      <c r="XAW24" s="93"/>
      <c r="XAX24" s="93"/>
      <c r="XAY24" s="93"/>
      <c r="XAZ24" s="93"/>
      <c r="XBA24" s="93"/>
      <c r="XBB24" s="93"/>
      <c r="XBC24" s="93"/>
      <c r="XBD24" s="93"/>
      <c r="XBE24" s="93"/>
      <c r="XBF24" s="93"/>
      <c r="XBG24" s="93"/>
      <c r="XBH24" s="93"/>
      <c r="XBI24" s="93"/>
      <c r="XBJ24" s="93"/>
      <c r="XBK24" s="93"/>
      <c r="XBL24" s="93"/>
      <c r="XBM24" s="93"/>
      <c r="XBN24" s="93"/>
      <c r="XBO24" s="93"/>
      <c r="XBP24" s="93"/>
      <c r="XBQ24" s="93"/>
      <c r="XBR24" s="93"/>
      <c r="XBS24" s="93"/>
      <c r="XBT24" s="93"/>
      <c r="XBU24" s="93"/>
      <c r="XBV24" s="93"/>
      <c r="XBW24" s="93"/>
      <c r="XBX24" s="93"/>
      <c r="XBY24" s="93"/>
      <c r="XBZ24" s="93"/>
      <c r="XCA24" s="93"/>
      <c r="XCB24" s="93"/>
      <c r="XCC24" s="93"/>
      <c r="XCD24" s="93"/>
      <c r="XCE24" s="93"/>
      <c r="XCF24" s="93"/>
      <c r="XCG24" s="93"/>
      <c r="XCH24" s="93"/>
      <c r="XCI24" s="93"/>
      <c r="XCJ24" s="93"/>
      <c r="XCK24" s="93"/>
      <c r="XCL24" s="93"/>
      <c r="XCM24" s="93"/>
      <c r="XCN24" s="93"/>
      <c r="XCO24" s="93"/>
      <c r="XCP24" s="93"/>
      <c r="XCQ24" s="93"/>
      <c r="XCR24" s="93"/>
      <c r="XCS24" s="93"/>
      <c r="XCT24" s="93"/>
      <c r="XCU24" s="93"/>
      <c r="XCV24" s="93"/>
      <c r="XCW24" s="93"/>
      <c r="XCX24" s="93"/>
      <c r="XCY24" s="93"/>
      <c r="XCZ24" s="93"/>
      <c r="XDA24" s="93"/>
      <c r="XDB24" s="93"/>
      <c r="XDC24" s="93"/>
      <c r="XDD24" s="93"/>
      <c r="XDE24" s="93"/>
      <c r="XDF24" s="93"/>
      <c r="XDG24" s="93"/>
      <c r="XDH24" s="93"/>
      <c r="XDI24" s="93"/>
      <c r="XDJ24" s="93"/>
      <c r="XDK24" s="93"/>
      <c r="XDL24" s="93"/>
      <c r="XDM24" s="93"/>
      <c r="XDN24" s="93"/>
      <c r="XDO24" s="93"/>
      <c r="XDP24" s="93"/>
      <c r="XDQ24" s="93"/>
      <c r="XDR24" s="93"/>
      <c r="XDS24" s="93"/>
      <c r="XDT24" s="93"/>
      <c r="XDU24" s="93"/>
      <c r="XDV24" s="93"/>
      <c r="XDW24" s="93"/>
      <c r="XDX24" s="93"/>
      <c r="XDY24" s="93"/>
      <c r="XDZ24" s="93"/>
      <c r="XEA24" s="93"/>
      <c r="XEB24" s="93"/>
      <c r="XEC24" s="93"/>
      <c r="XED24" s="93"/>
      <c r="XEE24" s="93"/>
      <c r="XEF24" s="93"/>
      <c r="XEG24" s="93"/>
      <c r="XEH24" s="93"/>
      <c r="XEI24" s="93"/>
      <c r="XEJ24" s="93"/>
      <c r="XEK24" s="93"/>
      <c r="XEL24" s="93"/>
      <c r="XEM24" s="93"/>
      <c r="XEN24" s="93"/>
      <c r="XEO24" s="93"/>
      <c r="XEP24" s="93"/>
      <c r="XEQ24" s="93"/>
      <c r="XER24" s="93"/>
      <c r="XES24" s="93"/>
      <c r="XET24" s="93"/>
      <c r="XEU24" s="93"/>
    </row>
    <row r="25" spans="1:16375" s="88" customFormat="1" ht="29" x14ac:dyDescent="0.35">
      <c r="A25" s="92" t="s">
        <v>536</v>
      </c>
      <c r="B25" s="82" t="s">
        <v>573</v>
      </c>
      <c r="C25" s="82" t="s">
        <v>546</v>
      </c>
      <c r="D25" s="82">
        <v>23</v>
      </c>
      <c r="E25" s="82" t="s">
        <v>564</v>
      </c>
      <c r="F25" s="82">
        <v>4</v>
      </c>
      <c r="G25" s="82" t="s">
        <v>532</v>
      </c>
      <c r="H25" s="82" t="s">
        <v>563</v>
      </c>
      <c r="I25" s="82" t="s">
        <v>529</v>
      </c>
      <c r="J25" s="82">
        <v>1</v>
      </c>
      <c r="K25" s="82" t="s">
        <v>530</v>
      </c>
      <c r="L25" s="82" t="s">
        <v>529</v>
      </c>
      <c r="M25" s="82">
        <v>2023</v>
      </c>
      <c r="N25" s="81">
        <v>89162</v>
      </c>
      <c r="O25" s="82">
        <v>52</v>
      </c>
      <c r="P25" s="82">
        <v>80</v>
      </c>
      <c r="Q25" s="91" t="s">
        <v>528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95680.48</v>
      </c>
      <c r="AU25" s="81">
        <v>360</v>
      </c>
      <c r="AV25" s="81">
        <v>100501.45</v>
      </c>
      <c r="AW25" s="81">
        <v>360</v>
      </c>
      <c r="AX25" s="81">
        <v>104118.02</v>
      </c>
      <c r="AY25" s="81">
        <v>360</v>
      </c>
      <c r="AZ25" s="90" t="s">
        <v>572</v>
      </c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  <c r="IU25" s="89"/>
      <c r="IV25" s="89"/>
      <c r="IW25" s="89"/>
      <c r="IX25" s="89"/>
      <c r="IY25" s="89"/>
      <c r="IZ25" s="89"/>
      <c r="JA25" s="89"/>
      <c r="JB25" s="89"/>
      <c r="JC25" s="89"/>
      <c r="JD25" s="89"/>
      <c r="JE25" s="89"/>
      <c r="JF25" s="89"/>
      <c r="JG25" s="89"/>
      <c r="JH25" s="89"/>
      <c r="JI25" s="89"/>
      <c r="JJ25" s="89"/>
      <c r="JK25" s="89"/>
      <c r="JL25" s="89"/>
      <c r="JM25" s="89"/>
      <c r="JN25" s="89"/>
      <c r="JO25" s="89"/>
      <c r="JP25" s="89"/>
      <c r="JQ25" s="89"/>
      <c r="JR25" s="89"/>
      <c r="JS25" s="89"/>
      <c r="JT25" s="89"/>
      <c r="JU25" s="89"/>
      <c r="JV25" s="89"/>
      <c r="JW25" s="89"/>
      <c r="JX25" s="89"/>
      <c r="JY25" s="89"/>
      <c r="JZ25" s="89"/>
      <c r="KA25" s="89"/>
      <c r="KB25" s="89"/>
      <c r="KC25" s="89"/>
      <c r="KD25" s="89"/>
      <c r="KE25" s="89"/>
      <c r="KF25" s="89"/>
      <c r="KG25" s="89"/>
      <c r="KH25" s="89"/>
      <c r="KI25" s="89"/>
      <c r="KJ25" s="89"/>
      <c r="KK25" s="89"/>
      <c r="KL25" s="89"/>
      <c r="KM25" s="89"/>
      <c r="KN25" s="89"/>
      <c r="KO25" s="89"/>
      <c r="KP25" s="89"/>
      <c r="KQ25" s="89"/>
      <c r="KR25" s="89"/>
      <c r="KS25" s="89"/>
      <c r="KT25" s="89"/>
      <c r="KU25" s="89"/>
      <c r="KV25" s="89"/>
      <c r="KW25" s="89"/>
      <c r="KX25" s="89"/>
      <c r="KY25" s="89"/>
      <c r="KZ25" s="89"/>
      <c r="LA25" s="89"/>
      <c r="LB25" s="89"/>
      <c r="LC25" s="89"/>
      <c r="LD25" s="89"/>
      <c r="LE25" s="89"/>
      <c r="LF25" s="89"/>
      <c r="LG25" s="89"/>
      <c r="LH25" s="89"/>
      <c r="LI25" s="89"/>
      <c r="LJ25" s="89"/>
      <c r="LK25" s="89"/>
      <c r="LL25" s="89"/>
      <c r="LM25" s="89"/>
      <c r="LN25" s="89"/>
      <c r="LO25" s="89"/>
      <c r="LP25" s="89"/>
      <c r="LQ25" s="89"/>
      <c r="LR25" s="89"/>
      <c r="LS25" s="89"/>
      <c r="LT25" s="89"/>
      <c r="LU25" s="89"/>
      <c r="LV25" s="89"/>
      <c r="LW25" s="89"/>
      <c r="LX25" s="89"/>
      <c r="LY25" s="89"/>
      <c r="LZ25" s="89"/>
      <c r="MA25" s="89"/>
      <c r="MB25" s="89"/>
      <c r="MC25" s="89"/>
      <c r="MD25" s="89"/>
      <c r="ME25" s="89"/>
      <c r="MF25" s="89"/>
      <c r="MG25" s="89"/>
      <c r="MH25" s="89"/>
      <c r="MI25" s="89"/>
      <c r="MJ25" s="89"/>
      <c r="MK25" s="89"/>
      <c r="ML25" s="89"/>
      <c r="MM25" s="89"/>
      <c r="MN25" s="89"/>
      <c r="MO25" s="89"/>
      <c r="MP25" s="89"/>
      <c r="MQ25" s="89"/>
      <c r="MR25" s="89"/>
      <c r="MS25" s="89"/>
      <c r="MT25" s="89"/>
      <c r="MU25" s="89"/>
      <c r="MV25" s="89"/>
      <c r="MW25" s="89"/>
      <c r="MX25" s="89"/>
      <c r="MY25" s="89"/>
      <c r="MZ25" s="89"/>
      <c r="NA25" s="89"/>
      <c r="NB25" s="89"/>
      <c r="NC25" s="89"/>
      <c r="ND25" s="89"/>
      <c r="NE25" s="89"/>
      <c r="NF25" s="89"/>
      <c r="NG25" s="89"/>
      <c r="NH25" s="89"/>
      <c r="NI25" s="89"/>
      <c r="NJ25" s="89"/>
      <c r="NK25" s="89"/>
      <c r="NL25" s="89"/>
      <c r="NM25" s="89"/>
      <c r="NN25" s="89"/>
      <c r="NO25" s="89"/>
      <c r="NP25" s="89"/>
      <c r="NQ25" s="89"/>
      <c r="NR25" s="89"/>
      <c r="NS25" s="89"/>
      <c r="NT25" s="89"/>
      <c r="NU25" s="89"/>
      <c r="NV25" s="89"/>
      <c r="NW25" s="89"/>
      <c r="NX25" s="89"/>
      <c r="NY25" s="89"/>
      <c r="NZ25" s="89"/>
      <c r="OA25" s="89"/>
      <c r="OB25" s="89"/>
      <c r="OC25" s="89"/>
      <c r="OD25" s="89"/>
      <c r="OE25" s="89"/>
      <c r="OF25" s="89"/>
      <c r="OG25" s="89"/>
      <c r="OH25" s="89"/>
      <c r="OI25" s="89"/>
      <c r="OJ25" s="89"/>
      <c r="OK25" s="89"/>
      <c r="OL25" s="89"/>
      <c r="OM25" s="89"/>
      <c r="ON25" s="89"/>
      <c r="OO25" s="89"/>
      <c r="OP25" s="89"/>
      <c r="OQ25" s="89"/>
      <c r="OR25" s="89"/>
      <c r="OS25" s="89"/>
      <c r="OT25" s="89"/>
      <c r="OU25" s="89"/>
      <c r="OV25" s="89"/>
      <c r="OW25" s="89"/>
      <c r="OX25" s="89"/>
      <c r="OY25" s="89"/>
      <c r="OZ25" s="89"/>
      <c r="PA25" s="89"/>
      <c r="PB25" s="89"/>
      <c r="PC25" s="89"/>
      <c r="PD25" s="89"/>
      <c r="PE25" s="89"/>
      <c r="PF25" s="89"/>
      <c r="PG25" s="89"/>
      <c r="PH25" s="89"/>
      <c r="PI25" s="89"/>
      <c r="PJ25" s="89"/>
      <c r="PK25" s="89"/>
      <c r="PL25" s="89"/>
      <c r="PM25" s="89"/>
      <c r="PN25" s="89"/>
      <c r="PO25" s="89"/>
      <c r="PP25" s="89"/>
      <c r="PQ25" s="89"/>
      <c r="PR25" s="89"/>
      <c r="PS25" s="89"/>
      <c r="PT25" s="89"/>
      <c r="PU25" s="89"/>
      <c r="PV25" s="89"/>
      <c r="PW25" s="89"/>
      <c r="PX25" s="89"/>
      <c r="PY25" s="89"/>
      <c r="PZ25" s="89"/>
      <c r="QA25" s="89"/>
      <c r="QB25" s="89"/>
      <c r="QC25" s="89"/>
      <c r="QD25" s="89"/>
      <c r="QE25" s="89"/>
      <c r="QF25" s="89"/>
      <c r="QG25" s="89"/>
      <c r="QH25" s="89"/>
      <c r="QI25" s="89"/>
      <c r="QJ25" s="89"/>
      <c r="QK25" s="89"/>
      <c r="QL25" s="89"/>
      <c r="QM25" s="89"/>
      <c r="QN25" s="89"/>
      <c r="QO25" s="89"/>
      <c r="QP25" s="89"/>
      <c r="QQ25" s="89"/>
      <c r="QR25" s="89"/>
      <c r="QS25" s="89"/>
      <c r="QT25" s="89"/>
      <c r="QU25" s="89"/>
      <c r="QV25" s="89"/>
      <c r="QW25" s="89"/>
      <c r="QX25" s="89"/>
      <c r="QY25" s="89"/>
      <c r="QZ25" s="89"/>
      <c r="RA25" s="89"/>
      <c r="RB25" s="89"/>
      <c r="RC25" s="89"/>
      <c r="RD25" s="89"/>
      <c r="RE25" s="89"/>
      <c r="RF25" s="89"/>
      <c r="RG25" s="89"/>
      <c r="RH25" s="89"/>
      <c r="RI25" s="89"/>
      <c r="RJ25" s="89"/>
      <c r="RK25" s="89"/>
      <c r="RL25" s="89"/>
      <c r="RM25" s="89"/>
      <c r="RN25" s="89"/>
      <c r="RO25" s="89"/>
      <c r="RP25" s="89"/>
      <c r="RQ25" s="89"/>
      <c r="RR25" s="89"/>
      <c r="RS25" s="89"/>
      <c r="RT25" s="89"/>
      <c r="RU25" s="89"/>
      <c r="RV25" s="89"/>
      <c r="RW25" s="89"/>
      <c r="RX25" s="89"/>
      <c r="RY25" s="89"/>
      <c r="RZ25" s="89"/>
      <c r="SA25" s="89"/>
      <c r="SB25" s="89"/>
      <c r="SC25" s="89"/>
      <c r="SD25" s="89"/>
      <c r="SE25" s="89"/>
      <c r="SF25" s="89"/>
      <c r="SG25" s="89"/>
      <c r="SH25" s="89"/>
      <c r="SI25" s="89"/>
      <c r="SJ25" s="89"/>
      <c r="SK25" s="89"/>
      <c r="SL25" s="89"/>
      <c r="SM25" s="89"/>
      <c r="SN25" s="89"/>
      <c r="SO25" s="89"/>
      <c r="SP25" s="89"/>
      <c r="SQ25" s="89"/>
      <c r="SR25" s="89"/>
      <c r="SS25" s="89"/>
      <c r="ST25" s="89"/>
      <c r="SU25" s="89"/>
      <c r="SV25" s="89"/>
      <c r="SW25" s="89"/>
      <c r="SX25" s="89"/>
      <c r="SY25" s="89"/>
      <c r="SZ25" s="89"/>
      <c r="TA25" s="89"/>
      <c r="TB25" s="89"/>
      <c r="TC25" s="89"/>
      <c r="TD25" s="89"/>
      <c r="TE25" s="89"/>
      <c r="TF25" s="89"/>
      <c r="TG25" s="89"/>
      <c r="TH25" s="89"/>
      <c r="TI25" s="89"/>
      <c r="TJ25" s="89"/>
      <c r="TK25" s="89"/>
      <c r="TL25" s="89"/>
      <c r="TM25" s="89"/>
      <c r="TN25" s="89"/>
      <c r="TO25" s="89"/>
      <c r="TP25" s="89"/>
      <c r="TQ25" s="89"/>
      <c r="TR25" s="89"/>
      <c r="TS25" s="89"/>
      <c r="TT25" s="89"/>
      <c r="TU25" s="89"/>
      <c r="TV25" s="89"/>
      <c r="TW25" s="89"/>
      <c r="TX25" s="89"/>
      <c r="TY25" s="89"/>
      <c r="TZ25" s="89"/>
      <c r="UA25" s="89"/>
      <c r="UB25" s="89"/>
      <c r="UC25" s="89"/>
      <c r="UD25" s="89"/>
      <c r="UE25" s="89"/>
      <c r="UF25" s="89"/>
      <c r="UG25" s="89"/>
      <c r="UH25" s="89"/>
      <c r="UI25" s="89"/>
      <c r="UJ25" s="89"/>
      <c r="UK25" s="89"/>
      <c r="UL25" s="89"/>
      <c r="UM25" s="89"/>
      <c r="UN25" s="89"/>
      <c r="UO25" s="89"/>
      <c r="UP25" s="89"/>
      <c r="UQ25" s="89"/>
      <c r="UR25" s="89"/>
      <c r="US25" s="89"/>
      <c r="UT25" s="89"/>
      <c r="UU25" s="89"/>
      <c r="UV25" s="89"/>
      <c r="UW25" s="89"/>
      <c r="UX25" s="89"/>
      <c r="UY25" s="89"/>
      <c r="UZ25" s="89"/>
      <c r="VA25" s="89"/>
      <c r="VB25" s="89"/>
      <c r="VC25" s="89"/>
      <c r="VD25" s="89"/>
      <c r="VE25" s="89"/>
      <c r="VF25" s="89"/>
      <c r="VG25" s="89"/>
      <c r="VH25" s="89"/>
      <c r="VI25" s="89"/>
      <c r="VJ25" s="89"/>
      <c r="VK25" s="89"/>
      <c r="VL25" s="89"/>
      <c r="VM25" s="89"/>
      <c r="VN25" s="89"/>
      <c r="VO25" s="89"/>
      <c r="VP25" s="89"/>
      <c r="VQ25" s="89"/>
      <c r="VR25" s="89"/>
      <c r="VS25" s="89"/>
      <c r="VT25" s="89"/>
      <c r="VU25" s="89"/>
      <c r="VV25" s="89"/>
      <c r="VW25" s="89"/>
      <c r="VX25" s="89"/>
      <c r="VY25" s="89"/>
      <c r="VZ25" s="89"/>
      <c r="WA25" s="89"/>
      <c r="WB25" s="89"/>
      <c r="WC25" s="89"/>
      <c r="WD25" s="89"/>
      <c r="WE25" s="89"/>
      <c r="WF25" s="89"/>
      <c r="WG25" s="89"/>
      <c r="WH25" s="89"/>
      <c r="WI25" s="89"/>
      <c r="WJ25" s="89"/>
      <c r="WK25" s="89"/>
      <c r="WL25" s="89"/>
      <c r="WM25" s="89"/>
      <c r="WN25" s="89"/>
      <c r="WO25" s="89"/>
      <c r="WP25" s="89"/>
      <c r="WQ25" s="89"/>
      <c r="WR25" s="89"/>
      <c r="WS25" s="89"/>
      <c r="WT25" s="89"/>
      <c r="WU25" s="89"/>
      <c r="WV25" s="89"/>
      <c r="WW25" s="89"/>
      <c r="WX25" s="89"/>
      <c r="WY25" s="89"/>
      <c r="WZ25" s="89"/>
      <c r="XA25" s="89"/>
      <c r="XB25" s="89"/>
      <c r="XC25" s="89"/>
      <c r="XD25" s="89"/>
      <c r="XE25" s="89"/>
      <c r="XF25" s="89"/>
      <c r="XG25" s="89"/>
      <c r="XH25" s="89"/>
      <c r="XI25" s="89"/>
      <c r="XJ25" s="89"/>
      <c r="XK25" s="89"/>
      <c r="XL25" s="89"/>
      <c r="XM25" s="89"/>
      <c r="XN25" s="89"/>
      <c r="XO25" s="89"/>
      <c r="XP25" s="89"/>
      <c r="XQ25" s="89"/>
      <c r="XR25" s="89"/>
      <c r="XS25" s="89"/>
      <c r="XT25" s="89"/>
      <c r="XU25" s="89"/>
      <c r="XV25" s="89"/>
      <c r="XW25" s="89"/>
      <c r="XX25" s="89"/>
      <c r="XY25" s="89"/>
      <c r="XZ25" s="89"/>
      <c r="YA25" s="89"/>
      <c r="YB25" s="89"/>
      <c r="YC25" s="89"/>
      <c r="YD25" s="89"/>
      <c r="YE25" s="89"/>
      <c r="YF25" s="89"/>
      <c r="YG25" s="89"/>
      <c r="YH25" s="89"/>
      <c r="YI25" s="89"/>
      <c r="YJ25" s="89"/>
      <c r="YK25" s="89"/>
      <c r="YL25" s="89"/>
      <c r="YM25" s="89"/>
      <c r="YN25" s="89"/>
      <c r="YO25" s="89"/>
      <c r="YP25" s="89"/>
      <c r="YQ25" s="89"/>
      <c r="YR25" s="89"/>
      <c r="YS25" s="89"/>
      <c r="YT25" s="89"/>
      <c r="YU25" s="89"/>
      <c r="YV25" s="89"/>
      <c r="YW25" s="89"/>
      <c r="YX25" s="89"/>
      <c r="YY25" s="89"/>
      <c r="YZ25" s="89"/>
      <c r="ZA25" s="89"/>
      <c r="ZB25" s="89"/>
      <c r="ZC25" s="89"/>
      <c r="ZD25" s="89"/>
      <c r="ZE25" s="89"/>
      <c r="ZF25" s="89"/>
      <c r="ZG25" s="89"/>
      <c r="ZH25" s="89"/>
      <c r="ZI25" s="89"/>
      <c r="ZJ25" s="89"/>
      <c r="ZK25" s="89"/>
      <c r="ZL25" s="89"/>
      <c r="ZM25" s="89"/>
      <c r="ZN25" s="89"/>
      <c r="ZO25" s="89"/>
      <c r="ZP25" s="89"/>
      <c r="ZQ25" s="89"/>
      <c r="ZR25" s="89"/>
      <c r="ZS25" s="89"/>
      <c r="ZT25" s="89"/>
      <c r="ZU25" s="89"/>
      <c r="ZV25" s="89"/>
      <c r="ZW25" s="89"/>
      <c r="ZX25" s="89"/>
      <c r="ZY25" s="89"/>
      <c r="ZZ25" s="89"/>
      <c r="AAA25" s="89"/>
      <c r="AAB25" s="89"/>
      <c r="AAC25" s="89"/>
      <c r="AAD25" s="89"/>
      <c r="AAE25" s="89"/>
      <c r="AAF25" s="89"/>
      <c r="AAG25" s="89"/>
      <c r="AAH25" s="89"/>
      <c r="AAI25" s="89"/>
      <c r="AAJ25" s="89"/>
      <c r="AAK25" s="89"/>
      <c r="AAL25" s="89"/>
      <c r="AAM25" s="89"/>
      <c r="AAN25" s="89"/>
      <c r="AAO25" s="89"/>
      <c r="AAP25" s="89"/>
      <c r="AAQ25" s="89"/>
      <c r="AAR25" s="89"/>
      <c r="AAS25" s="89"/>
      <c r="AAT25" s="89"/>
      <c r="AAU25" s="89"/>
      <c r="AAV25" s="89"/>
      <c r="AAW25" s="89"/>
      <c r="AAX25" s="89"/>
      <c r="AAY25" s="89"/>
      <c r="AAZ25" s="89"/>
      <c r="ABA25" s="89"/>
      <c r="ABB25" s="89"/>
      <c r="ABC25" s="89"/>
      <c r="ABD25" s="89"/>
      <c r="ABE25" s="89"/>
      <c r="ABF25" s="89"/>
      <c r="ABG25" s="89"/>
      <c r="ABH25" s="89"/>
      <c r="ABI25" s="89"/>
      <c r="ABJ25" s="89"/>
      <c r="ABK25" s="89"/>
      <c r="ABL25" s="89"/>
      <c r="ABM25" s="89"/>
      <c r="ABN25" s="89"/>
      <c r="ABO25" s="89"/>
      <c r="ABP25" s="89"/>
      <c r="ABQ25" s="89"/>
      <c r="ABR25" s="89"/>
      <c r="ABS25" s="89"/>
      <c r="ABT25" s="89"/>
      <c r="ABU25" s="89"/>
      <c r="ABV25" s="89"/>
      <c r="ABW25" s="89"/>
      <c r="ABX25" s="89"/>
      <c r="ABY25" s="89"/>
      <c r="ABZ25" s="89"/>
      <c r="ACA25" s="89"/>
      <c r="ACB25" s="89"/>
      <c r="ACC25" s="89"/>
      <c r="ACD25" s="89"/>
      <c r="ACE25" s="89"/>
      <c r="ACF25" s="89"/>
      <c r="ACG25" s="89"/>
      <c r="ACH25" s="89"/>
      <c r="ACI25" s="89"/>
      <c r="ACJ25" s="89"/>
      <c r="ACK25" s="89"/>
      <c r="ACL25" s="89"/>
      <c r="ACM25" s="89"/>
      <c r="ACN25" s="89"/>
      <c r="ACO25" s="89"/>
      <c r="ACP25" s="89"/>
      <c r="ACQ25" s="89"/>
      <c r="ACR25" s="89"/>
      <c r="ACS25" s="89"/>
      <c r="ACT25" s="89"/>
      <c r="ACU25" s="89"/>
      <c r="ACV25" s="89"/>
      <c r="ACW25" s="89"/>
      <c r="ACX25" s="89"/>
      <c r="ACY25" s="89"/>
      <c r="ACZ25" s="89"/>
      <c r="ADA25" s="89"/>
      <c r="ADB25" s="89"/>
      <c r="ADC25" s="89"/>
      <c r="ADD25" s="89"/>
      <c r="ADE25" s="89"/>
      <c r="ADF25" s="89"/>
      <c r="ADG25" s="89"/>
      <c r="ADH25" s="89"/>
      <c r="ADI25" s="89"/>
      <c r="ADJ25" s="89"/>
      <c r="ADK25" s="89"/>
      <c r="ADL25" s="89"/>
      <c r="ADM25" s="89"/>
      <c r="ADN25" s="89"/>
      <c r="ADO25" s="89"/>
      <c r="ADP25" s="89"/>
      <c r="ADQ25" s="89"/>
      <c r="ADR25" s="89"/>
      <c r="ADS25" s="89"/>
      <c r="ADT25" s="89"/>
      <c r="ADU25" s="89"/>
      <c r="ADV25" s="89"/>
      <c r="ADW25" s="89"/>
      <c r="ADX25" s="89"/>
      <c r="ADY25" s="89"/>
      <c r="ADZ25" s="89"/>
      <c r="AEA25" s="89"/>
      <c r="AEB25" s="89"/>
      <c r="AEC25" s="89"/>
      <c r="AED25" s="89"/>
      <c r="AEE25" s="89"/>
      <c r="AEF25" s="89"/>
      <c r="AEG25" s="89"/>
      <c r="AEH25" s="89"/>
      <c r="AEI25" s="89"/>
      <c r="AEJ25" s="89"/>
      <c r="AEK25" s="89"/>
      <c r="AEL25" s="89"/>
      <c r="AEM25" s="89"/>
      <c r="AEN25" s="89"/>
      <c r="AEO25" s="89"/>
      <c r="AEP25" s="89"/>
      <c r="AEQ25" s="89"/>
      <c r="AER25" s="89"/>
      <c r="AES25" s="89"/>
      <c r="AET25" s="89"/>
      <c r="AEU25" s="89"/>
      <c r="AEV25" s="89"/>
      <c r="AEW25" s="89"/>
      <c r="AEX25" s="89"/>
      <c r="AEY25" s="89"/>
      <c r="AEZ25" s="89"/>
      <c r="AFA25" s="89"/>
      <c r="AFB25" s="89"/>
      <c r="AFC25" s="89"/>
      <c r="AFD25" s="89"/>
      <c r="AFE25" s="89"/>
      <c r="AFF25" s="89"/>
      <c r="AFG25" s="89"/>
      <c r="AFH25" s="89"/>
      <c r="AFI25" s="89"/>
      <c r="AFJ25" s="89"/>
      <c r="AFK25" s="89"/>
      <c r="AFL25" s="89"/>
      <c r="AFM25" s="89"/>
      <c r="AFN25" s="89"/>
      <c r="AFO25" s="89"/>
      <c r="AFP25" s="89"/>
      <c r="AFQ25" s="89"/>
      <c r="AFR25" s="89"/>
      <c r="AFS25" s="89"/>
      <c r="AFT25" s="89"/>
      <c r="AFU25" s="89"/>
      <c r="AFV25" s="89"/>
      <c r="AFW25" s="89"/>
      <c r="AFX25" s="89"/>
      <c r="AFY25" s="89"/>
      <c r="AFZ25" s="89"/>
      <c r="AGA25" s="89"/>
      <c r="AGB25" s="89"/>
      <c r="AGC25" s="89"/>
      <c r="AGD25" s="89"/>
      <c r="AGE25" s="89"/>
      <c r="AGF25" s="89"/>
      <c r="AGG25" s="89"/>
      <c r="AGH25" s="89"/>
      <c r="AGI25" s="89"/>
      <c r="AGJ25" s="89"/>
      <c r="AGK25" s="89"/>
      <c r="AGL25" s="89"/>
      <c r="AGM25" s="89"/>
      <c r="AGN25" s="89"/>
      <c r="AGO25" s="89"/>
      <c r="AGP25" s="89"/>
      <c r="AGQ25" s="89"/>
      <c r="AGR25" s="89"/>
      <c r="AGS25" s="89"/>
      <c r="AGT25" s="89"/>
      <c r="AGU25" s="89"/>
      <c r="AGV25" s="89"/>
      <c r="AGW25" s="89"/>
      <c r="AGX25" s="89"/>
      <c r="AGY25" s="89"/>
      <c r="AGZ25" s="89"/>
      <c r="AHA25" s="89"/>
      <c r="AHB25" s="89"/>
      <c r="AHC25" s="89"/>
      <c r="AHD25" s="89"/>
      <c r="AHE25" s="89"/>
      <c r="AHF25" s="89"/>
      <c r="AHG25" s="89"/>
      <c r="AHH25" s="89"/>
      <c r="AHI25" s="89"/>
      <c r="AHJ25" s="89"/>
      <c r="AHK25" s="89"/>
      <c r="AHL25" s="89"/>
      <c r="AHM25" s="89"/>
      <c r="AHN25" s="89"/>
      <c r="AHO25" s="89"/>
      <c r="AHP25" s="89"/>
      <c r="AHQ25" s="89"/>
      <c r="AHR25" s="89"/>
      <c r="AHS25" s="89"/>
      <c r="AHT25" s="89"/>
      <c r="AHU25" s="89"/>
      <c r="AHV25" s="89"/>
      <c r="AHW25" s="89"/>
      <c r="AHX25" s="89"/>
      <c r="AHY25" s="89"/>
      <c r="AHZ25" s="89"/>
      <c r="AIA25" s="89"/>
      <c r="AIB25" s="89"/>
      <c r="AIC25" s="89"/>
      <c r="AID25" s="89"/>
      <c r="AIE25" s="89"/>
      <c r="AIF25" s="89"/>
      <c r="AIG25" s="89"/>
      <c r="AIH25" s="89"/>
      <c r="AII25" s="89"/>
      <c r="AIJ25" s="89"/>
      <c r="AIK25" s="89"/>
      <c r="AIL25" s="89"/>
      <c r="AIM25" s="89"/>
      <c r="AIN25" s="89"/>
      <c r="AIO25" s="89"/>
      <c r="AIP25" s="89"/>
      <c r="AIQ25" s="89"/>
      <c r="AIR25" s="89"/>
      <c r="AIS25" s="89"/>
      <c r="AIT25" s="89"/>
      <c r="AIU25" s="89"/>
      <c r="AIV25" s="89"/>
      <c r="AIW25" s="89"/>
      <c r="AIX25" s="89"/>
      <c r="AIY25" s="89"/>
      <c r="AIZ25" s="89"/>
      <c r="AJA25" s="89"/>
      <c r="AJB25" s="89"/>
      <c r="AJC25" s="89"/>
      <c r="AJD25" s="89"/>
      <c r="AJE25" s="89"/>
      <c r="AJF25" s="89"/>
      <c r="AJG25" s="89"/>
      <c r="AJH25" s="89"/>
      <c r="AJI25" s="89"/>
      <c r="AJJ25" s="89"/>
      <c r="AJK25" s="89"/>
      <c r="AJL25" s="89"/>
      <c r="AJM25" s="89"/>
      <c r="AJN25" s="89"/>
      <c r="AJO25" s="89"/>
      <c r="AJP25" s="89"/>
      <c r="AJQ25" s="89"/>
      <c r="AJR25" s="89"/>
      <c r="AJS25" s="89"/>
      <c r="AJT25" s="89"/>
      <c r="AJU25" s="89"/>
      <c r="AJV25" s="89"/>
      <c r="AJW25" s="89"/>
      <c r="AJX25" s="89"/>
      <c r="AJY25" s="89"/>
      <c r="AJZ25" s="89"/>
      <c r="AKA25" s="89"/>
      <c r="AKB25" s="89"/>
      <c r="AKC25" s="89"/>
      <c r="AKD25" s="89"/>
      <c r="AKE25" s="89"/>
      <c r="AKF25" s="89"/>
      <c r="AKG25" s="89"/>
      <c r="AKH25" s="89"/>
      <c r="AKI25" s="89"/>
      <c r="AKJ25" s="89"/>
      <c r="AKK25" s="89"/>
      <c r="AKL25" s="89"/>
      <c r="AKM25" s="89"/>
      <c r="AKN25" s="89"/>
      <c r="AKO25" s="89"/>
      <c r="AKP25" s="89"/>
      <c r="AKQ25" s="89"/>
      <c r="AKR25" s="89"/>
      <c r="AKS25" s="89"/>
      <c r="AKT25" s="89"/>
      <c r="AKU25" s="89"/>
      <c r="AKV25" s="89"/>
      <c r="AKW25" s="89"/>
      <c r="AKX25" s="89"/>
      <c r="AKY25" s="89"/>
      <c r="AKZ25" s="89"/>
      <c r="ALA25" s="89"/>
      <c r="ALB25" s="89"/>
      <c r="ALC25" s="89"/>
      <c r="ALD25" s="89"/>
      <c r="ALE25" s="89"/>
      <c r="ALF25" s="89"/>
      <c r="ALG25" s="89"/>
      <c r="ALH25" s="89"/>
      <c r="ALI25" s="89"/>
      <c r="ALJ25" s="89"/>
      <c r="ALK25" s="89"/>
      <c r="ALL25" s="89"/>
      <c r="ALM25" s="89"/>
      <c r="ALN25" s="89"/>
      <c r="ALO25" s="89"/>
      <c r="ALP25" s="89"/>
      <c r="ALQ25" s="89"/>
      <c r="ALR25" s="89"/>
      <c r="ALS25" s="89"/>
      <c r="ALT25" s="89"/>
      <c r="ALU25" s="89"/>
      <c r="ALV25" s="89"/>
      <c r="ALW25" s="89"/>
      <c r="ALX25" s="89"/>
      <c r="ALY25" s="89"/>
      <c r="ALZ25" s="89"/>
      <c r="AMA25" s="89"/>
      <c r="AMB25" s="89"/>
      <c r="AMC25" s="89"/>
      <c r="AMD25" s="89"/>
      <c r="AME25" s="89"/>
      <c r="AMF25" s="89"/>
      <c r="AMG25" s="89"/>
      <c r="AMH25" s="89"/>
      <c r="AMI25" s="89"/>
      <c r="AMJ25" s="89"/>
      <c r="AMK25" s="89"/>
      <c r="AML25" s="89"/>
      <c r="AMM25" s="89"/>
      <c r="AMN25" s="89"/>
      <c r="AMO25" s="89"/>
      <c r="AMP25" s="89"/>
      <c r="AMQ25" s="89"/>
      <c r="AMR25" s="89"/>
      <c r="AMS25" s="89"/>
      <c r="AMT25" s="89"/>
      <c r="AMU25" s="89"/>
      <c r="AMV25" s="89"/>
      <c r="AMW25" s="89"/>
      <c r="AMX25" s="89"/>
      <c r="AMY25" s="89"/>
      <c r="AMZ25" s="89"/>
      <c r="ANA25" s="89"/>
      <c r="ANB25" s="89"/>
      <c r="ANC25" s="89"/>
      <c r="AND25" s="89"/>
      <c r="ANE25" s="89"/>
      <c r="ANF25" s="89"/>
      <c r="ANG25" s="89"/>
      <c r="ANH25" s="89"/>
      <c r="ANI25" s="89"/>
      <c r="ANJ25" s="89"/>
      <c r="ANK25" s="89"/>
      <c r="ANL25" s="89"/>
      <c r="ANM25" s="89"/>
      <c r="ANN25" s="89"/>
      <c r="ANO25" s="89"/>
      <c r="ANP25" s="89"/>
      <c r="ANQ25" s="89"/>
      <c r="ANR25" s="89"/>
      <c r="ANS25" s="89"/>
      <c r="ANT25" s="89"/>
      <c r="ANU25" s="89"/>
      <c r="ANV25" s="89"/>
      <c r="ANW25" s="89"/>
      <c r="ANX25" s="89"/>
      <c r="ANY25" s="89"/>
      <c r="ANZ25" s="89"/>
      <c r="AOA25" s="89"/>
      <c r="AOB25" s="89"/>
      <c r="AOC25" s="89"/>
      <c r="AOD25" s="89"/>
      <c r="AOE25" s="89"/>
      <c r="AOF25" s="89"/>
      <c r="AOG25" s="89"/>
      <c r="AOH25" s="89"/>
      <c r="AOI25" s="89"/>
      <c r="AOJ25" s="89"/>
      <c r="AOK25" s="89"/>
      <c r="AOL25" s="89"/>
      <c r="AOM25" s="89"/>
      <c r="AON25" s="89"/>
      <c r="AOO25" s="89"/>
      <c r="AOP25" s="89"/>
      <c r="AOQ25" s="89"/>
      <c r="AOR25" s="89"/>
      <c r="AOS25" s="89"/>
      <c r="AOT25" s="89"/>
      <c r="AOU25" s="89"/>
      <c r="AOV25" s="89"/>
      <c r="AOW25" s="89"/>
      <c r="AOX25" s="89"/>
      <c r="AOY25" s="89"/>
      <c r="AOZ25" s="89"/>
      <c r="APA25" s="89"/>
      <c r="APB25" s="89"/>
      <c r="APC25" s="89"/>
      <c r="APD25" s="89"/>
      <c r="APE25" s="89"/>
      <c r="APF25" s="89"/>
      <c r="APG25" s="89"/>
      <c r="APH25" s="89"/>
      <c r="API25" s="89"/>
      <c r="APJ25" s="89"/>
      <c r="APK25" s="89"/>
      <c r="APL25" s="89"/>
      <c r="APM25" s="89"/>
      <c r="APN25" s="89"/>
      <c r="APO25" s="89"/>
      <c r="APP25" s="89"/>
      <c r="APQ25" s="89"/>
      <c r="APR25" s="89"/>
      <c r="APS25" s="89"/>
      <c r="APT25" s="89"/>
      <c r="APU25" s="89"/>
      <c r="APV25" s="89"/>
      <c r="APW25" s="89"/>
      <c r="APX25" s="89"/>
      <c r="APY25" s="89"/>
      <c r="APZ25" s="89"/>
      <c r="AQA25" s="89"/>
      <c r="AQB25" s="89"/>
      <c r="AQC25" s="89"/>
      <c r="AQD25" s="89"/>
      <c r="AQE25" s="89"/>
      <c r="AQF25" s="89"/>
      <c r="AQG25" s="89"/>
      <c r="AQH25" s="89"/>
      <c r="AQI25" s="89"/>
      <c r="AQJ25" s="89"/>
      <c r="AQK25" s="89"/>
      <c r="AQL25" s="89"/>
      <c r="AQM25" s="89"/>
      <c r="AQN25" s="89"/>
      <c r="AQO25" s="89"/>
      <c r="AQP25" s="89"/>
      <c r="AQQ25" s="89"/>
      <c r="AQR25" s="89"/>
      <c r="AQS25" s="89"/>
      <c r="AQT25" s="89"/>
      <c r="AQU25" s="89"/>
      <c r="AQV25" s="89"/>
      <c r="AQW25" s="89"/>
      <c r="AQX25" s="89"/>
      <c r="AQY25" s="89"/>
      <c r="AQZ25" s="89"/>
      <c r="ARA25" s="89"/>
      <c r="ARB25" s="89"/>
      <c r="ARC25" s="89"/>
      <c r="ARD25" s="89"/>
      <c r="ARE25" s="89"/>
      <c r="ARF25" s="89"/>
      <c r="ARG25" s="89"/>
      <c r="ARH25" s="89"/>
      <c r="ARI25" s="89"/>
      <c r="ARJ25" s="89"/>
      <c r="ARK25" s="89"/>
      <c r="ARL25" s="89"/>
      <c r="ARM25" s="89"/>
      <c r="ARN25" s="89"/>
      <c r="ARO25" s="89"/>
      <c r="ARP25" s="89"/>
      <c r="ARQ25" s="89"/>
      <c r="ARR25" s="89"/>
      <c r="ARS25" s="89"/>
      <c r="ART25" s="89"/>
      <c r="ARU25" s="89"/>
      <c r="ARV25" s="89"/>
      <c r="ARW25" s="89"/>
      <c r="ARX25" s="89"/>
      <c r="ARY25" s="89"/>
      <c r="ARZ25" s="89"/>
      <c r="ASA25" s="89"/>
      <c r="ASB25" s="89"/>
      <c r="ASC25" s="89"/>
      <c r="ASD25" s="89"/>
      <c r="ASE25" s="89"/>
      <c r="ASF25" s="89"/>
      <c r="ASG25" s="89"/>
      <c r="ASH25" s="89"/>
      <c r="ASI25" s="89"/>
      <c r="ASJ25" s="89"/>
      <c r="ASK25" s="89"/>
      <c r="ASL25" s="89"/>
      <c r="ASM25" s="89"/>
      <c r="ASN25" s="89"/>
      <c r="ASO25" s="89"/>
      <c r="ASP25" s="89"/>
      <c r="ASQ25" s="89"/>
      <c r="ASR25" s="89"/>
      <c r="ASS25" s="89"/>
      <c r="AST25" s="89"/>
      <c r="ASU25" s="89"/>
      <c r="ASV25" s="89"/>
      <c r="ASW25" s="89"/>
      <c r="ASX25" s="89"/>
      <c r="ASY25" s="89"/>
      <c r="ASZ25" s="89"/>
      <c r="ATA25" s="89"/>
      <c r="ATB25" s="89"/>
      <c r="ATC25" s="89"/>
      <c r="ATD25" s="89"/>
      <c r="ATE25" s="89"/>
      <c r="ATF25" s="89"/>
      <c r="ATG25" s="89"/>
      <c r="ATH25" s="89"/>
      <c r="ATI25" s="89"/>
      <c r="ATJ25" s="89"/>
      <c r="ATK25" s="89"/>
      <c r="ATL25" s="89"/>
      <c r="ATM25" s="89"/>
      <c r="ATN25" s="89"/>
      <c r="ATO25" s="89"/>
      <c r="ATP25" s="89"/>
      <c r="ATQ25" s="89"/>
      <c r="ATR25" s="89"/>
      <c r="ATS25" s="89"/>
      <c r="ATT25" s="89"/>
      <c r="ATU25" s="89"/>
      <c r="ATV25" s="89"/>
      <c r="ATW25" s="89"/>
      <c r="ATX25" s="89"/>
      <c r="ATY25" s="89"/>
      <c r="ATZ25" s="89"/>
      <c r="AUA25" s="89"/>
      <c r="AUB25" s="89"/>
      <c r="AUC25" s="89"/>
      <c r="AUD25" s="89"/>
      <c r="AUE25" s="89"/>
      <c r="AUF25" s="89"/>
      <c r="AUG25" s="89"/>
      <c r="AUH25" s="89"/>
      <c r="AUI25" s="89"/>
      <c r="AUJ25" s="89"/>
      <c r="AUK25" s="89"/>
      <c r="AUL25" s="89"/>
      <c r="AUM25" s="89"/>
      <c r="AUN25" s="89"/>
      <c r="AUO25" s="89"/>
      <c r="AUP25" s="89"/>
      <c r="AUQ25" s="89"/>
      <c r="AUR25" s="89"/>
      <c r="AUS25" s="89"/>
      <c r="AUT25" s="89"/>
      <c r="AUU25" s="89"/>
      <c r="AUV25" s="89"/>
      <c r="AUW25" s="89"/>
      <c r="AUX25" s="89"/>
      <c r="AUY25" s="89"/>
      <c r="AUZ25" s="89"/>
      <c r="AVA25" s="89"/>
      <c r="AVB25" s="89"/>
      <c r="AVC25" s="89"/>
      <c r="AVD25" s="89"/>
      <c r="AVE25" s="89"/>
      <c r="AVF25" s="89"/>
      <c r="AVG25" s="89"/>
      <c r="AVH25" s="89"/>
      <c r="AVI25" s="89"/>
      <c r="AVJ25" s="89"/>
      <c r="AVK25" s="89"/>
      <c r="AVL25" s="89"/>
      <c r="AVM25" s="89"/>
      <c r="AVN25" s="89"/>
      <c r="AVO25" s="89"/>
      <c r="AVP25" s="89"/>
      <c r="AVQ25" s="89"/>
      <c r="AVR25" s="89"/>
      <c r="AVS25" s="89"/>
      <c r="AVT25" s="89"/>
      <c r="AVU25" s="89"/>
      <c r="AVV25" s="89"/>
      <c r="AVW25" s="89"/>
      <c r="AVX25" s="89"/>
      <c r="AVY25" s="89"/>
      <c r="AVZ25" s="89"/>
      <c r="AWA25" s="89"/>
      <c r="AWB25" s="89"/>
      <c r="AWC25" s="89"/>
      <c r="AWD25" s="89"/>
      <c r="AWE25" s="89"/>
      <c r="AWF25" s="89"/>
      <c r="AWG25" s="89"/>
      <c r="AWH25" s="89"/>
      <c r="AWI25" s="89"/>
      <c r="AWJ25" s="89"/>
      <c r="AWK25" s="89"/>
      <c r="AWL25" s="89"/>
      <c r="AWM25" s="89"/>
      <c r="AWN25" s="89"/>
      <c r="AWO25" s="89"/>
      <c r="AWP25" s="89"/>
      <c r="AWQ25" s="89"/>
      <c r="AWR25" s="89"/>
      <c r="AWS25" s="89"/>
      <c r="AWT25" s="89"/>
      <c r="AWU25" s="89"/>
      <c r="AWV25" s="89"/>
      <c r="AWW25" s="89"/>
      <c r="AWX25" s="89"/>
      <c r="AWY25" s="89"/>
      <c r="AWZ25" s="89"/>
      <c r="AXA25" s="89"/>
      <c r="AXB25" s="89"/>
      <c r="AXC25" s="89"/>
      <c r="AXD25" s="89"/>
      <c r="AXE25" s="89"/>
      <c r="AXF25" s="89"/>
      <c r="AXG25" s="89"/>
      <c r="AXH25" s="89"/>
      <c r="AXI25" s="89"/>
      <c r="AXJ25" s="89"/>
      <c r="AXK25" s="89"/>
      <c r="AXL25" s="89"/>
      <c r="AXM25" s="89"/>
      <c r="AXN25" s="89"/>
      <c r="AXO25" s="89"/>
      <c r="AXP25" s="89"/>
      <c r="AXQ25" s="89"/>
      <c r="AXR25" s="89"/>
      <c r="AXS25" s="89"/>
      <c r="AXT25" s="89"/>
      <c r="AXU25" s="89"/>
      <c r="AXV25" s="89"/>
      <c r="AXW25" s="89"/>
      <c r="AXX25" s="89"/>
      <c r="AXY25" s="89"/>
      <c r="AXZ25" s="89"/>
      <c r="AYA25" s="89"/>
      <c r="AYB25" s="89"/>
      <c r="AYC25" s="89"/>
      <c r="AYD25" s="89"/>
      <c r="AYE25" s="89"/>
      <c r="AYF25" s="89"/>
      <c r="AYG25" s="89"/>
      <c r="AYH25" s="89"/>
      <c r="AYI25" s="89"/>
      <c r="AYJ25" s="89"/>
      <c r="AYK25" s="89"/>
      <c r="AYL25" s="89"/>
      <c r="AYM25" s="89"/>
      <c r="AYN25" s="89"/>
      <c r="AYO25" s="89"/>
      <c r="AYP25" s="89"/>
      <c r="AYQ25" s="89"/>
      <c r="AYR25" s="89"/>
      <c r="AYS25" s="89"/>
      <c r="AYT25" s="89"/>
      <c r="AYU25" s="89"/>
      <c r="AYV25" s="89"/>
      <c r="AYW25" s="89"/>
      <c r="AYX25" s="89"/>
      <c r="AYY25" s="89"/>
      <c r="AYZ25" s="89"/>
      <c r="AZA25" s="89"/>
      <c r="AZB25" s="89"/>
      <c r="AZC25" s="89"/>
      <c r="AZD25" s="89"/>
      <c r="AZE25" s="89"/>
      <c r="AZF25" s="89"/>
      <c r="AZG25" s="89"/>
      <c r="AZH25" s="89"/>
      <c r="AZI25" s="89"/>
      <c r="AZJ25" s="89"/>
      <c r="AZK25" s="89"/>
      <c r="AZL25" s="89"/>
      <c r="AZM25" s="89"/>
      <c r="AZN25" s="89"/>
      <c r="AZO25" s="89"/>
      <c r="AZP25" s="89"/>
      <c r="AZQ25" s="89"/>
      <c r="AZR25" s="89"/>
      <c r="AZS25" s="89"/>
      <c r="AZT25" s="89"/>
      <c r="AZU25" s="89"/>
      <c r="AZV25" s="89"/>
      <c r="AZW25" s="89"/>
      <c r="AZX25" s="89"/>
      <c r="AZY25" s="89"/>
      <c r="AZZ25" s="89"/>
      <c r="BAA25" s="89"/>
      <c r="BAB25" s="89"/>
      <c r="BAC25" s="89"/>
      <c r="BAD25" s="89"/>
      <c r="BAE25" s="89"/>
      <c r="BAF25" s="89"/>
      <c r="BAG25" s="89"/>
      <c r="BAH25" s="89"/>
      <c r="BAI25" s="89"/>
      <c r="BAJ25" s="89"/>
      <c r="BAK25" s="89"/>
      <c r="BAL25" s="89"/>
      <c r="BAM25" s="89"/>
      <c r="BAN25" s="89"/>
      <c r="BAO25" s="89"/>
      <c r="BAP25" s="89"/>
      <c r="BAQ25" s="89"/>
      <c r="BAR25" s="89"/>
      <c r="BAS25" s="89"/>
      <c r="BAT25" s="89"/>
      <c r="BAU25" s="89"/>
      <c r="BAV25" s="89"/>
      <c r="BAW25" s="89"/>
      <c r="BAX25" s="89"/>
      <c r="BAY25" s="89"/>
      <c r="BAZ25" s="89"/>
      <c r="BBA25" s="89"/>
      <c r="BBB25" s="89"/>
      <c r="BBC25" s="89"/>
      <c r="BBD25" s="89"/>
      <c r="BBE25" s="89"/>
      <c r="BBF25" s="89"/>
      <c r="BBG25" s="89"/>
      <c r="BBH25" s="89"/>
      <c r="BBI25" s="89"/>
      <c r="BBJ25" s="89"/>
      <c r="BBK25" s="89"/>
      <c r="BBL25" s="89"/>
      <c r="BBM25" s="89"/>
      <c r="BBN25" s="89"/>
      <c r="BBO25" s="89"/>
      <c r="BBP25" s="89"/>
      <c r="BBQ25" s="89"/>
      <c r="BBR25" s="89"/>
      <c r="BBS25" s="89"/>
      <c r="BBT25" s="89"/>
      <c r="BBU25" s="89"/>
      <c r="BBV25" s="89"/>
      <c r="BBW25" s="89"/>
      <c r="BBX25" s="89"/>
      <c r="BBY25" s="89"/>
      <c r="BBZ25" s="89"/>
      <c r="BCA25" s="89"/>
      <c r="BCB25" s="89"/>
      <c r="BCC25" s="89"/>
      <c r="BCD25" s="89"/>
      <c r="BCE25" s="89"/>
      <c r="BCF25" s="89"/>
      <c r="BCG25" s="89"/>
      <c r="BCH25" s="89"/>
      <c r="BCI25" s="89"/>
      <c r="BCJ25" s="89"/>
      <c r="BCK25" s="89"/>
      <c r="BCL25" s="89"/>
      <c r="BCM25" s="89"/>
      <c r="BCN25" s="89"/>
      <c r="BCO25" s="89"/>
      <c r="BCP25" s="89"/>
      <c r="BCQ25" s="89"/>
      <c r="BCR25" s="89"/>
      <c r="BCS25" s="89"/>
      <c r="BCT25" s="89"/>
      <c r="BCU25" s="89"/>
      <c r="BCV25" s="89"/>
      <c r="BCW25" s="89"/>
      <c r="BCX25" s="89"/>
      <c r="BCY25" s="89"/>
      <c r="BCZ25" s="89"/>
      <c r="BDA25" s="89"/>
      <c r="BDB25" s="89"/>
      <c r="BDC25" s="89"/>
      <c r="BDD25" s="89"/>
      <c r="BDE25" s="89"/>
      <c r="BDF25" s="89"/>
      <c r="BDG25" s="89"/>
      <c r="BDH25" s="89"/>
      <c r="BDI25" s="89"/>
      <c r="BDJ25" s="89"/>
      <c r="BDK25" s="89"/>
      <c r="BDL25" s="89"/>
      <c r="BDM25" s="89"/>
      <c r="BDN25" s="89"/>
      <c r="BDO25" s="89"/>
      <c r="BDP25" s="89"/>
      <c r="BDQ25" s="89"/>
      <c r="BDR25" s="89"/>
      <c r="BDS25" s="89"/>
      <c r="BDT25" s="89"/>
      <c r="BDU25" s="89"/>
      <c r="BDV25" s="89"/>
      <c r="BDW25" s="89"/>
      <c r="BDX25" s="89"/>
      <c r="BDY25" s="89"/>
      <c r="BDZ25" s="89"/>
      <c r="BEA25" s="89"/>
      <c r="BEB25" s="89"/>
      <c r="BEC25" s="89"/>
      <c r="BED25" s="89"/>
      <c r="BEE25" s="89"/>
      <c r="BEF25" s="89"/>
      <c r="BEG25" s="89"/>
      <c r="BEH25" s="89"/>
      <c r="BEI25" s="89"/>
      <c r="BEJ25" s="89"/>
      <c r="BEK25" s="89"/>
      <c r="BEL25" s="89"/>
      <c r="BEM25" s="89"/>
      <c r="BEN25" s="89"/>
      <c r="BEO25" s="89"/>
      <c r="BEP25" s="89"/>
      <c r="BEQ25" s="89"/>
      <c r="BER25" s="89"/>
      <c r="BES25" s="89"/>
      <c r="BET25" s="89"/>
      <c r="BEU25" s="89"/>
      <c r="BEV25" s="89"/>
      <c r="BEW25" s="89"/>
      <c r="BEX25" s="89"/>
      <c r="BEY25" s="89"/>
      <c r="BEZ25" s="89"/>
      <c r="BFA25" s="89"/>
      <c r="BFB25" s="89"/>
      <c r="BFC25" s="89"/>
      <c r="BFD25" s="89"/>
      <c r="BFE25" s="89"/>
      <c r="BFF25" s="89"/>
      <c r="BFG25" s="89"/>
      <c r="BFH25" s="89"/>
      <c r="BFI25" s="89"/>
      <c r="BFJ25" s="89"/>
      <c r="BFK25" s="89"/>
      <c r="BFL25" s="89"/>
      <c r="BFM25" s="89"/>
      <c r="BFN25" s="89"/>
      <c r="BFO25" s="89"/>
      <c r="BFP25" s="89"/>
      <c r="BFQ25" s="89"/>
      <c r="BFR25" s="89"/>
      <c r="BFS25" s="89"/>
      <c r="BFT25" s="89"/>
      <c r="BFU25" s="89"/>
      <c r="BFV25" s="89"/>
      <c r="BFW25" s="89"/>
      <c r="BFX25" s="89"/>
      <c r="BFY25" s="89"/>
      <c r="BFZ25" s="89"/>
      <c r="BGA25" s="89"/>
      <c r="BGB25" s="89"/>
      <c r="BGC25" s="89"/>
      <c r="BGD25" s="89"/>
      <c r="BGE25" s="89"/>
      <c r="BGF25" s="89"/>
      <c r="BGG25" s="89"/>
      <c r="BGH25" s="89"/>
      <c r="BGI25" s="89"/>
      <c r="BGJ25" s="89"/>
      <c r="BGK25" s="89"/>
      <c r="BGL25" s="89"/>
      <c r="BGM25" s="89"/>
      <c r="BGN25" s="89"/>
      <c r="BGO25" s="89"/>
      <c r="BGP25" s="89"/>
      <c r="BGQ25" s="89"/>
      <c r="BGR25" s="89"/>
      <c r="BGS25" s="89"/>
      <c r="BGT25" s="89"/>
      <c r="BGU25" s="89"/>
      <c r="BGV25" s="89"/>
      <c r="BGW25" s="89"/>
      <c r="BGX25" s="89"/>
      <c r="BGY25" s="89"/>
      <c r="BGZ25" s="89"/>
      <c r="BHA25" s="89"/>
      <c r="BHB25" s="89"/>
      <c r="BHC25" s="89"/>
      <c r="BHD25" s="89"/>
      <c r="BHE25" s="89"/>
      <c r="BHF25" s="89"/>
      <c r="BHG25" s="89"/>
      <c r="BHH25" s="89"/>
      <c r="BHI25" s="89"/>
      <c r="BHJ25" s="89"/>
      <c r="BHK25" s="89"/>
      <c r="BHL25" s="89"/>
      <c r="BHM25" s="89"/>
      <c r="BHN25" s="89"/>
      <c r="BHO25" s="89"/>
      <c r="BHP25" s="89"/>
      <c r="BHQ25" s="89"/>
      <c r="BHR25" s="89"/>
      <c r="BHS25" s="89"/>
      <c r="BHT25" s="89"/>
      <c r="BHU25" s="89"/>
      <c r="BHV25" s="89"/>
      <c r="BHW25" s="89"/>
      <c r="BHX25" s="89"/>
      <c r="BHY25" s="89"/>
      <c r="BHZ25" s="89"/>
      <c r="BIA25" s="89"/>
      <c r="BIB25" s="89"/>
      <c r="BIC25" s="89"/>
      <c r="BID25" s="89"/>
      <c r="BIE25" s="89"/>
      <c r="BIF25" s="89"/>
      <c r="BIG25" s="89"/>
      <c r="BIH25" s="89"/>
      <c r="BII25" s="89"/>
      <c r="BIJ25" s="89"/>
      <c r="BIK25" s="89"/>
      <c r="BIL25" s="89"/>
      <c r="BIM25" s="89"/>
      <c r="BIN25" s="89"/>
      <c r="BIO25" s="89"/>
      <c r="BIP25" s="89"/>
      <c r="BIQ25" s="89"/>
      <c r="BIR25" s="89"/>
      <c r="BIS25" s="89"/>
      <c r="BIT25" s="89"/>
      <c r="BIU25" s="89"/>
      <c r="BIV25" s="89"/>
      <c r="BIW25" s="89"/>
      <c r="BIX25" s="89"/>
      <c r="BIY25" s="89"/>
      <c r="BIZ25" s="89"/>
      <c r="BJA25" s="89"/>
      <c r="BJB25" s="89"/>
      <c r="BJC25" s="89"/>
      <c r="BJD25" s="89"/>
      <c r="BJE25" s="89"/>
      <c r="BJF25" s="89"/>
      <c r="BJG25" s="89"/>
      <c r="BJH25" s="89"/>
      <c r="BJI25" s="89"/>
      <c r="BJJ25" s="89"/>
      <c r="BJK25" s="89"/>
      <c r="BJL25" s="89"/>
      <c r="BJM25" s="89"/>
      <c r="BJN25" s="89"/>
      <c r="BJO25" s="89"/>
      <c r="BJP25" s="89"/>
      <c r="BJQ25" s="89"/>
      <c r="BJR25" s="89"/>
      <c r="BJS25" s="89"/>
      <c r="BJT25" s="89"/>
      <c r="BJU25" s="89"/>
      <c r="BJV25" s="89"/>
      <c r="BJW25" s="89"/>
      <c r="BJX25" s="89"/>
      <c r="BJY25" s="89"/>
      <c r="BJZ25" s="89"/>
      <c r="BKA25" s="89"/>
      <c r="BKB25" s="89"/>
      <c r="BKC25" s="89"/>
      <c r="BKD25" s="89"/>
      <c r="BKE25" s="89"/>
      <c r="BKF25" s="89"/>
      <c r="BKG25" s="89"/>
      <c r="BKH25" s="89"/>
      <c r="BKI25" s="89"/>
      <c r="BKJ25" s="89"/>
      <c r="BKK25" s="89"/>
      <c r="BKL25" s="89"/>
      <c r="BKM25" s="89"/>
      <c r="BKN25" s="89"/>
      <c r="BKO25" s="89"/>
      <c r="BKP25" s="89"/>
      <c r="BKQ25" s="89"/>
      <c r="BKR25" s="89"/>
      <c r="BKS25" s="89"/>
      <c r="BKT25" s="89"/>
      <c r="BKU25" s="89"/>
      <c r="BKV25" s="89"/>
      <c r="BKW25" s="89"/>
      <c r="BKX25" s="89"/>
      <c r="BKY25" s="89"/>
      <c r="BKZ25" s="89"/>
      <c r="BLA25" s="89"/>
      <c r="BLB25" s="89"/>
      <c r="BLC25" s="89"/>
      <c r="BLD25" s="89"/>
      <c r="BLE25" s="89"/>
      <c r="BLF25" s="89"/>
      <c r="BLG25" s="89"/>
      <c r="BLH25" s="89"/>
      <c r="BLI25" s="89"/>
      <c r="BLJ25" s="89"/>
      <c r="BLK25" s="89"/>
      <c r="BLL25" s="89"/>
      <c r="BLM25" s="89"/>
      <c r="BLN25" s="89"/>
      <c r="BLO25" s="89"/>
      <c r="BLP25" s="89"/>
      <c r="BLQ25" s="89"/>
      <c r="BLR25" s="89"/>
      <c r="BLS25" s="89"/>
      <c r="BLT25" s="89"/>
      <c r="BLU25" s="89"/>
      <c r="BLV25" s="89"/>
      <c r="BLW25" s="89"/>
      <c r="BLX25" s="89"/>
      <c r="BLY25" s="89"/>
      <c r="BLZ25" s="89"/>
      <c r="BMA25" s="89"/>
      <c r="BMB25" s="89"/>
      <c r="BMC25" s="89"/>
      <c r="BMD25" s="89"/>
      <c r="BME25" s="89"/>
      <c r="BMF25" s="89"/>
      <c r="BMG25" s="89"/>
      <c r="BMH25" s="89"/>
      <c r="BMI25" s="89"/>
      <c r="BMJ25" s="89"/>
      <c r="BMK25" s="89"/>
      <c r="BML25" s="89"/>
      <c r="BMM25" s="89"/>
      <c r="BMN25" s="89"/>
      <c r="BMO25" s="89"/>
      <c r="BMP25" s="89"/>
      <c r="BMQ25" s="89"/>
      <c r="BMR25" s="89"/>
      <c r="BMS25" s="89"/>
      <c r="BMT25" s="89"/>
      <c r="BMU25" s="89"/>
      <c r="BMV25" s="89"/>
      <c r="BMW25" s="89"/>
      <c r="BMX25" s="89"/>
      <c r="BMY25" s="89"/>
      <c r="BMZ25" s="89"/>
      <c r="BNA25" s="89"/>
      <c r="BNB25" s="89"/>
      <c r="BNC25" s="89"/>
      <c r="BND25" s="89"/>
      <c r="BNE25" s="89"/>
      <c r="BNF25" s="89"/>
      <c r="BNG25" s="89"/>
      <c r="BNH25" s="89"/>
      <c r="BNI25" s="89"/>
      <c r="BNJ25" s="89"/>
      <c r="BNK25" s="89"/>
      <c r="BNL25" s="89"/>
      <c r="BNM25" s="89"/>
      <c r="BNN25" s="89"/>
      <c r="BNO25" s="89"/>
      <c r="BNP25" s="89"/>
      <c r="BNQ25" s="89"/>
      <c r="BNR25" s="89"/>
      <c r="BNS25" s="89"/>
      <c r="BNT25" s="89"/>
      <c r="BNU25" s="89"/>
      <c r="BNV25" s="89"/>
      <c r="BNW25" s="89"/>
      <c r="BNX25" s="89"/>
      <c r="BNY25" s="89"/>
      <c r="BNZ25" s="89"/>
      <c r="BOA25" s="89"/>
      <c r="BOB25" s="89"/>
      <c r="BOC25" s="89"/>
      <c r="BOD25" s="89"/>
      <c r="BOE25" s="89"/>
      <c r="BOF25" s="89"/>
      <c r="BOG25" s="89"/>
      <c r="BOH25" s="89"/>
      <c r="BOI25" s="89"/>
      <c r="BOJ25" s="89"/>
      <c r="BOK25" s="89"/>
      <c r="BOL25" s="89"/>
      <c r="BOM25" s="89"/>
      <c r="BON25" s="89"/>
      <c r="BOO25" s="89"/>
      <c r="BOP25" s="89"/>
      <c r="BOQ25" s="89"/>
      <c r="BOR25" s="89"/>
      <c r="BOS25" s="89"/>
      <c r="BOT25" s="89"/>
      <c r="BOU25" s="89"/>
      <c r="BOV25" s="89"/>
      <c r="BOW25" s="89"/>
      <c r="BOX25" s="89"/>
      <c r="BOY25" s="89"/>
      <c r="BOZ25" s="89"/>
      <c r="BPA25" s="89"/>
      <c r="BPB25" s="89"/>
      <c r="BPC25" s="89"/>
      <c r="BPD25" s="89"/>
      <c r="BPE25" s="89"/>
      <c r="BPF25" s="89"/>
      <c r="BPG25" s="89"/>
      <c r="BPH25" s="89"/>
      <c r="BPI25" s="89"/>
      <c r="BPJ25" s="89"/>
      <c r="BPK25" s="89"/>
      <c r="BPL25" s="89"/>
      <c r="BPM25" s="89"/>
      <c r="BPN25" s="89"/>
      <c r="BPO25" s="89"/>
      <c r="BPP25" s="89"/>
      <c r="BPQ25" s="89"/>
      <c r="BPR25" s="89"/>
      <c r="BPS25" s="89"/>
      <c r="BPT25" s="89"/>
      <c r="BPU25" s="89"/>
      <c r="BPV25" s="89"/>
      <c r="BPW25" s="89"/>
      <c r="BPX25" s="89"/>
      <c r="BPY25" s="89"/>
      <c r="BPZ25" s="89"/>
      <c r="BQA25" s="89"/>
      <c r="BQB25" s="89"/>
      <c r="BQC25" s="89"/>
      <c r="BQD25" s="89"/>
      <c r="BQE25" s="89"/>
      <c r="BQF25" s="89"/>
      <c r="BQG25" s="89"/>
      <c r="BQH25" s="89"/>
      <c r="BQI25" s="89"/>
      <c r="BQJ25" s="89"/>
      <c r="BQK25" s="89"/>
      <c r="BQL25" s="89"/>
      <c r="BQM25" s="89"/>
      <c r="BQN25" s="89"/>
      <c r="BQO25" s="89"/>
      <c r="BQP25" s="89"/>
      <c r="BQQ25" s="89"/>
      <c r="BQR25" s="89"/>
      <c r="BQS25" s="89"/>
      <c r="BQT25" s="89"/>
      <c r="BQU25" s="89"/>
      <c r="BQV25" s="89"/>
      <c r="BQW25" s="89"/>
      <c r="BQX25" s="89"/>
      <c r="BQY25" s="89"/>
      <c r="BQZ25" s="89"/>
      <c r="BRA25" s="89"/>
      <c r="BRB25" s="89"/>
      <c r="BRC25" s="89"/>
      <c r="BRD25" s="89"/>
      <c r="BRE25" s="89"/>
      <c r="BRF25" s="89"/>
      <c r="BRG25" s="89"/>
      <c r="BRH25" s="89"/>
      <c r="BRI25" s="89"/>
      <c r="BRJ25" s="89"/>
      <c r="BRK25" s="89"/>
      <c r="BRL25" s="89"/>
      <c r="BRM25" s="89"/>
      <c r="BRN25" s="89"/>
      <c r="BRO25" s="89"/>
      <c r="BRP25" s="89"/>
      <c r="BRQ25" s="89"/>
      <c r="BRR25" s="89"/>
      <c r="BRS25" s="89"/>
      <c r="BRT25" s="89"/>
      <c r="BRU25" s="89"/>
      <c r="BRV25" s="89"/>
      <c r="BRW25" s="89"/>
      <c r="BRX25" s="89"/>
      <c r="BRY25" s="89"/>
      <c r="BRZ25" s="89"/>
      <c r="BSA25" s="89"/>
      <c r="BSB25" s="89"/>
      <c r="BSC25" s="89"/>
      <c r="BSD25" s="89"/>
      <c r="BSE25" s="89"/>
      <c r="BSF25" s="89"/>
      <c r="BSG25" s="89"/>
      <c r="BSH25" s="89"/>
      <c r="BSI25" s="89"/>
      <c r="BSJ25" s="89"/>
      <c r="BSK25" s="89"/>
      <c r="BSL25" s="89"/>
      <c r="BSM25" s="89"/>
      <c r="BSN25" s="89"/>
      <c r="BSO25" s="89"/>
      <c r="BSP25" s="89"/>
      <c r="BSQ25" s="89"/>
      <c r="BSR25" s="89"/>
      <c r="BSS25" s="89"/>
      <c r="BST25" s="89"/>
      <c r="BSU25" s="89"/>
      <c r="BSV25" s="89"/>
      <c r="BSW25" s="89"/>
      <c r="BSX25" s="89"/>
      <c r="BSY25" s="89"/>
      <c r="BSZ25" s="89"/>
      <c r="BTA25" s="89"/>
      <c r="BTB25" s="89"/>
      <c r="BTC25" s="89"/>
      <c r="BTD25" s="89"/>
      <c r="BTE25" s="89"/>
      <c r="BTF25" s="89"/>
      <c r="BTG25" s="89"/>
      <c r="BTH25" s="89"/>
      <c r="BTI25" s="89"/>
      <c r="BTJ25" s="89"/>
      <c r="BTK25" s="89"/>
      <c r="BTL25" s="89"/>
      <c r="BTM25" s="89"/>
      <c r="BTN25" s="89"/>
      <c r="BTO25" s="89"/>
      <c r="BTP25" s="89"/>
      <c r="BTQ25" s="89"/>
      <c r="BTR25" s="89"/>
      <c r="BTS25" s="89"/>
      <c r="BTT25" s="89"/>
      <c r="BTU25" s="89"/>
      <c r="BTV25" s="89"/>
      <c r="BTW25" s="89"/>
      <c r="BTX25" s="89"/>
      <c r="BTY25" s="89"/>
      <c r="BTZ25" s="89"/>
      <c r="BUA25" s="89"/>
      <c r="BUB25" s="89"/>
      <c r="BUC25" s="89"/>
      <c r="BUD25" s="89"/>
      <c r="BUE25" s="89"/>
      <c r="BUF25" s="89"/>
      <c r="BUG25" s="89"/>
      <c r="BUH25" s="89"/>
      <c r="BUI25" s="89"/>
      <c r="BUJ25" s="89"/>
      <c r="BUK25" s="89"/>
      <c r="BUL25" s="89"/>
      <c r="BUM25" s="89"/>
      <c r="BUN25" s="89"/>
      <c r="BUO25" s="89"/>
      <c r="BUP25" s="89"/>
      <c r="BUQ25" s="89"/>
      <c r="BUR25" s="89"/>
      <c r="BUS25" s="89"/>
      <c r="BUT25" s="89"/>
      <c r="BUU25" s="89"/>
      <c r="BUV25" s="89"/>
      <c r="BUW25" s="89"/>
      <c r="BUX25" s="89"/>
      <c r="BUY25" s="89"/>
      <c r="BUZ25" s="89"/>
      <c r="BVA25" s="89"/>
      <c r="BVB25" s="89"/>
      <c r="BVC25" s="89"/>
      <c r="BVD25" s="89"/>
      <c r="BVE25" s="89"/>
      <c r="BVF25" s="89"/>
      <c r="BVG25" s="89"/>
      <c r="BVH25" s="89"/>
      <c r="BVI25" s="89"/>
      <c r="BVJ25" s="89"/>
      <c r="BVK25" s="89"/>
      <c r="BVL25" s="89"/>
      <c r="BVM25" s="89"/>
      <c r="BVN25" s="89"/>
      <c r="BVO25" s="89"/>
      <c r="BVP25" s="89"/>
      <c r="BVQ25" s="89"/>
      <c r="BVR25" s="89"/>
      <c r="BVS25" s="89"/>
      <c r="BVT25" s="89"/>
      <c r="BVU25" s="89"/>
      <c r="BVV25" s="89"/>
      <c r="BVW25" s="89"/>
      <c r="BVX25" s="89"/>
      <c r="BVY25" s="89"/>
      <c r="BVZ25" s="89"/>
      <c r="BWA25" s="89"/>
      <c r="BWB25" s="89"/>
      <c r="BWC25" s="89"/>
      <c r="BWD25" s="89"/>
      <c r="BWE25" s="89"/>
      <c r="BWF25" s="89"/>
      <c r="BWG25" s="89"/>
      <c r="BWH25" s="89"/>
      <c r="BWI25" s="89"/>
      <c r="BWJ25" s="89"/>
      <c r="BWK25" s="89"/>
      <c r="BWL25" s="89"/>
      <c r="BWM25" s="89"/>
      <c r="BWN25" s="89"/>
      <c r="BWO25" s="89"/>
      <c r="BWP25" s="89"/>
      <c r="BWQ25" s="89"/>
      <c r="BWR25" s="89"/>
      <c r="BWS25" s="89"/>
      <c r="BWT25" s="89"/>
      <c r="BWU25" s="89"/>
      <c r="BWV25" s="89"/>
      <c r="BWW25" s="89"/>
      <c r="BWX25" s="89"/>
      <c r="BWY25" s="89"/>
      <c r="BWZ25" s="89"/>
      <c r="BXA25" s="89"/>
      <c r="BXB25" s="89"/>
      <c r="BXC25" s="89"/>
      <c r="BXD25" s="89"/>
      <c r="BXE25" s="89"/>
      <c r="BXF25" s="89"/>
      <c r="BXG25" s="89"/>
      <c r="BXH25" s="89"/>
      <c r="BXI25" s="89"/>
      <c r="BXJ25" s="89"/>
      <c r="BXK25" s="89"/>
      <c r="BXL25" s="89"/>
      <c r="BXM25" s="89"/>
      <c r="BXN25" s="89"/>
      <c r="BXO25" s="89"/>
      <c r="BXP25" s="89"/>
      <c r="BXQ25" s="89"/>
      <c r="BXR25" s="89"/>
      <c r="BXS25" s="89"/>
      <c r="BXT25" s="89"/>
      <c r="BXU25" s="89"/>
      <c r="BXV25" s="89"/>
      <c r="BXW25" s="89"/>
      <c r="BXX25" s="89"/>
      <c r="BXY25" s="89"/>
      <c r="BXZ25" s="89"/>
      <c r="BYA25" s="89"/>
      <c r="BYB25" s="89"/>
      <c r="BYC25" s="89"/>
      <c r="BYD25" s="89"/>
      <c r="BYE25" s="89"/>
      <c r="BYF25" s="89"/>
      <c r="BYG25" s="89"/>
      <c r="BYH25" s="89"/>
      <c r="BYI25" s="89"/>
      <c r="BYJ25" s="89"/>
      <c r="BYK25" s="89"/>
      <c r="BYL25" s="89"/>
      <c r="BYM25" s="89"/>
      <c r="BYN25" s="89"/>
      <c r="BYO25" s="89"/>
      <c r="BYP25" s="89"/>
      <c r="BYQ25" s="89"/>
      <c r="BYR25" s="89"/>
      <c r="BYS25" s="89"/>
      <c r="BYT25" s="89"/>
      <c r="BYU25" s="89"/>
      <c r="BYV25" s="89"/>
      <c r="BYW25" s="89"/>
      <c r="BYX25" s="89"/>
      <c r="BYY25" s="89"/>
      <c r="BYZ25" s="89"/>
      <c r="BZA25" s="89"/>
      <c r="BZB25" s="89"/>
      <c r="BZC25" s="89"/>
      <c r="BZD25" s="89"/>
      <c r="BZE25" s="89"/>
      <c r="BZF25" s="89"/>
      <c r="BZG25" s="89"/>
      <c r="BZH25" s="89"/>
      <c r="BZI25" s="89"/>
      <c r="BZJ25" s="89"/>
      <c r="BZK25" s="89"/>
      <c r="BZL25" s="89"/>
      <c r="BZM25" s="89"/>
      <c r="BZN25" s="89"/>
      <c r="BZO25" s="89"/>
      <c r="BZP25" s="89"/>
      <c r="BZQ25" s="89"/>
      <c r="BZR25" s="89"/>
      <c r="BZS25" s="89"/>
      <c r="BZT25" s="89"/>
      <c r="BZU25" s="89"/>
      <c r="BZV25" s="89"/>
      <c r="BZW25" s="89"/>
      <c r="BZX25" s="89"/>
      <c r="BZY25" s="89"/>
      <c r="BZZ25" s="89"/>
      <c r="CAA25" s="89"/>
      <c r="CAB25" s="89"/>
      <c r="CAC25" s="89"/>
      <c r="CAD25" s="89"/>
      <c r="CAE25" s="89"/>
      <c r="CAF25" s="89"/>
      <c r="CAG25" s="89"/>
      <c r="CAH25" s="89"/>
      <c r="CAI25" s="89"/>
      <c r="CAJ25" s="89"/>
      <c r="CAK25" s="89"/>
      <c r="CAL25" s="89"/>
      <c r="CAM25" s="89"/>
      <c r="CAN25" s="89"/>
      <c r="CAO25" s="89"/>
      <c r="CAP25" s="89"/>
      <c r="CAQ25" s="89"/>
      <c r="CAR25" s="89"/>
      <c r="CAS25" s="89"/>
      <c r="CAT25" s="89"/>
      <c r="CAU25" s="89"/>
      <c r="CAV25" s="89"/>
      <c r="CAW25" s="89"/>
      <c r="CAX25" s="89"/>
      <c r="CAY25" s="89"/>
      <c r="CAZ25" s="89"/>
      <c r="CBA25" s="89"/>
      <c r="CBB25" s="89"/>
      <c r="CBC25" s="89"/>
      <c r="CBD25" s="89"/>
      <c r="CBE25" s="89"/>
      <c r="CBF25" s="89"/>
      <c r="CBG25" s="89"/>
      <c r="CBH25" s="89"/>
      <c r="CBI25" s="89"/>
      <c r="CBJ25" s="89"/>
      <c r="CBK25" s="89"/>
      <c r="CBL25" s="89"/>
      <c r="CBM25" s="89"/>
      <c r="CBN25" s="89"/>
      <c r="CBO25" s="89"/>
      <c r="CBP25" s="89"/>
      <c r="CBQ25" s="89"/>
      <c r="CBR25" s="89"/>
      <c r="CBS25" s="89"/>
      <c r="CBT25" s="89"/>
      <c r="CBU25" s="89"/>
      <c r="CBV25" s="89"/>
      <c r="CBW25" s="89"/>
      <c r="CBX25" s="89"/>
      <c r="CBY25" s="89"/>
      <c r="CBZ25" s="89"/>
      <c r="CCA25" s="89"/>
      <c r="CCB25" s="89"/>
      <c r="CCC25" s="89"/>
      <c r="CCD25" s="89"/>
      <c r="CCE25" s="89"/>
      <c r="CCF25" s="89"/>
      <c r="CCG25" s="89"/>
      <c r="CCH25" s="89"/>
      <c r="CCI25" s="89"/>
      <c r="CCJ25" s="89"/>
      <c r="CCK25" s="89"/>
      <c r="CCL25" s="89"/>
      <c r="CCM25" s="89"/>
      <c r="CCN25" s="89"/>
      <c r="CCO25" s="89"/>
      <c r="CCP25" s="89"/>
      <c r="CCQ25" s="89"/>
      <c r="CCR25" s="89"/>
      <c r="CCS25" s="89"/>
      <c r="CCT25" s="89"/>
      <c r="CCU25" s="89"/>
      <c r="CCV25" s="89"/>
      <c r="CCW25" s="89"/>
      <c r="CCX25" s="89"/>
      <c r="CCY25" s="89"/>
      <c r="CCZ25" s="89"/>
      <c r="CDA25" s="89"/>
      <c r="CDB25" s="89"/>
      <c r="CDC25" s="89"/>
      <c r="CDD25" s="89"/>
      <c r="CDE25" s="89"/>
      <c r="CDF25" s="89"/>
      <c r="CDG25" s="89"/>
      <c r="CDH25" s="89"/>
      <c r="CDI25" s="89"/>
      <c r="CDJ25" s="89"/>
      <c r="CDK25" s="89"/>
      <c r="CDL25" s="89"/>
      <c r="CDM25" s="89"/>
      <c r="CDN25" s="89"/>
      <c r="CDO25" s="89"/>
      <c r="CDP25" s="89"/>
      <c r="CDQ25" s="89"/>
      <c r="CDR25" s="89"/>
      <c r="CDS25" s="89"/>
      <c r="CDT25" s="89"/>
      <c r="CDU25" s="89"/>
      <c r="CDV25" s="89"/>
      <c r="CDW25" s="89"/>
      <c r="CDX25" s="89"/>
      <c r="CDY25" s="89"/>
      <c r="CDZ25" s="89"/>
      <c r="CEA25" s="89"/>
      <c r="CEB25" s="89"/>
      <c r="CEC25" s="89"/>
      <c r="CED25" s="89"/>
      <c r="CEE25" s="89"/>
      <c r="CEF25" s="89"/>
      <c r="CEG25" s="89"/>
      <c r="CEH25" s="89"/>
      <c r="CEI25" s="89"/>
      <c r="CEJ25" s="89"/>
      <c r="CEK25" s="89"/>
      <c r="CEL25" s="89"/>
      <c r="CEM25" s="89"/>
      <c r="CEN25" s="89"/>
      <c r="CEO25" s="89"/>
      <c r="CEP25" s="89"/>
      <c r="CEQ25" s="89"/>
      <c r="CER25" s="89"/>
      <c r="CES25" s="89"/>
      <c r="CET25" s="89"/>
      <c r="CEU25" s="89"/>
      <c r="CEV25" s="89"/>
      <c r="CEW25" s="89"/>
      <c r="CEX25" s="89"/>
      <c r="CEY25" s="89"/>
      <c r="CEZ25" s="89"/>
      <c r="CFA25" s="89"/>
      <c r="CFB25" s="89"/>
      <c r="CFC25" s="89"/>
      <c r="CFD25" s="89"/>
      <c r="CFE25" s="89"/>
      <c r="CFF25" s="89"/>
      <c r="CFG25" s="89"/>
      <c r="CFH25" s="89"/>
      <c r="CFI25" s="89"/>
      <c r="CFJ25" s="89"/>
      <c r="CFK25" s="89"/>
      <c r="CFL25" s="89"/>
      <c r="CFM25" s="89"/>
      <c r="CFN25" s="89"/>
      <c r="CFO25" s="89"/>
      <c r="CFP25" s="89"/>
      <c r="CFQ25" s="89"/>
      <c r="CFR25" s="89"/>
      <c r="CFS25" s="89"/>
      <c r="CFT25" s="89"/>
      <c r="CFU25" s="89"/>
      <c r="CFV25" s="89"/>
      <c r="CFW25" s="89"/>
      <c r="CFX25" s="89"/>
      <c r="CFY25" s="89"/>
      <c r="CFZ25" s="89"/>
      <c r="CGA25" s="89"/>
      <c r="CGB25" s="89"/>
      <c r="CGC25" s="89"/>
      <c r="CGD25" s="89"/>
      <c r="CGE25" s="89"/>
      <c r="CGF25" s="89"/>
      <c r="CGG25" s="89"/>
      <c r="CGH25" s="89"/>
      <c r="CGI25" s="89"/>
      <c r="CGJ25" s="89"/>
      <c r="CGK25" s="89"/>
      <c r="CGL25" s="89"/>
      <c r="CGM25" s="89"/>
      <c r="CGN25" s="89"/>
      <c r="CGO25" s="89"/>
      <c r="CGP25" s="89"/>
      <c r="CGQ25" s="89"/>
      <c r="CGR25" s="89"/>
      <c r="CGS25" s="89"/>
      <c r="CGT25" s="89"/>
      <c r="CGU25" s="89"/>
      <c r="CGV25" s="89"/>
      <c r="CGW25" s="89"/>
      <c r="CGX25" s="89"/>
      <c r="CGY25" s="89"/>
      <c r="CGZ25" s="89"/>
      <c r="CHA25" s="89"/>
      <c r="CHB25" s="89"/>
      <c r="CHC25" s="89"/>
      <c r="CHD25" s="89"/>
      <c r="CHE25" s="89"/>
      <c r="CHF25" s="89"/>
      <c r="CHG25" s="89"/>
      <c r="CHH25" s="89"/>
      <c r="CHI25" s="89"/>
      <c r="CHJ25" s="89"/>
      <c r="CHK25" s="89"/>
      <c r="CHL25" s="89"/>
      <c r="CHM25" s="89"/>
      <c r="CHN25" s="89"/>
      <c r="CHO25" s="89"/>
      <c r="CHP25" s="89"/>
      <c r="CHQ25" s="89"/>
      <c r="CHR25" s="89"/>
      <c r="CHS25" s="89"/>
      <c r="CHT25" s="89"/>
      <c r="CHU25" s="89"/>
      <c r="CHV25" s="89"/>
      <c r="CHW25" s="89"/>
      <c r="CHX25" s="89"/>
      <c r="CHY25" s="89"/>
      <c r="CHZ25" s="89"/>
      <c r="CIA25" s="89"/>
      <c r="CIB25" s="89"/>
      <c r="CIC25" s="89"/>
      <c r="CID25" s="89"/>
      <c r="CIE25" s="89"/>
      <c r="CIF25" s="89"/>
      <c r="CIG25" s="89"/>
      <c r="CIH25" s="89"/>
      <c r="CII25" s="89"/>
      <c r="CIJ25" s="89"/>
      <c r="CIK25" s="89"/>
      <c r="CIL25" s="89"/>
      <c r="CIM25" s="89"/>
      <c r="CIN25" s="89"/>
      <c r="CIO25" s="89"/>
      <c r="CIP25" s="89"/>
      <c r="CIQ25" s="89"/>
      <c r="CIR25" s="89"/>
      <c r="CIS25" s="89"/>
      <c r="CIT25" s="89"/>
      <c r="CIU25" s="89"/>
      <c r="CIV25" s="89"/>
      <c r="CIW25" s="89"/>
      <c r="CIX25" s="89"/>
      <c r="CIY25" s="89"/>
      <c r="CIZ25" s="89"/>
      <c r="CJA25" s="89"/>
      <c r="CJB25" s="89"/>
      <c r="CJC25" s="89"/>
      <c r="CJD25" s="89"/>
      <c r="CJE25" s="89"/>
      <c r="CJF25" s="89"/>
      <c r="CJG25" s="89"/>
      <c r="CJH25" s="89"/>
      <c r="CJI25" s="89"/>
      <c r="CJJ25" s="89"/>
      <c r="CJK25" s="89"/>
      <c r="CJL25" s="89"/>
      <c r="CJM25" s="89"/>
      <c r="CJN25" s="89"/>
      <c r="CJO25" s="89"/>
      <c r="CJP25" s="89"/>
      <c r="CJQ25" s="89"/>
      <c r="CJR25" s="89"/>
      <c r="CJS25" s="89"/>
      <c r="CJT25" s="89"/>
      <c r="CJU25" s="89"/>
      <c r="CJV25" s="89"/>
      <c r="CJW25" s="89"/>
      <c r="CJX25" s="89"/>
      <c r="CJY25" s="89"/>
      <c r="CJZ25" s="89"/>
      <c r="CKA25" s="89"/>
      <c r="CKB25" s="89"/>
      <c r="CKC25" s="89"/>
      <c r="CKD25" s="89"/>
      <c r="CKE25" s="89"/>
      <c r="CKF25" s="89"/>
      <c r="CKG25" s="89"/>
      <c r="CKH25" s="89"/>
      <c r="CKI25" s="89"/>
      <c r="CKJ25" s="89"/>
      <c r="CKK25" s="89"/>
      <c r="CKL25" s="89"/>
      <c r="CKM25" s="89"/>
      <c r="CKN25" s="89"/>
      <c r="CKO25" s="89"/>
      <c r="CKP25" s="89"/>
      <c r="CKQ25" s="89"/>
      <c r="CKR25" s="89"/>
      <c r="CKS25" s="89"/>
      <c r="CKT25" s="89"/>
      <c r="CKU25" s="89"/>
      <c r="CKV25" s="89"/>
      <c r="CKW25" s="89"/>
      <c r="CKX25" s="89"/>
      <c r="CKY25" s="89"/>
      <c r="CKZ25" s="89"/>
      <c r="CLA25" s="89"/>
      <c r="CLB25" s="89"/>
      <c r="CLC25" s="89"/>
      <c r="CLD25" s="89"/>
      <c r="CLE25" s="89"/>
      <c r="CLF25" s="89"/>
      <c r="CLG25" s="89"/>
      <c r="CLH25" s="89"/>
      <c r="CLI25" s="89"/>
      <c r="CLJ25" s="89"/>
      <c r="CLK25" s="89"/>
      <c r="CLL25" s="89"/>
      <c r="CLM25" s="89"/>
      <c r="CLN25" s="89"/>
      <c r="CLO25" s="89"/>
      <c r="CLP25" s="89"/>
      <c r="CLQ25" s="89"/>
      <c r="CLR25" s="89"/>
      <c r="CLS25" s="89"/>
      <c r="CLT25" s="89"/>
      <c r="CLU25" s="89"/>
      <c r="CLV25" s="89"/>
      <c r="CLW25" s="89"/>
      <c r="CLX25" s="89"/>
      <c r="CLY25" s="89"/>
      <c r="CLZ25" s="89"/>
      <c r="CMA25" s="89"/>
      <c r="CMB25" s="89"/>
      <c r="CMC25" s="89"/>
      <c r="CMD25" s="89"/>
      <c r="CME25" s="89"/>
      <c r="CMF25" s="89"/>
      <c r="CMG25" s="89"/>
      <c r="CMH25" s="89"/>
      <c r="CMI25" s="89"/>
      <c r="CMJ25" s="89"/>
      <c r="CMK25" s="89"/>
      <c r="CML25" s="89"/>
      <c r="CMM25" s="89"/>
      <c r="CMN25" s="89"/>
      <c r="CMO25" s="89"/>
      <c r="CMP25" s="89"/>
      <c r="CMQ25" s="89"/>
      <c r="CMR25" s="89"/>
      <c r="CMS25" s="89"/>
      <c r="CMT25" s="89"/>
      <c r="CMU25" s="89"/>
      <c r="CMV25" s="89"/>
      <c r="CMW25" s="89"/>
      <c r="CMX25" s="89"/>
      <c r="CMY25" s="89"/>
      <c r="CMZ25" s="89"/>
      <c r="CNA25" s="89"/>
      <c r="CNB25" s="89"/>
      <c r="CNC25" s="89"/>
      <c r="CND25" s="89"/>
      <c r="CNE25" s="89"/>
      <c r="CNF25" s="89"/>
      <c r="CNG25" s="89"/>
      <c r="CNH25" s="89"/>
      <c r="CNI25" s="89"/>
      <c r="CNJ25" s="89"/>
      <c r="CNK25" s="89"/>
      <c r="CNL25" s="89"/>
      <c r="CNM25" s="89"/>
      <c r="CNN25" s="89"/>
      <c r="CNO25" s="89"/>
      <c r="CNP25" s="89"/>
      <c r="CNQ25" s="89"/>
      <c r="CNR25" s="89"/>
      <c r="CNS25" s="89"/>
      <c r="CNT25" s="89"/>
      <c r="CNU25" s="89"/>
      <c r="CNV25" s="89"/>
      <c r="CNW25" s="89"/>
      <c r="CNX25" s="89"/>
      <c r="CNY25" s="89"/>
      <c r="CNZ25" s="89"/>
      <c r="COA25" s="89"/>
      <c r="COB25" s="89"/>
      <c r="COC25" s="89"/>
      <c r="COD25" s="89"/>
      <c r="COE25" s="89"/>
      <c r="COF25" s="89"/>
      <c r="COG25" s="89"/>
      <c r="COH25" s="89"/>
      <c r="COI25" s="89"/>
      <c r="COJ25" s="89"/>
      <c r="COK25" s="89"/>
      <c r="COL25" s="89"/>
      <c r="COM25" s="89"/>
      <c r="CON25" s="89"/>
      <c r="COO25" s="89"/>
      <c r="COP25" s="89"/>
      <c r="COQ25" s="89"/>
      <c r="COR25" s="89"/>
      <c r="COS25" s="89"/>
      <c r="COT25" s="89"/>
      <c r="COU25" s="89"/>
      <c r="COV25" s="89"/>
      <c r="COW25" s="89"/>
      <c r="COX25" s="89"/>
      <c r="COY25" s="89"/>
      <c r="COZ25" s="89"/>
      <c r="CPA25" s="89"/>
      <c r="CPB25" s="89"/>
      <c r="CPC25" s="89"/>
      <c r="CPD25" s="89"/>
      <c r="CPE25" s="89"/>
      <c r="CPF25" s="89"/>
      <c r="CPG25" s="89"/>
      <c r="CPH25" s="89"/>
      <c r="CPI25" s="89"/>
      <c r="CPJ25" s="89"/>
      <c r="CPK25" s="89"/>
      <c r="CPL25" s="89"/>
      <c r="CPM25" s="89"/>
      <c r="CPN25" s="89"/>
      <c r="CPO25" s="89"/>
      <c r="CPP25" s="89"/>
      <c r="CPQ25" s="89"/>
      <c r="CPR25" s="89"/>
      <c r="CPS25" s="89"/>
      <c r="CPT25" s="89"/>
      <c r="CPU25" s="89"/>
      <c r="CPV25" s="89"/>
      <c r="CPW25" s="89"/>
      <c r="CPX25" s="89"/>
      <c r="CPY25" s="89"/>
      <c r="CPZ25" s="89"/>
      <c r="CQA25" s="89"/>
      <c r="CQB25" s="89"/>
      <c r="CQC25" s="89"/>
      <c r="CQD25" s="89"/>
      <c r="CQE25" s="89"/>
      <c r="CQF25" s="89"/>
      <c r="CQG25" s="89"/>
      <c r="CQH25" s="89"/>
      <c r="CQI25" s="89"/>
      <c r="CQJ25" s="89"/>
      <c r="CQK25" s="89"/>
      <c r="CQL25" s="89"/>
      <c r="CQM25" s="89"/>
      <c r="CQN25" s="89"/>
      <c r="CQO25" s="89"/>
      <c r="CQP25" s="89"/>
      <c r="CQQ25" s="89"/>
      <c r="CQR25" s="89"/>
      <c r="CQS25" s="89"/>
      <c r="CQT25" s="89"/>
      <c r="CQU25" s="89"/>
      <c r="CQV25" s="89"/>
      <c r="CQW25" s="89"/>
      <c r="CQX25" s="89"/>
      <c r="CQY25" s="89"/>
      <c r="CQZ25" s="89"/>
      <c r="CRA25" s="89"/>
      <c r="CRB25" s="89"/>
      <c r="CRC25" s="89"/>
      <c r="CRD25" s="89"/>
      <c r="CRE25" s="89"/>
      <c r="CRF25" s="89"/>
      <c r="CRG25" s="89"/>
      <c r="CRH25" s="89"/>
      <c r="CRI25" s="89"/>
      <c r="CRJ25" s="89"/>
      <c r="CRK25" s="89"/>
      <c r="CRL25" s="89"/>
      <c r="CRM25" s="89"/>
      <c r="CRN25" s="89"/>
      <c r="CRO25" s="89"/>
      <c r="CRP25" s="89"/>
      <c r="CRQ25" s="89"/>
      <c r="CRR25" s="89"/>
      <c r="CRS25" s="89"/>
      <c r="CRT25" s="89"/>
      <c r="CRU25" s="89"/>
      <c r="CRV25" s="89"/>
      <c r="CRW25" s="89"/>
      <c r="CRX25" s="89"/>
      <c r="CRY25" s="89"/>
      <c r="CRZ25" s="89"/>
      <c r="CSA25" s="89"/>
      <c r="CSB25" s="89"/>
      <c r="CSC25" s="89"/>
      <c r="CSD25" s="89"/>
      <c r="CSE25" s="89"/>
      <c r="CSF25" s="89"/>
      <c r="CSG25" s="89"/>
      <c r="CSH25" s="89"/>
      <c r="CSI25" s="89"/>
      <c r="CSJ25" s="89"/>
      <c r="CSK25" s="89"/>
      <c r="CSL25" s="89"/>
      <c r="CSM25" s="89"/>
      <c r="CSN25" s="89"/>
      <c r="CSO25" s="89"/>
      <c r="CSP25" s="89"/>
      <c r="CSQ25" s="89"/>
      <c r="CSR25" s="89"/>
      <c r="CSS25" s="89"/>
      <c r="CST25" s="89"/>
      <c r="CSU25" s="89"/>
      <c r="CSV25" s="89"/>
      <c r="CSW25" s="89"/>
      <c r="CSX25" s="89"/>
      <c r="CSY25" s="89"/>
      <c r="CSZ25" s="89"/>
      <c r="CTA25" s="89"/>
      <c r="CTB25" s="89"/>
      <c r="CTC25" s="89"/>
      <c r="CTD25" s="89"/>
      <c r="CTE25" s="89"/>
      <c r="CTF25" s="89"/>
      <c r="CTG25" s="89"/>
      <c r="CTH25" s="89"/>
      <c r="CTI25" s="89"/>
      <c r="CTJ25" s="89"/>
      <c r="CTK25" s="89"/>
      <c r="CTL25" s="89"/>
      <c r="CTM25" s="89"/>
      <c r="CTN25" s="89"/>
      <c r="CTO25" s="89"/>
      <c r="CTP25" s="89"/>
      <c r="CTQ25" s="89"/>
      <c r="CTR25" s="89"/>
      <c r="CTS25" s="89"/>
      <c r="CTT25" s="89"/>
      <c r="CTU25" s="89"/>
      <c r="CTV25" s="89"/>
      <c r="CTW25" s="89"/>
      <c r="CTX25" s="89"/>
      <c r="CTY25" s="89"/>
      <c r="CTZ25" s="89"/>
      <c r="CUA25" s="89"/>
      <c r="CUB25" s="89"/>
      <c r="CUC25" s="89"/>
      <c r="CUD25" s="89"/>
      <c r="CUE25" s="89"/>
      <c r="CUF25" s="89"/>
      <c r="CUG25" s="89"/>
      <c r="CUH25" s="89"/>
      <c r="CUI25" s="89"/>
      <c r="CUJ25" s="89"/>
      <c r="CUK25" s="89"/>
      <c r="CUL25" s="89"/>
      <c r="CUM25" s="89"/>
      <c r="CUN25" s="89"/>
      <c r="CUO25" s="89"/>
      <c r="CUP25" s="89"/>
      <c r="CUQ25" s="89"/>
      <c r="CUR25" s="89"/>
      <c r="CUS25" s="89"/>
      <c r="CUT25" s="89"/>
      <c r="CUU25" s="89"/>
      <c r="CUV25" s="89"/>
      <c r="CUW25" s="89"/>
      <c r="CUX25" s="89"/>
      <c r="CUY25" s="89"/>
      <c r="CUZ25" s="89"/>
      <c r="CVA25" s="89"/>
      <c r="CVB25" s="89"/>
      <c r="CVC25" s="89"/>
      <c r="CVD25" s="89"/>
      <c r="CVE25" s="89"/>
      <c r="CVF25" s="89"/>
      <c r="CVG25" s="89"/>
      <c r="CVH25" s="89"/>
      <c r="CVI25" s="89"/>
      <c r="CVJ25" s="89"/>
      <c r="CVK25" s="89"/>
      <c r="CVL25" s="89"/>
      <c r="CVM25" s="89"/>
      <c r="CVN25" s="89"/>
      <c r="CVO25" s="89"/>
      <c r="CVP25" s="89"/>
      <c r="CVQ25" s="89"/>
      <c r="CVR25" s="89"/>
      <c r="CVS25" s="89"/>
      <c r="CVT25" s="89"/>
      <c r="CVU25" s="89"/>
      <c r="CVV25" s="89"/>
      <c r="CVW25" s="89"/>
      <c r="CVX25" s="89"/>
      <c r="CVY25" s="89"/>
      <c r="CVZ25" s="89"/>
      <c r="CWA25" s="89"/>
      <c r="CWB25" s="89"/>
      <c r="CWC25" s="89"/>
      <c r="CWD25" s="89"/>
      <c r="CWE25" s="89"/>
      <c r="CWF25" s="89"/>
      <c r="CWG25" s="89"/>
      <c r="CWH25" s="89"/>
      <c r="CWI25" s="89"/>
      <c r="CWJ25" s="89"/>
      <c r="CWK25" s="89"/>
      <c r="CWL25" s="89"/>
      <c r="CWM25" s="89"/>
      <c r="CWN25" s="89"/>
      <c r="CWO25" s="89"/>
      <c r="CWP25" s="89"/>
      <c r="CWQ25" s="89"/>
      <c r="CWR25" s="89"/>
      <c r="CWS25" s="89"/>
      <c r="CWT25" s="89"/>
      <c r="CWU25" s="89"/>
      <c r="CWV25" s="89"/>
      <c r="CWW25" s="89"/>
      <c r="CWX25" s="89"/>
      <c r="CWY25" s="89"/>
      <c r="CWZ25" s="89"/>
      <c r="CXA25" s="89"/>
      <c r="CXB25" s="89"/>
      <c r="CXC25" s="89"/>
      <c r="CXD25" s="89"/>
      <c r="CXE25" s="89"/>
      <c r="CXF25" s="89"/>
      <c r="CXG25" s="89"/>
      <c r="CXH25" s="89"/>
      <c r="CXI25" s="89"/>
      <c r="CXJ25" s="89"/>
      <c r="CXK25" s="89"/>
      <c r="CXL25" s="89"/>
      <c r="CXM25" s="89"/>
      <c r="CXN25" s="89"/>
      <c r="CXO25" s="89"/>
      <c r="CXP25" s="89"/>
      <c r="CXQ25" s="89"/>
      <c r="CXR25" s="89"/>
      <c r="CXS25" s="89"/>
      <c r="CXT25" s="89"/>
      <c r="CXU25" s="89"/>
      <c r="CXV25" s="89"/>
      <c r="CXW25" s="89"/>
      <c r="CXX25" s="89"/>
      <c r="CXY25" s="89"/>
      <c r="CXZ25" s="89"/>
      <c r="CYA25" s="89"/>
      <c r="CYB25" s="89"/>
      <c r="CYC25" s="89"/>
      <c r="CYD25" s="89"/>
      <c r="CYE25" s="89"/>
      <c r="CYF25" s="89"/>
      <c r="CYG25" s="89"/>
      <c r="CYH25" s="89"/>
      <c r="CYI25" s="89"/>
      <c r="CYJ25" s="89"/>
      <c r="CYK25" s="89"/>
      <c r="CYL25" s="89"/>
      <c r="CYM25" s="89"/>
      <c r="CYN25" s="89"/>
      <c r="CYO25" s="89"/>
      <c r="CYP25" s="89"/>
      <c r="CYQ25" s="89"/>
      <c r="CYR25" s="89"/>
      <c r="CYS25" s="89"/>
      <c r="CYT25" s="89"/>
      <c r="CYU25" s="89"/>
      <c r="CYV25" s="89"/>
      <c r="CYW25" s="89"/>
      <c r="CYX25" s="89"/>
      <c r="CYY25" s="89"/>
      <c r="CYZ25" s="89"/>
      <c r="CZA25" s="89"/>
      <c r="CZB25" s="89"/>
      <c r="CZC25" s="89"/>
      <c r="CZD25" s="89"/>
      <c r="CZE25" s="89"/>
      <c r="CZF25" s="89"/>
      <c r="CZG25" s="89"/>
      <c r="CZH25" s="89"/>
      <c r="CZI25" s="89"/>
      <c r="CZJ25" s="89"/>
      <c r="CZK25" s="89"/>
      <c r="CZL25" s="89"/>
      <c r="CZM25" s="89"/>
      <c r="CZN25" s="89"/>
      <c r="CZO25" s="89"/>
      <c r="CZP25" s="89"/>
      <c r="CZQ25" s="89"/>
      <c r="CZR25" s="89"/>
      <c r="CZS25" s="89"/>
      <c r="CZT25" s="89"/>
      <c r="CZU25" s="89"/>
      <c r="CZV25" s="89"/>
      <c r="CZW25" s="89"/>
      <c r="CZX25" s="89"/>
      <c r="CZY25" s="89"/>
      <c r="CZZ25" s="89"/>
      <c r="DAA25" s="89"/>
      <c r="DAB25" s="89"/>
      <c r="DAC25" s="89"/>
      <c r="DAD25" s="89"/>
      <c r="DAE25" s="89"/>
      <c r="DAF25" s="89"/>
      <c r="DAG25" s="89"/>
      <c r="DAH25" s="89"/>
      <c r="DAI25" s="89"/>
      <c r="DAJ25" s="89"/>
      <c r="DAK25" s="89"/>
      <c r="DAL25" s="89"/>
      <c r="DAM25" s="89"/>
      <c r="DAN25" s="89"/>
      <c r="DAO25" s="89"/>
      <c r="DAP25" s="89"/>
      <c r="DAQ25" s="89"/>
      <c r="DAR25" s="89"/>
      <c r="DAS25" s="89"/>
      <c r="DAT25" s="89"/>
      <c r="DAU25" s="89"/>
      <c r="DAV25" s="89"/>
      <c r="DAW25" s="89"/>
      <c r="DAX25" s="89"/>
      <c r="DAY25" s="89"/>
      <c r="DAZ25" s="89"/>
      <c r="DBA25" s="89"/>
      <c r="DBB25" s="89"/>
      <c r="DBC25" s="89"/>
      <c r="DBD25" s="89"/>
      <c r="DBE25" s="89"/>
      <c r="DBF25" s="89"/>
      <c r="DBG25" s="89"/>
      <c r="DBH25" s="89"/>
      <c r="DBI25" s="89"/>
      <c r="DBJ25" s="89"/>
      <c r="DBK25" s="89"/>
      <c r="DBL25" s="89"/>
      <c r="DBM25" s="89"/>
      <c r="DBN25" s="89"/>
      <c r="DBO25" s="89"/>
      <c r="DBP25" s="89"/>
      <c r="DBQ25" s="89"/>
      <c r="DBR25" s="89"/>
      <c r="DBS25" s="89"/>
      <c r="DBT25" s="89"/>
      <c r="DBU25" s="89"/>
      <c r="DBV25" s="89"/>
      <c r="DBW25" s="89"/>
      <c r="DBX25" s="89"/>
      <c r="DBY25" s="89"/>
      <c r="DBZ25" s="89"/>
      <c r="DCA25" s="89"/>
      <c r="DCB25" s="89"/>
      <c r="DCC25" s="89"/>
      <c r="DCD25" s="89"/>
      <c r="DCE25" s="89"/>
      <c r="DCF25" s="89"/>
      <c r="DCG25" s="89"/>
      <c r="DCH25" s="89"/>
      <c r="DCI25" s="89"/>
      <c r="DCJ25" s="89"/>
      <c r="DCK25" s="89"/>
      <c r="DCL25" s="89"/>
      <c r="DCM25" s="89"/>
      <c r="DCN25" s="89"/>
      <c r="DCO25" s="89"/>
      <c r="DCP25" s="89"/>
      <c r="DCQ25" s="89"/>
      <c r="DCR25" s="89"/>
      <c r="DCS25" s="89"/>
      <c r="DCT25" s="89"/>
      <c r="DCU25" s="89"/>
      <c r="DCV25" s="89"/>
      <c r="DCW25" s="89"/>
      <c r="DCX25" s="89"/>
      <c r="DCY25" s="89"/>
      <c r="DCZ25" s="89"/>
      <c r="DDA25" s="89"/>
      <c r="DDB25" s="89"/>
      <c r="DDC25" s="89"/>
      <c r="DDD25" s="89"/>
      <c r="DDE25" s="89"/>
      <c r="DDF25" s="89"/>
      <c r="DDG25" s="89"/>
      <c r="DDH25" s="89"/>
      <c r="DDI25" s="89"/>
      <c r="DDJ25" s="89"/>
      <c r="DDK25" s="89"/>
      <c r="DDL25" s="89"/>
      <c r="DDM25" s="89"/>
      <c r="DDN25" s="89"/>
      <c r="DDO25" s="89"/>
      <c r="DDP25" s="89"/>
      <c r="DDQ25" s="89"/>
      <c r="DDR25" s="89"/>
      <c r="DDS25" s="89"/>
      <c r="DDT25" s="89"/>
      <c r="DDU25" s="89"/>
      <c r="DDV25" s="89"/>
      <c r="DDW25" s="89"/>
      <c r="DDX25" s="89"/>
      <c r="DDY25" s="89"/>
      <c r="DDZ25" s="89"/>
      <c r="DEA25" s="89"/>
      <c r="DEB25" s="89"/>
      <c r="DEC25" s="89"/>
      <c r="DED25" s="89"/>
      <c r="DEE25" s="89"/>
      <c r="DEF25" s="89"/>
      <c r="DEG25" s="89"/>
      <c r="DEH25" s="89"/>
      <c r="DEI25" s="89"/>
      <c r="DEJ25" s="89"/>
      <c r="DEK25" s="89"/>
      <c r="DEL25" s="89"/>
      <c r="DEM25" s="89"/>
      <c r="DEN25" s="89"/>
      <c r="DEO25" s="89"/>
      <c r="DEP25" s="89"/>
      <c r="DEQ25" s="89"/>
      <c r="DER25" s="89"/>
      <c r="DES25" s="89"/>
      <c r="DET25" s="89"/>
      <c r="DEU25" s="89"/>
      <c r="DEV25" s="89"/>
      <c r="DEW25" s="89"/>
      <c r="DEX25" s="89"/>
      <c r="DEY25" s="89"/>
      <c r="DEZ25" s="89"/>
      <c r="DFA25" s="89"/>
      <c r="DFB25" s="89"/>
      <c r="DFC25" s="89"/>
      <c r="DFD25" s="89"/>
      <c r="DFE25" s="89"/>
      <c r="DFF25" s="89"/>
      <c r="DFG25" s="89"/>
      <c r="DFH25" s="89"/>
      <c r="DFI25" s="89"/>
      <c r="DFJ25" s="89"/>
      <c r="DFK25" s="89"/>
      <c r="DFL25" s="89"/>
      <c r="DFM25" s="89"/>
      <c r="DFN25" s="89"/>
      <c r="DFO25" s="89"/>
      <c r="DFP25" s="89"/>
      <c r="DFQ25" s="89"/>
      <c r="DFR25" s="89"/>
      <c r="DFS25" s="89"/>
      <c r="DFT25" s="89"/>
      <c r="DFU25" s="89"/>
      <c r="DFV25" s="89"/>
      <c r="DFW25" s="89"/>
      <c r="DFX25" s="89"/>
      <c r="DFY25" s="89"/>
      <c r="DFZ25" s="89"/>
      <c r="DGA25" s="89"/>
      <c r="DGB25" s="89"/>
      <c r="DGC25" s="89"/>
      <c r="DGD25" s="89"/>
      <c r="DGE25" s="89"/>
      <c r="DGF25" s="89"/>
      <c r="DGG25" s="89"/>
      <c r="DGH25" s="89"/>
      <c r="DGI25" s="89"/>
      <c r="DGJ25" s="89"/>
      <c r="DGK25" s="89"/>
      <c r="DGL25" s="89"/>
      <c r="DGM25" s="89"/>
      <c r="DGN25" s="89"/>
      <c r="DGO25" s="89"/>
      <c r="DGP25" s="89"/>
      <c r="DGQ25" s="89"/>
      <c r="DGR25" s="89"/>
      <c r="DGS25" s="89"/>
      <c r="DGT25" s="89"/>
      <c r="DGU25" s="89"/>
      <c r="DGV25" s="89"/>
      <c r="DGW25" s="89"/>
      <c r="DGX25" s="89"/>
      <c r="DGY25" s="89"/>
      <c r="DGZ25" s="89"/>
      <c r="DHA25" s="89"/>
      <c r="DHB25" s="89"/>
      <c r="DHC25" s="89"/>
      <c r="DHD25" s="89"/>
      <c r="DHE25" s="89"/>
      <c r="DHF25" s="89"/>
      <c r="DHG25" s="89"/>
      <c r="DHH25" s="89"/>
      <c r="DHI25" s="89"/>
      <c r="DHJ25" s="89"/>
      <c r="DHK25" s="89"/>
      <c r="DHL25" s="89"/>
      <c r="DHM25" s="89"/>
      <c r="DHN25" s="89"/>
      <c r="DHO25" s="89"/>
      <c r="DHP25" s="89"/>
      <c r="DHQ25" s="89"/>
      <c r="DHR25" s="89"/>
      <c r="DHS25" s="89"/>
      <c r="DHT25" s="89"/>
      <c r="DHU25" s="89"/>
      <c r="DHV25" s="89"/>
      <c r="DHW25" s="89"/>
      <c r="DHX25" s="89"/>
      <c r="DHY25" s="89"/>
      <c r="DHZ25" s="89"/>
      <c r="DIA25" s="89"/>
      <c r="DIB25" s="89"/>
      <c r="DIC25" s="89"/>
      <c r="DID25" s="89"/>
      <c r="DIE25" s="89"/>
      <c r="DIF25" s="89"/>
      <c r="DIG25" s="89"/>
      <c r="DIH25" s="89"/>
      <c r="DII25" s="89"/>
      <c r="DIJ25" s="89"/>
      <c r="DIK25" s="89"/>
      <c r="DIL25" s="89"/>
      <c r="DIM25" s="89"/>
      <c r="DIN25" s="89"/>
      <c r="DIO25" s="89"/>
      <c r="DIP25" s="89"/>
      <c r="DIQ25" s="89"/>
      <c r="DIR25" s="89"/>
      <c r="DIS25" s="89"/>
      <c r="DIT25" s="89"/>
      <c r="DIU25" s="89"/>
      <c r="DIV25" s="89"/>
      <c r="DIW25" s="89"/>
      <c r="DIX25" s="89"/>
      <c r="DIY25" s="89"/>
      <c r="DIZ25" s="89"/>
      <c r="DJA25" s="89"/>
      <c r="DJB25" s="89"/>
      <c r="DJC25" s="89"/>
      <c r="DJD25" s="89"/>
      <c r="DJE25" s="89"/>
      <c r="DJF25" s="89"/>
      <c r="DJG25" s="89"/>
      <c r="DJH25" s="89"/>
      <c r="DJI25" s="89"/>
      <c r="DJJ25" s="89"/>
      <c r="DJK25" s="89"/>
      <c r="DJL25" s="89"/>
      <c r="DJM25" s="89"/>
      <c r="DJN25" s="89"/>
      <c r="DJO25" s="89"/>
      <c r="DJP25" s="89"/>
      <c r="DJQ25" s="89"/>
      <c r="DJR25" s="89"/>
      <c r="DJS25" s="89"/>
      <c r="DJT25" s="89"/>
      <c r="DJU25" s="89"/>
      <c r="DJV25" s="89"/>
      <c r="DJW25" s="89"/>
      <c r="DJX25" s="89"/>
      <c r="DJY25" s="89"/>
      <c r="DJZ25" s="89"/>
      <c r="DKA25" s="89"/>
      <c r="DKB25" s="89"/>
      <c r="DKC25" s="89"/>
      <c r="DKD25" s="89"/>
      <c r="DKE25" s="89"/>
      <c r="DKF25" s="89"/>
      <c r="DKG25" s="89"/>
      <c r="DKH25" s="89"/>
      <c r="DKI25" s="89"/>
      <c r="DKJ25" s="89"/>
      <c r="DKK25" s="89"/>
      <c r="DKL25" s="89"/>
      <c r="DKM25" s="89"/>
      <c r="DKN25" s="89"/>
      <c r="DKO25" s="89"/>
      <c r="DKP25" s="89"/>
      <c r="DKQ25" s="89"/>
      <c r="DKR25" s="89"/>
      <c r="DKS25" s="89"/>
      <c r="DKT25" s="89"/>
      <c r="DKU25" s="89"/>
      <c r="DKV25" s="89"/>
      <c r="DKW25" s="89"/>
      <c r="DKX25" s="89"/>
      <c r="DKY25" s="89"/>
      <c r="DKZ25" s="89"/>
      <c r="DLA25" s="89"/>
      <c r="DLB25" s="89"/>
      <c r="DLC25" s="89"/>
      <c r="DLD25" s="89"/>
      <c r="DLE25" s="89"/>
      <c r="DLF25" s="89"/>
      <c r="DLG25" s="89"/>
      <c r="DLH25" s="89"/>
      <c r="DLI25" s="89"/>
      <c r="DLJ25" s="89"/>
      <c r="DLK25" s="89"/>
      <c r="DLL25" s="89"/>
      <c r="DLM25" s="89"/>
      <c r="DLN25" s="89"/>
      <c r="DLO25" s="89"/>
      <c r="DLP25" s="89"/>
      <c r="DLQ25" s="89"/>
      <c r="DLR25" s="89"/>
      <c r="DLS25" s="89"/>
      <c r="DLT25" s="89"/>
      <c r="DLU25" s="89"/>
      <c r="DLV25" s="89"/>
      <c r="DLW25" s="89"/>
      <c r="DLX25" s="89"/>
      <c r="DLY25" s="89"/>
      <c r="DLZ25" s="89"/>
      <c r="DMA25" s="89"/>
      <c r="DMB25" s="89"/>
      <c r="DMC25" s="89"/>
      <c r="DMD25" s="89"/>
      <c r="DME25" s="89"/>
      <c r="DMF25" s="89"/>
      <c r="DMG25" s="89"/>
      <c r="DMH25" s="89"/>
      <c r="DMI25" s="89"/>
      <c r="DMJ25" s="89"/>
      <c r="DMK25" s="89"/>
      <c r="DML25" s="89"/>
      <c r="DMM25" s="89"/>
      <c r="DMN25" s="89"/>
      <c r="DMO25" s="89"/>
      <c r="DMP25" s="89"/>
      <c r="DMQ25" s="89"/>
      <c r="DMR25" s="89"/>
      <c r="DMS25" s="89"/>
      <c r="DMT25" s="89"/>
      <c r="DMU25" s="89"/>
      <c r="DMV25" s="89"/>
      <c r="DMW25" s="89"/>
      <c r="DMX25" s="89"/>
      <c r="DMY25" s="89"/>
      <c r="DMZ25" s="89"/>
      <c r="DNA25" s="89"/>
      <c r="DNB25" s="89"/>
      <c r="DNC25" s="89"/>
      <c r="DND25" s="89"/>
      <c r="DNE25" s="89"/>
      <c r="DNF25" s="89"/>
      <c r="DNG25" s="89"/>
      <c r="DNH25" s="89"/>
      <c r="DNI25" s="89"/>
      <c r="DNJ25" s="89"/>
      <c r="DNK25" s="89"/>
      <c r="DNL25" s="89"/>
      <c r="DNM25" s="89"/>
      <c r="DNN25" s="89"/>
      <c r="DNO25" s="89"/>
      <c r="DNP25" s="89"/>
      <c r="DNQ25" s="89"/>
      <c r="DNR25" s="89"/>
      <c r="DNS25" s="89"/>
      <c r="DNT25" s="89"/>
      <c r="DNU25" s="89"/>
      <c r="DNV25" s="89"/>
      <c r="DNW25" s="89"/>
      <c r="DNX25" s="89"/>
      <c r="DNY25" s="89"/>
      <c r="DNZ25" s="89"/>
      <c r="DOA25" s="89"/>
      <c r="DOB25" s="89"/>
      <c r="DOC25" s="89"/>
      <c r="DOD25" s="89"/>
      <c r="DOE25" s="89"/>
      <c r="DOF25" s="89"/>
      <c r="DOG25" s="89"/>
      <c r="DOH25" s="89"/>
      <c r="DOI25" s="89"/>
      <c r="DOJ25" s="89"/>
      <c r="DOK25" s="89"/>
      <c r="DOL25" s="89"/>
      <c r="DOM25" s="89"/>
      <c r="DON25" s="89"/>
      <c r="DOO25" s="89"/>
      <c r="DOP25" s="89"/>
      <c r="DOQ25" s="89"/>
      <c r="DOR25" s="89"/>
      <c r="DOS25" s="89"/>
      <c r="DOT25" s="89"/>
      <c r="DOU25" s="89"/>
      <c r="DOV25" s="89"/>
      <c r="DOW25" s="89"/>
      <c r="DOX25" s="89"/>
      <c r="DOY25" s="89"/>
      <c r="DOZ25" s="89"/>
      <c r="DPA25" s="89"/>
      <c r="DPB25" s="89"/>
      <c r="DPC25" s="89"/>
      <c r="DPD25" s="89"/>
      <c r="DPE25" s="89"/>
      <c r="DPF25" s="89"/>
      <c r="DPG25" s="89"/>
      <c r="DPH25" s="89"/>
      <c r="DPI25" s="89"/>
      <c r="DPJ25" s="89"/>
      <c r="DPK25" s="89"/>
      <c r="DPL25" s="89"/>
      <c r="DPM25" s="89"/>
      <c r="DPN25" s="89"/>
      <c r="DPO25" s="89"/>
      <c r="DPP25" s="89"/>
      <c r="DPQ25" s="89"/>
      <c r="DPR25" s="89"/>
      <c r="DPS25" s="89"/>
      <c r="DPT25" s="89"/>
      <c r="DPU25" s="89"/>
      <c r="DPV25" s="89"/>
      <c r="DPW25" s="89"/>
      <c r="DPX25" s="89"/>
      <c r="DPY25" s="89"/>
      <c r="DPZ25" s="89"/>
      <c r="DQA25" s="89"/>
      <c r="DQB25" s="89"/>
      <c r="DQC25" s="89"/>
      <c r="DQD25" s="89"/>
      <c r="DQE25" s="89"/>
      <c r="DQF25" s="89"/>
      <c r="DQG25" s="89"/>
      <c r="DQH25" s="89"/>
      <c r="DQI25" s="89"/>
      <c r="DQJ25" s="89"/>
      <c r="DQK25" s="89"/>
      <c r="DQL25" s="89"/>
      <c r="DQM25" s="89"/>
      <c r="DQN25" s="89"/>
      <c r="DQO25" s="89"/>
      <c r="DQP25" s="89"/>
      <c r="DQQ25" s="89"/>
      <c r="DQR25" s="89"/>
      <c r="DQS25" s="89"/>
      <c r="DQT25" s="89"/>
      <c r="DQU25" s="89"/>
      <c r="DQV25" s="89"/>
      <c r="DQW25" s="89"/>
      <c r="DQX25" s="89"/>
      <c r="DQY25" s="89"/>
      <c r="DQZ25" s="89"/>
      <c r="DRA25" s="89"/>
      <c r="DRB25" s="89"/>
      <c r="DRC25" s="89"/>
      <c r="DRD25" s="89"/>
      <c r="DRE25" s="89"/>
      <c r="DRF25" s="89"/>
      <c r="DRG25" s="89"/>
      <c r="DRH25" s="89"/>
      <c r="DRI25" s="89"/>
      <c r="DRJ25" s="89"/>
      <c r="DRK25" s="89"/>
      <c r="DRL25" s="89"/>
      <c r="DRM25" s="89"/>
      <c r="DRN25" s="89"/>
      <c r="DRO25" s="89"/>
      <c r="DRP25" s="89"/>
      <c r="DRQ25" s="89"/>
      <c r="DRR25" s="89"/>
      <c r="DRS25" s="89"/>
      <c r="DRT25" s="89"/>
      <c r="DRU25" s="89"/>
      <c r="DRV25" s="89"/>
      <c r="DRW25" s="89"/>
      <c r="DRX25" s="89"/>
      <c r="DRY25" s="89"/>
      <c r="DRZ25" s="89"/>
      <c r="DSA25" s="89"/>
      <c r="DSB25" s="89"/>
      <c r="DSC25" s="89"/>
      <c r="DSD25" s="89"/>
      <c r="DSE25" s="89"/>
      <c r="DSF25" s="89"/>
      <c r="DSG25" s="89"/>
      <c r="DSH25" s="89"/>
      <c r="DSI25" s="89"/>
      <c r="DSJ25" s="89"/>
      <c r="DSK25" s="89"/>
      <c r="DSL25" s="89"/>
      <c r="DSM25" s="89"/>
      <c r="DSN25" s="89"/>
      <c r="DSO25" s="89"/>
      <c r="DSP25" s="89"/>
      <c r="DSQ25" s="89"/>
      <c r="DSR25" s="89"/>
      <c r="DSS25" s="89"/>
      <c r="DST25" s="89"/>
      <c r="DSU25" s="89"/>
      <c r="DSV25" s="89"/>
      <c r="DSW25" s="89"/>
      <c r="DSX25" s="89"/>
      <c r="DSY25" s="89"/>
      <c r="DSZ25" s="89"/>
      <c r="DTA25" s="89"/>
      <c r="DTB25" s="89"/>
      <c r="DTC25" s="89"/>
      <c r="DTD25" s="89"/>
      <c r="DTE25" s="89"/>
      <c r="DTF25" s="89"/>
      <c r="DTG25" s="89"/>
      <c r="DTH25" s="89"/>
      <c r="DTI25" s="89"/>
      <c r="DTJ25" s="89"/>
      <c r="DTK25" s="89"/>
      <c r="DTL25" s="89"/>
      <c r="DTM25" s="89"/>
      <c r="DTN25" s="89"/>
      <c r="DTO25" s="89"/>
      <c r="DTP25" s="89"/>
      <c r="DTQ25" s="89"/>
      <c r="DTR25" s="89"/>
      <c r="DTS25" s="89"/>
      <c r="DTT25" s="89"/>
      <c r="DTU25" s="89"/>
      <c r="DTV25" s="89"/>
      <c r="DTW25" s="89"/>
      <c r="DTX25" s="89"/>
      <c r="DTY25" s="89"/>
      <c r="DTZ25" s="89"/>
      <c r="DUA25" s="89"/>
      <c r="DUB25" s="89"/>
      <c r="DUC25" s="89"/>
      <c r="DUD25" s="89"/>
      <c r="DUE25" s="89"/>
      <c r="DUF25" s="89"/>
      <c r="DUG25" s="89"/>
      <c r="DUH25" s="89"/>
      <c r="DUI25" s="89"/>
      <c r="DUJ25" s="89"/>
      <c r="DUK25" s="89"/>
      <c r="DUL25" s="89"/>
      <c r="DUM25" s="89"/>
      <c r="DUN25" s="89"/>
      <c r="DUO25" s="89"/>
      <c r="DUP25" s="89"/>
      <c r="DUQ25" s="89"/>
      <c r="DUR25" s="89"/>
      <c r="DUS25" s="89"/>
      <c r="DUT25" s="89"/>
      <c r="DUU25" s="89"/>
      <c r="DUV25" s="89"/>
      <c r="DUW25" s="89"/>
      <c r="DUX25" s="89"/>
      <c r="DUY25" s="89"/>
      <c r="DUZ25" s="89"/>
      <c r="DVA25" s="89"/>
      <c r="DVB25" s="89"/>
      <c r="DVC25" s="89"/>
      <c r="DVD25" s="89"/>
      <c r="DVE25" s="89"/>
      <c r="DVF25" s="89"/>
      <c r="DVG25" s="89"/>
      <c r="DVH25" s="89"/>
      <c r="DVI25" s="89"/>
      <c r="DVJ25" s="89"/>
      <c r="DVK25" s="89"/>
      <c r="DVL25" s="89"/>
      <c r="DVM25" s="89"/>
      <c r="DVN25" s="89"/>
      <c r="DVO25" s="89"/>
      <c r="DVP25" s="89"/>
      <c r="DVQ25" s="89"/>
      <c r="DVR25" s="89"/>
      <c r="DVS25" s="89"/>
      <c r="DVT25" s="89"/>
      <c r="DVU25" s="89"/>
      <c r="DVV25" s="89"/>
      <c r="DVW25" s="89"/>
      <c r="DVX25" s="89"/>
      <c r="DVY25" s="89"/>
      <c r="DVZ25" s="89"/>
      <c r="DWA25" s="89"/>
      <c r="DWB25" s="89"/>
      <c r="DWC25" s="89"/>
      <c r="DWD25" s="89"/>
      <c r="DWE25" s="89"/>
      <c r="DWF25" s="89"/>
      <c r="DWG25" s="89"/>
      <c r="DWH25" s="89"/>
      <c r="DWI25" s="89"/>
      <c r="DWJ25" s="89"/>
      <c r="DWK25" s="89"/>
      <c r="DWL25" s="89"/>
      <c r="DWM25" s="89"/>
      <c r="DWN25" s="89"/>
      <c r="DWO25" s="89"/>
      <c r="DWP25" s="89"/>
      <c r="DWQ25" s="89"/>
      <c r="DWR25" s="89"/>
      <c r="DWS25" s="89"/>
      <c r="DWT25" s="89"/>
      <c r="DWU25" s="89"/>
      <c r="DWV25" s="89"/>
      <c r="DWW25" s="89"/>
      <c r="DWX25" s="89"/>
      <c r="DWY25" s="89"/>
      <c r="DWZ25" s="89"/>
      <c r="DXA25" s="89"/>
      <c r="DXB25" s="89"/>
      <c r="DXC25" s="89"/>
      <c r="DXD25" s="89"/>
      <c r="DXE25" s="89"/>
      <c r="DXF25" s="89"/>
      <c r="DXG25" s="89"/>
      <c r="DXH25" s="89"/>
      <c r="DXI25" s="89"/>
      <c r="DXJ25" s="89"/>
      <c r="DXK25" s="89"/>
      <c r="DXL25" s="89"/>
      <c r="DXM25" s="89"/>
      <c r="DXN25" s="89"/>
      <c r="DXO25" s="89"/>
      <c r="DXP25" s="89"/>
      <c r="DXQ25" s="89"/>
      <c r="DXR25" s="89"/>
      <c r="DXS25" s="89"/>
      <c r="DXT25" s="89"/>
      <c r="DXU25" s="89"/>
      <c r="DXV25" s="89"/>
      <c r="DXW25" s="89"/>
      <c r="DXX25" s="89"/>
      <c r="DXY25" s="89"/>
      <c r="DXZ25" s="89"/>
      <c r="DYA25" s="89"/>
      <c r="DYB25" s="89"/>
      <c r="DYC25" s="89"/>
      <c r="DYD25" s="89"/>
      <c r="DYE25" s="89"/>
      <c r="DYF25" s="89"/>
      <c r="DYG25" s="89"/>
      <c r="DYH25" s="89"/>
      <c r="DYI25" s="89"/>
      <c r="DYJ25" s="89"/>
      <c r="DYK25" s="89"/>
      <c r="DYL25" s="89"/>
      <c r="DYM25" s="89"/>
      <c r="DYN25" s="89"/>
      <c r="DYO25" s="89"/>
      <c r="DYP25" s="89"/>
      <c r="DYQ25" s="89"/>
      <c r="DYR25" s="89"/>
      <c r="DYS25" s="89"/>
      <c r="DYT25" s="89"/>
      <c r="DYU25" s="89"/>
      <c r="DYV25" s="89"/>
      <c r="DYW25" s="89"/>
      <c r="DYX25" s="89"/>
      <c r="DYY25" s="89"/>
      <c r="DYZ25" s="89"/>
      <c r="DZA25" s="89"/>
      <c r="DZB25" s="89"/>
      <c r="DZC25" s="89"/>
      <c r="DZD25" s="89"/>
      <c r="DZE25" s="89"/>
      <c r="DZF25" s="89"/>
      <c r="DZG25" s="89"/>
      <c r="DZH25" s="89"/>
      <c r="DZI25" s="89"/>
      <c r="DZJ25" s="89"/>
      <c r="DZK25" s="89"/>
      <c r="DZL25" s="89"/>
      <c r="DZM25" s="89"/>
      <c r="DZN25" s="89"/>
      <c r="DZO25" s="89"/>
      <c r="DZP25" s="89"/>
      <c r="DZQ25" s="89"/>
      <c r="DZR25" s="89"/>
      <c r="DZS25" s="89"/>
      <c r="DZT25" s="89"/>
      <c r="DZU25" s="89"/>
      <c r="DZV25" s="89"/>
      <c r="DZW25" s="89"/>
      <c r="DZX25" s="89"/>
      <c r="DZY25" s="89"/>
      <c r="DZZ25" s="89"/>
      <c r="EAA25" s="89"/>
      <c r="EAB25" s="89"/>
      <c r="EAC25" s="89"/>
      <c r="EAD25" s="89"/>
      <c r="EAE25" s="89"/>
      <c r="EAF25" s="89"/>
      <c r="EAG25" s="89"/>
      <c r="EAH25" s="89"/>
      <c r="EAI25" s="89"/>
      <c r="EAJ25" s="89"/>
      <c r="EAK25" s="89"/>
      <c r="EAL25" s="89"/>
      <c r="EAM25" s="89"/>
      <c r="EAN25" s="89"/>
      <c r="EAO25" s="89"/>
      <c r="EAP25" s="89"/>
      <c r="EAQ25" s="89"/>
      <c r="EAR25" s="89"/>
      <c r="EAS25" s="89"/>
      <c r="EAT25" s="89"/>
      <c r="EAU25" s="89"/>
      <c r="EAV25" s="89"/>
      <c r="EAW25" s="89"/>
      <c r="EAX25" s="89"/>
      <c r="EAY25" s="89"/>
      <c r="EAZ25" s="89"/>
      <c r="EBA25" s="89"/>
      <c r="EBB25" s="89"/>
      <c r="EBC25" s="89"/>
      <c r="EBD25" s="89"/>
      <c r="EBE25" s="89"/>
      <c r="EBF25" s="89"/>
      <c r="EBG25" s="89"/>
      <c r="EBH25" s="89"/>
      <c r="EBI25" s="89"/>
      <c r="EBJ25" s="89"/>
      <c r="EBK25" s="89"/>
      <c r="EBL25" s="89"/>
      <c r="EBM25" s="89"/>
      <c r="EBN25" s="89"/>
      <c r="EBO25" s="89"/>
      <c r="EBP25" s="89"/>
      <c r="EBQ25" s="89"/>
      <c r="EBR25" s="89"/>
      <c r="EBS25" s="89"/>
      <c r="EBT25" s="89"/>
      <c r="EBU25" s="89"/>
      <c r="EBV25" s="89"/>
      <c r="EBW25" s="89"/>
      <c r="EBX25" s="89"/>
      <c r="EBY25" s="89"/>
      <c r="EBZ25" s="89"/>
      <c r="ECA25" s="89"/>
      <c r="ECB25" s="89"/>
      <c r="ECC25" s="89"/>
      <c r="ECD25" s="89"/>
      <c r="ECE25" s="89"/>
      <c r="ECF25" s="89"/>
      <c r="ECG25" s="89"/>
      <c r="ECH25" s="89"/>
      <c r="ECI25" s="89"/>
      <c r="ECJ25" s="89"/>
      <c r="ECK25" s="89"/>
      <c r="ECL25" s="89"/>
      <c r="ECM25" s="89"/>
      <c r="ECN25" s="89"/>
      <c r="ECO25" s="89"/>
      <c r="ECP25" s="89"/>
      <c r="ECQ25" s="89"/>
      <c r="ECR25" s="89"/>
      <c r="ECS25" s="89"/>
      <c r="ECT25" s="89"/>
      <c r="ECU25" s="89"/>
      <c r="ECV25" s="89"/>
      <c r="ECW25" s="89"/>
      <c r="ECX25" s="89"/>
      <c r="ECY25" s="89"/>
      <c r="ECZ25" s="89"/>
      <c r="EDA25" s="89"/>
      <c r="EDB25" s="89"/>
      <c r="EDC25" s="89"/>
      <c r="EDD25" s="89"/>
      <c r="EDE25" s="89"/>
      <c r="EDF25" s="89"/>
      <c r="EDG25" s="89"/>
      <c r="EDH25" s="89"/>
      <c r="EDI25" s="89"/>
      <c r="EDJ25" s="89"/>
      <c r="EDK25" s="89"/>
      <c r="EDL25" s="89"/>
      <c r="EDM25" s="89"/>
      <c r="EDN25" s="89"/>
      <c r="EDO25" s="89"/>
      <c r="EDP25" s="89"/>
      <c r="EDQ25" s="89"/>
      <c r="EDR25" s="89"/>
      <c r="EDS25" s="89"/>
      <c r="EDT25" s="89"/>
      <c r="EDU25" s="89"/>
      <c r="EDV25" s="89"/>
      <c r="EDW25" s="89"/>
      <c r="EDX25" s="89"/>
      <c r="EDY25" s="89"/>
      <c r="EDZ25" s="89"/>
      <c r="EEA25" s="89"/>
      <c r="EEB25" s="89"/>
      <c r="EEC25" s="89"/>
      <c r="EED25" s="89"/>
      <c r="EEE25" s="89"/>
      <c r="EEF25" s="89"/>
      <c r="EEG25" s="89"/>
      <c r="EEH25" s="89"/>
      <c r="EEI25" s="89"/>
      <c r="EEJ25" s="89"/>
      <c r="EEK25" s="89"/>
      <c r="EEL25" s="89"/>
      <c r="EEM25" s="89"/>
      <c r="EEN25" s="89"/>
      <c r="EEO25" s="89"/>
      <c r="EEP25" s="89"/>
      <c r="EEQ25" s="89"/>
      <c r="EER25" s="89"/>
      <c r="EES25" s="89"/>
      <c r="EET25" s="89"/>
      <c r="EEU25" s="89"/>
      <c r="EEV25" s="89"/>
      <c r="EEW25" s="89"/>
      <c r="EEX25" s="89"/>
      <c r="EEY25" s="89"/>
      <c r="EEZ25" s="89"/>
      <c r="EFA25" s="89"/>
      <c r="EFB25" s="89"/>
      <c r="EFC25" s="89"/>
      <c r="EFD25" s="89"/>
      <c r="EFE25" s="89"/>
      <c r="EFF25" s="89"/>
      <c r="EFG25" s="89"/>
      <c r="EFH25" s="89"/>
      <c r="EFI25" s="89"/>
      <c r="EFJ25" s="89"/>
      <c r="EFK25" s="89"/>
      <c r="EFL25" s="89"/>
      <c r="EFM25" s="89"/>
      <c r="EFN25" s="89"/>
      <c r="EFO25" s="89"/>
      <c r="EFP25" s="89"/>
      <c r="EFQ25" s="89"/>
      <c r="EFR25" s="89"/>
      <c r="EFS25" s="89"/>
      <c r="EFT25" s="89"/>
      <c r="EFU25" s="89"/>
      <c r="EFV25" s="89"/>
      <c r="EFW25" s="89"/>
      <c r="EFX25" s="89"/>
      <c r="EFY25" s="89"/>
      <c r="EFZ25" s="89"/>
      <c r="EGA25" s="89"/>
      <c r="EGB25" s="89"/>
      <c r="EGC25" s="89"/>
      <c r="EGD25" s="89"/>
      <c r="EGE25" s="89"/>
      <c r="EGF25" s="89"/>
      <c r="EGG25" s="89"/>
      <c r="EGH25" s="89"/>
      <c r="EGI25" s="89"/>
      <c r="EGJ25" s="89"/>
      <c r="EGK25" s="89"/>
      <c r="EGL25" s="89"/>
      <c r="EGM25" s="89"/>
      <c r="EGN25" s="89"/>
      <c r="EGO25" s="89"/>
      <c r="EGP25" s="89"/>
      <c r="EGQ25" s="89"/>
      <c r="EGR25" s="89"/>
      <c r="EGS25" s="89"/>
      <c r="EGT25" s="89"/>
      <c r="EGU25" s="89"/>
      <c r="EGV25" s="89"/>
      <c r="EGW25" s="89"/>
      <c r="EGX25" s="89"/>
      <c r="EGY25" s="89"/>
      <c r="EGZ25" s="89"/>
      <c r="EHA25" s="89"/>
      <c r="EHB25" s="89"/>
      <c r="EHC25" s="89"/>
      <c r="EHD25" s="89"/>
      <c r="EHE25" s="89"/>
      <c r="EHF25" s="89"/>
      <c r="EHG25" s="89"/>
      <c r="EHH25" s="89"/>
      <c r="EHI25" s="89"/>
      <c r="EHJ25" s="89"/>
      <c r="EHK25" s="89"/>
      <c r="EHL25" s="89"/>
      <c r="EHM25" s="89"/>
      <c r="EHN25" s="89"/>
      <c r="EHO25" s="89"/>
      <c r="EHP25" s="89"/>
      <c r="EHQ25" s="89"/>
      <c r="EHR25" s="89"/>
      <c r="EHS25" s="89"/>
      <c r="EHT25" s="89"/>
      <c r="EHU25" s="89"/>
      <c r="EHV25" s="89"/>
      <c r="EHW25" s="89"/>
      <c r="EHX25" s="89"/>
      <c r="EHY25" s="89"/>
      <c r="EHZ25" s="89"/>
      <c r="EIA25" s="89"/>
      <c r="EIB25" s="89"/>
      <c r="EIC25" s="89"/>
      <c r="EID25" s="89"/>
      <c r="EIE25" s="89"/>
      <c r="EIF25" s="89"/>
      <c r="EIG25" s="89"/>
      <c r="EIH25" s="89"/>
      <c r="EII25" s="89"/>
      <c r="EIJ25" s="89"/>
      <c r="EIK25" s="89"/>
      <c r="EIL25" s="89"/>
      <c r="EIM25" s="89"/>
      <c r="EIN25" s="89"/>
      <c r="EIO25" s="89"/>
      <c r="EIP25" s="89"/>
      <c r="EIQ25" s="89"/>
      <c r="EIR25" s="89"/>
      <c r="EIS25" s="89"/>
      <c r="EIT25" s="89"/>
      <c r="EIU25" s="89"/>
      <c r="EIV25" s="89"/>
      <c r="EIW25" s="89"/>
      <c r="EIX25" s="89"/>
      <c r="EIY25" s="89"/>
      <c r="EIZ25" s="89"/>
      <c r="EJA25" s="89"/>
      <c r="EJB25" s="89"/>
      <c r="EJC25" s="89"/>
      <c r="EJD25" s="89"/>
      <c r="EJE25" s="89"/>
      <c r="EJF25" s="89"/>
      <c r="EJG25" s="89"/>
      <c r="EJH25" s="89"/>
      <c r="EJI25" s="89"/>
      <c r="EJJ25" s="89"/>
      <c r="EJK25" s="89"/>
      <c r="EJL25" s="89"/>
      <c r="EJM25" s="89"/>
      <c r="EJN25" s="89"/>
      <c r="EJO25" s="89"/>
      <c r="EJP25" s="89"/>
      <c r="EJQ25" s="89"/>
      <c r="EJR25" s="89"/>
      <c r="EJS25" s="89"/>
      <c r="EJT25" s="89"/>
      <c r="EJU25" s="89"/>
      <c r="EJV25" s="89"/>
      <c r="EJW25" s="89"/>
      <c r="EJX25" s="89"/>
      <c r="EJY25" s="89"/>
      <c r="EJZ25" s="89"/>
      <c r="EKA25" s="89"/>
      <c r="EKB25" s="89"/>
      <c r="EKC25" s="89"/>
      <c r="EKD25" s="89"/>
      <c r="EKE25" s="89"/>
      <c r="EKF25" s="89"/>
      <c r="EKG25" s="89"/>
      <c r="EKH25" s="89"/>
      <c r="EKI25" s="89"/>
      <c r="EKJ25" s="89"/>
      <c r="EKK25" s="89"/>
      <c r="EKL25" s="89"/>
      <c r="EKM25" s="89"/>
      <c r="EKN25" s="89"/>
      <c r="EKO25" s="89"/>
      <c r="EKP25" s="89"/>
      <c r="EKQ25" s="89"/>
      <c r="EKR25" s="89"/>
      <c r="EKS25" s="89"/>
      <c r="EKT25" s="89"/>
      <c r="EKU25" s="89"/>
      <c r="EKV25" s="89"/>
      <c r="EKW25" s="89"/>
      <c r="EKX25" s="89"/>
      <c r="EKY25" s="89"/>
      <c r="EKZ25" s="89"/>
      <c r="ELA25" s="89"/>
      <c r="ELB25" s="89"/>
      <c r="ELC25" s="89"/>
      <c r="ELD25" s="89"/>
      <c r="ELE25" s="89"/>
      <c r="ELF25" s="89"/>
      <c r="ELG25" s="89"/>
      <c r="ELH25" s="89"/>
      <c r="ELI25" s="89"/>
      <c r="ELJ25" s="89"/>
      <c r="ELK25" s="89"/>
      <c r="ELL25" s="89"/>
      <c r="ELM25" s="89"/>
      <c r="ELN25" s="89"/>
      <c r="ELO25" s="89"/>
      <c r="ELP25" s="89"/>
      <c r="ELQ25" s="89"/>
      <c r="ELR25" s="89"/>
      <c r="ELS25" s="89"/>
      <c r="ELT25" s="89"/>
      <c r="ELU25" s="89"/>
      <c r="ELV25" s="89"/>
      <c r="ELW25" s="89"/>
      <c r="ELX25" s="89"/>
      <c r="ELY25" s="89"/>
      <c r="ELZ25" s="89"/>
      <c r="EMA25" s="89"/>
      <c r="EMB25" s="89"/>
      <c r="EMC25" s="89"/>
      <c r="EMD25" s="89"/>
      <c r="EME25" s="89"/>
      <c r="EMF25" s="89"/>
      <c r="EMG25" s="89"/>
      <c r="EMH25" s="89"/>
      <c r="EMI25" s="89"/>
      <c r="EMJ25" s="89"/>
      <c r="EMK25" s="89"/>
      <c r="EML25" s="89"/>
      <c r="EMM25" s="89"/>
      <c r="EMN25" s="89"/>
      <c r="EMO25" s="89"/>
      <c r="EMP25" s="89"/>
      <c r="EMQ25" s="89"/>
      <c r="EMR25" s="89"/>
      <c r="EMS25" s="89"/>
      <c r="EMT25" s="89"/>
      <c r="EMU25" s="89"/>
      <c r="EMV25" s="89"/>
      <c r="EMW25" s="89"/>
      <c r="EMX25" s="89"/>
      <c r="EMY25" s="89"/>
      <c r="EMZ25" s="89"/>
      <c r="ENA25" s="89"/>
      <c r="ENB25" s="89"/>
      <c r="ENC25" s="89"/>
      <c r="END25" s="89"/>
      <c r="ENE25" s="89"/>
      <c r="ENF25" s="89"/>
      <c r="ENG25" s="89"/>
      <c r="ENH25" s="89"/>
      <c r="ENI25" s="89"/>
      <c r="ENJ25" s="89"/>
      <c r="ENK25" s="89"/>
      <c r="ENL25" s="89"/>
      <c r="ENM25" s="89"/>
      <c r="ENN25" s="89"/>
      <c r="ENO25" s="89"/>
      <c r="ENP25" s="89"/>
      <c r="ENQ25" s="89"/>
      <c r="ENR25" s="89"/>
      <c r="ENS25" s="89"/>
      <c r="ENT25" s="89"/>
      <c r="ENU25" s="89"/>
      <c r="ENV25" s="89"/>
      <c r="ENW25" s="89"/>
      <c r="ENX25" s="89"/>
      <c r="ENY25" s="89"/>
      <c r="ENZ25" s="89"/>
      <c r="EOA25" s="89"/>
      <c r="EOB25" s="89"/>
      <c r="EOC25" s="89"/>
      <c r="EOD25" s="89"/>
      <c r="EOE25" s="89"/>
      <c r="EOF25" s="89"/>
      <c r="EOG25" s="89"/>
      <c r="EOH25" s="89"/>
      <c r="EOI25" s="89"/>
      <c r="EOJ25" s="89"/>
      <c r="EOK25" s="89"/>
      <c r="EOL25" s="89"/>
      <c r="EOM25" s="89"/>
      <c r="EON25" s="89"/>
      <c r="EOO25" s="89"/>
      <c r="EOP25" s="89"/>
      <c r="EOQ25" s="89"/>
      <c r="EOR25" s="89"/>
      <c r="EOS25" s="89"/>
      <c r="EOT25" s="89"/>
      <c r="EOU25" s="89"/>
      <c r="EOV25" s="89"/>
      <c r="EOW25" s="89"/>
      <c r="EOX25" s="89"/>
      <c r="EOY25" s="89"/>
      <c r="EOZ25" s="89"/>
      <c r="EPA25" s="89"/>
      <c r="EPB25" s="89"/>
      <c r="EPC25" s="89"/>
      <c r="EPD25" s="89"/>
      <c r="EPE25" s="89"/>
      <c r="EPF25" s="89"/>
      <c r="EPG25" s="89"/>
      <c r="EPH25" s="89"/>
      <c r="EPI25" s="89"/>
      <c r="EPJ25" s="89"/>
      <c r="EPK25" s="89"/>
      <c r="EPL25" s="89"/>
      <c r="EPM25" s="89"/>
      <c r="EPN25" s="89"/>
      <c r="EPO25" s="89"/>
      <c r="EPP25" s="89"/>
      <c r="EPQ25" s="89"/>
      <c r="EPR25" s="89"/>
      <c r="EPS25" s="89"/>
      <c r="EPT25" s="89"/>
      <c r="EPU25" s="89"/>
      <c r="EPV25" s="89"/>
      <c r="EPW25" s="89"/>
      <c r="EPX25" s="89"/>
      <c r="EPY25" s="89"/>
      <c r="EPZ25" s="89"/>
      <c r="EQA25" s="89"/>
      <c r="EQB25" s="89"/>
      <c r="EQC25" s="89"/>
      <c r="EQD25" s="89"/>
      <c r="EQE25" s="89"/>
      <c r="EQF25" s="89"/>
      <c r="EQG25" s="89"/>
      <c r="EQH25" s="89"/>
      <c r="EQI25" s="89"/>
      <c r="EQJ25" s="89"/>
      <c r="EQK25" s="89"/>
      <c r="EQL25" s="89"/>
      <c r="EQM25" s="89"/>
      <c r="EQN25" s="89"/>
      <c r="EQO25" s="89"/>
      <c r="EQP25" s="89"/>
      <c r="EQQ25" s="89"/>
      <c r="EQR25" s="89"/>
      <c r="EQS25" s="89"/>
      <c r="EQT25" s="89"/>
      <c r="EQU25" s="89"/>
      <c r="EQV25" s="89"/>
      <c r="EQW25" s="89"/>
      <c r="EQX25" s="89"/>
      <c r="EQY25" s="89"/>
      <c r="EQZ25" s="89"/>
      <c r="ERA25" s="89"/>
      <c r="ERB25" s="89"/>
      <c r="ERC25" s="89"/>
      <c r="ERD25" s="89"/>
      <c r="ERE25" s="89"/>
      <c r="ERF25" s="89"/>
      <c r="ERG25" s="89"/>
      <c r="ERH25" s="89"/>
      <c r="ERI25" s="89"/>
      <c r="ERJ25" s="89"/>
      <c r="ERK25" s="89"/>
      <c r="ERL25" s="89"/>
      <c r="ERM25" s="89"/>
      <c r="ERN25" s="89"/>
      <c r="ERO25" s="89"/>
      <c r="ERP25" s="89"/>
      <c r="ERQ25" s="89"/>
      <c r="ERR25" s="89"/>
      <c r="ERS25" s="89"/>
      <c r="ERT25" s="89"/>
      <c r="ERU25" s="89"/>
      <c r="ERV25" s="89"/>
      <c r="ERW25" s="89"/>
      <c r="ERX25" s="89"/>
      <c r="ERY25" s="89"/>
      <c r="ERZ25" s="89"/>
      <c r="ESA25" s="89"/>
      <c r="ESB25" s="89"/>
      <c r="ESC25" s="89"/>
      <c r="ESD25" s="89"/>
      <c r="ESE25" s="89"/>
      <c r="ESF25" s="89"/>
      <c r="ESG25" s="89"/>
      <c r="ESH25" s="89"/>
      <c r="ESI25" s="89"/>
      <c r="ESJ25" s="89"/>
      <c r="ESK25" s="89"/>
      <c r="ESL25" s="89"/>
      <c r="ESM25" s="89"/>
      <c r="ESN25" s="89"/>
      <c r="ESO25" s="89"/>
      <c r="ESP25" s="89"/>
      <c r="ESQ25" s="89"/>
      <c r="ESR25" s="89"/>
      <c r="ESS25" s="89"/>
      <c r="EST25" s="89"/>
      <c r="ESU25" s="89"/>
      <c r="ESV25" s="89"/>
      <c r="ESW25" s="89"/>
      <c r="ESX25" s="89"/>
      <c r="ESY25" s="89"/>
      <c r="ESZ25" s="89"/>
      <c r="ETA25" s="89"/>
      <c r="ETB25" s="89"/>
      <c r="ETC25" s="89"/>
      <c r="ETD25" s="89"/>
      <c r="ETE25" s="89"/>
      <c r="ETF25" s="89"/>
      <c r="ETG25" s="89"/>
      <c r="ETH25" s="89"/>
      <c r="ETI25" s="89"/>
      <c r="ETJ25" s="89"/>
      <c r="ETK25" s="89"/>
      <c r="ETL25" s="89"/>
      <c r="ETM25" s="89"/>
      <c r="ETN25" s="89"/>
      <c r="ETO25" s="89"/>
      <c r="ETP25" s="89"/>
      <c r="ETQ25" s="89"/>
      <c r="ETR25" s="89"/>
      <c r="ETS25" s="89"/>
      <c r="ETT25" s="89"/>
      <c r="ETU25" s="89"/>
      <c r="ETV25" s="89"/>
      <c r="ETW25" s="89"/>
      <c r="ETX25" s="89"/>
      <c r="ETY25" s="89"/>
      <c r="ETZ25" s="89"/>
      <c r="EUA25" s="89"/>
      <c r="EUB25" s="89"/>
      <c r="EUC25" s="89"/>
      <c r="EUD25" s="89"/>
      <c r="EUE25" s="89"/>
      <c r="EUF25" s="89"/>
      <c r="EUG25" s="89"/>
      <c r="EUH25" s="89"/>
      <c r="EUI25" s="89"/>
      <c r="EUJ25" s="89"/>
      <c r="EUK25" s="89"/>
      <c r="EUL25" s="89"/>
      <c r="EUM25" s="89"/>
      <c r="EUN25" s="89"/>
      <c r="EUO25" s="89"/>
      <c r="EUP25" s="89"/>
      <c r="EUQ25" s="89"/>
      <c r="EUR25" s="89"/>
      <c r="EUS25" s="89"/>
      <c r="EUT25" s="89"/>
      <c r="EUU25" s="89"/>
      <c r="EUV25" s="89"/>
      <c r="EUW25" s="89"/>
      <c r="EUX25" s="89"/>
      <c r="EUY25" s="89"/>
      <c r="EUZ25" s="89"/>
      <c r="EVA25" s="89"/>
      <c r="EVB25" s="89"/>
      <c r="EVC25" s="89"/>
      <c r="EVD25" s="89"/>
      <c r="EVE25" s="89"/>
      <c r="EVF25" s="89"/>
      <c r="EVG25" s="89"/>
      <c r="EVH25" s="89"/>
      <c r="EVI25" s="89"/>
      <c r="EVJ25" s="89"/>
      <c r="EVK25" s="89"/>
      <c r="EVL25" s="89"/>
      <c r="EVM25" s="89"/>
      <c r="EVN25" s="89"/>
      <c r="EVO25" s="89"/>
      <c r="EVP25" s="89"/>
      <c r="EVQ25" s="89"/>
      <c r="EVR25" s="89"/>
      <c r="EVS25" s="89"/>
      <c r="EVT25" s="89"/>
      <c r="EVU25" s="89"/>
      <c r="EVV25" s="89"/>
      <c r="EVW25" s="89"/>
      <c r="EVX25" s="89"/>
      <c r="EVY25" s="89"/>
      <c r="EVZ25" s="89"/>
      <c r="EWA25" s="89"/>
      <c r="EWB25" s="89"/>
      <c r="EWC25" s="89"/>
      <c r="EWD25" s="89"/>
      <c r="EWE25" s="89"/>
      <c r="EWF25" s="89"/>
      <c r="EWG25" s="89"/>
      <c r="EWH25" s="89"/>
      <c r="EWI25" s="89"/>
      <c r="EWJ25" s="89"/>
      <c r="EWK25" s="89"/>
      <c r="EWL25" s="89"/>
      <c r="EWM25" s="89"/>
      <c r="EWN25" s="89"/>
      <c r="EWO25" s="89"/>
      <c r="EWP25" s="89"/>
      <c r="EWQ25" s="89"/>
      <c r="EWR25" s="89"/>
      <c r="EWS25" s="89"/>
      <c r="EWT25" s="89"/>
      <c r="EWU25" s="89"/>
      <c r="EWV25" s="89"/>
      <c r="EWW25" s="89"/>
      <c r="EWX25" s="89"/>
      <c r="EWY25" s="89"/>
      <c r="EWZ25" s="89"/>
      <c r="EXA25" s="89"/>
      <c r="EXB25" s="89"/>
      <c r="EXC25" s="89"/>
      <c r="EXD25" s="89"/>
      <c r="EXE25" s="89"/>
      <c r="EXF25" s="89"/>
      <c r="EXG25" s="89"/>
      <c r="EXH25" s="89"/>
      <c r="EXI25" s="89"/>
      <c r="EXJ25" s="89"/>
      <c r="EXK25" s="89"/>
      <c r="EXL25" s="89"/>
      <c r="EXM25" s="89"/>
      <c r="EXN25" s="89"/>
      <c r="EXO25" s="89"/>
      <c r="EXP25" s="89"/>
      <c r="EXQ25" s="89"/>
      <c r="EXR25" s="89"/>
      <c r="EXS25" s="89"/>
      <c r="EXT25" s="89"/>
      <c r="EXU25" s="89"/>
      <c r="EXV25" s="89"/>
      <c r="EXW25" s="89"/>
      <c r="EXX25" s="89"/>
      <c r="EXY25" s="89"/>
      <c r="EXZ25" s="89"/>
      <c r="EYA25" s="89"/>
      <c r="EYB25" s="89"/>
      <c r="EYC25" s="89"/>
      <c r="EYD25" s="89"/>
      <c r="EYE25" s="89"/>
      <c r="EYF25" s="89"/>
      <c r="EYG25" s="89"/>
      <c r="EYH25" s="89"/>
      <c r="EYI25" s="89"/>
      <c r="EYJ25" s="89"/>
      <c r="EYK25" s="89"/>
      <c r="EYL25" s="89"/>
      <c r="EYM25" s="89"/>
      <c r="EYN25" s="89"/>
      <c r="EYO25" s="89"/>
      <c r="EYP25" s="89"/>
      <c r="EYQ25" s="89"/>
      <c r="EYR25" s="89"/>
      <c r="EYS25" s="89"/>
      <c r="EYT25" s="89"/>
      <c r="EYU25" s="89"/>
      <c r="EYV25" s="89"/>
      <c r="EYW25" s="89"/>
      <c r="EYX25" s="89"/>
      <c r="EYY25" s="89"/>
      <c r="EYZ25" s="89"/>
      <c r="EZA25" s="89"/>
      <c r="EZB25" s="89"/>
      <c r="EZC25" s="89"/>
      <c r="EZD25" s="89"/>
      <c r="EZE25" s="89"/>
      <c r="EZF25" s="89"/>
      <c r="EZG25" s="89"/>
      <c r="EZH25" s="89"/>
      <c r="EZI25" s="89"/>
      <c r="EZJ25" s="89"/>
      <c r="EZK25" s="89"/>
      <c r="EZL25" s="89"/>
      <c r="EZM25" s="89"/>
      <c r="EZN25" s="89"/>
      <c r="EZO25" s="89"/>
      <c r="EZP25" s="89"/>
      <c r="EZQ25" s="89"/>
      <c r="EZR25" s="89"/>
      <c r="EZS25" s="89"/>
      <c r="EZT25" s="89"/>
      <c r="EZU25" s="89"/>
      <c r="EZV25" s="89"/>
      <c r="EZW25" s="89"/>
      <c r="EZX25" s="89"/>
      <c r="EZY25" s="89"/>
      <c r="EZZ25" s="89"/>
      <c r="FAA25" s="89"/>
      <c r="FAB25" s="89"/>
      <c r="FAC25" s="89"/>
      <c r="FAD25" s="89"/>
      <c r="FAE25" s="89"/>
      <c r="FAF25" s="89"/>
      <c r="FAG25" s="89"/>
      <c r="FAH25" s="89"/>
      <c r="FAI25" s="89"/>
      <c r="FAJ25" s="89"/>
      <c r="FAK25" s="89"/>
      <c r="FAL25" s="89"/>
      <c r="FAM25" s="89"/>
      <c r="FAN25" s="89"/>
      <c r="FAO25" s="89"/>
      <c r="FAP25" s="89"/>
      <c r="FAQ25" s="89"/>
      <c r="FAR25" s="89"/>
      <c r="FAS25" s="89"/>
      <c r="FAT25" s="89"/>
      <c r="FAU25" s="89"/>
      <c r="FAV25" s="89"/>
      <c r="FAW25" s="89"/>
      <c r="FAX25" s="89"/>
      <c r="FAY25" s="89"/>
      <c r="FAZ25" s="89"/>
      <c r="FBA25" s="89"/>
      <c r="FBB25" s="89"/>
      <c r="FBC25" s="89"/>
      <c r="FBD25" s="89"/>
      <c r="FBE25" s="89"/>
      <c r="FBF25" s="89"/>
      <c r="FBG25" s="89"/>
      <c r="FBH25" s="89"/>
      <c r="FBI25" s="89"/>
      <c r="FBJ25" s="89"/>
      <c r="FBK25" s="89"/>
      <c r="FBL25" s="89"/>
      <c r="FBM25" s="89"/>
      <c r="FBN25" s="89"/>
      <c r="FBO25" s="89"/>
      <c r="FBP25" s="89"/>
      <c r="FBQ25" s="89"/>
      <c r="FBR25" s="89"/>
      <c r="FBS25" s="89"/>
      <c r="FBT25" s="89"/>
      <c r="FBU25" s="89"/>
      <c r="FBV25" s="89"/>
      <c r="FBW25" s="89"/>
      <c r="FBX25" s="89"/>
      <c r="FBY25" s="89"/>
      <c r="FBZ25" s="89"/>
      <c r="FCA25" s="89"/>
      <c r="FCB25" s="89"/>
      <c r="FCC25" s="89"/>
      <c r="FCD25" s="89"/>
      <c r="FCE25" s="89"/>
      <c r="FCF25" s="89"/>
      <c r="FCG25" s="89"/>
      <c r="FCH25" s="89"/>
      <c r="FCI25" s="89"/>
      <c r="FCJ25" s="89"/>
      <c r="FCK25" s="89"/>
      <c r="FCL25" s="89"/>
      <c r="FCM25" s="89"/>
      <c r="FCN25" s="89"/>
      <c r="FCO25" s="89"/>
      <c r="FCP25" s="89"/>
      <c r="FCQ25" s="89"/>
      <c r="FCR25" s="89"/>
      <c r="FCS25" s="89"/>
      <c r="FCT25" s="89"/>
      <c r="FCU25" s="89"/>
      <c r="FCV25" s="89"/>
      <c r="FCW25" s="89"/>
      <c r="FCX25" s="89"/>
      <c r="FCY25" s="89"/>
      <c r="FCZ25" s="89"/>
      <c r="FDA25" s="89"/>
      <c r="FDB25" s="89"/>
      <c r="FDC25" s="89"/>
      <c r="FDD25" s="89"/>
      <c r="FDE25" s="89"/>
      <c r="FDF25" s="89"/>
      <c r="FDG25" s="89"/>
      <c r="FDH25" s="89"/>
      <c r="FDI25" s="89"/>
      <c r="FDJ25" s="89"/>
      <c r="FDK25" s="89"/>
      <c r="FDL25" s="89"/>
      <c r="FDM25" s="89"/>
      <c r="FDN25" s="89"/>
      <c r="FDO25" s="89"/>
      <c r="FDP25" s="89"/>
      <c r="FDQ25" s="89"/>
      <c r="FDR25" s="89"/>
      <c r="FDS25" s="89"/>
      <c r="FDT25" s="89"/>
      <c r="FDU25" s="89"/>
      <c r="FDV25" s="89"/>
      <c r="FDW25" s="89"/>
      <c r="FDX25" s="89"/>
      <c r="FDY25" s="89"/>
      <c r="FDZ25" s="89"/>
      <c r="FEA25" s="89"/>
      <c r="FEB25" s="89"/>
      <c r="FEC25" s="89"/>
      <c r="FED25" s="89"/>
      <c r="FEE25" s="89"/>
      <c r="FEF25" s="89"/>
      <c r="FEG25" s="89"/>
      <c r="FEH25" s="89"/>
      <c r="FEI25" s="89"/>
      <c r="FEJ25" s="89"/>
      <c r="FEK25" s="89"/>
      <c r="FEL25" s="89"/>
      <c r="FEM25" s="89"/>
      <c r="FEN25" s="89"/>
      <c r="FEO25" s="89"/>
      <c r="FEP25" s="89"/>
      <c r="FEQ25" s="89"/>
      <c r="FER25" s="89"/>
      <c r="FES25" s="89"/>
      <c r="FET25" s="89"/>
      <c r="FEU25" s="89"/>
      <c r="FEV25" s="89"/>
      <c r="FEW25" s="89"/>
      <c r="FEX25" s="89"/>
      <c r="FEY25" s="89"/>
      <c r="FEZ25" s="89"/>
      <c r="FFA25" s="89"/>
      <c r="FFB25" s="89"/>
      <c r="FFC25" s="89"/>
      <c r="FFD25" s="89"/>
      <c r="FFE25" s="89"/>
      <c r="FFF25" s="89"/>
      <c r="FFG25" s="89"/>
      <c r="FFH25" s="89"/>
      <c r="FFI25" s="89"/>
      <c r="FFJ25" s="89"/>
      <c r="FFK25" s="89"/>
      <c r="FFL25" s="89"/>
      <c r="FFM25" s="89"/>
      <c r="FFN25" s="89"/>
      <c r="FFO25" s="89"/>
      <c r="FFP25" s="89"/>
      <c r="FFQ25" s="89"/>
      <c r="FFR25" s="89"/>
      <c r="FFS25" s="89"/>
      <c r="FFT25" s="89"/>
      <c r="FFU25" s="89"/>
      <c r="FFV25" s="89"/>
      <c r="FFW25" s="89"/>
      <c r="FFX25" s="89"/>
      <c r="FFY25" s="89"/>
      <c r="FFZ25" s="89"/>
      <c r="FGA25" s="89"/>
      <c r="FGB25" s="89"/>
      <c r="FGC25" s="89"/>
      <c r="FGD25" s="89"/>
      <c r="FGE25" s="89"/>
      <c r="FGF25" s="89"/>
      <c r="FGG25" s="89"/>
      <c r="FGH25" s="89"/>
      <c r="FGI25" s="89"/>
      <c r="FGJ25" s="89"/>
      <c r="FGK25" s="89"/>
      <c r="FGL25" s="89"/>
      <c r="FGM25" s="89"/>
      <c r="FGN25" s="89"/>
      <c r="FGO25" s="89"/>
      <c r="FGP25" s="89"/>
      <c r="FGQ25" s="89"/>
      <c r="FGR25" s="89"/>
      <c r="FGS25" s="89"/>
      <c r="FGT25" s="89"/>
      <c r="FGU25" s="89"/>
      <c r="FGV25" s="89"/>
      <c r="FGW25" s="89"/>
      <c r="FGX25" s="89"/>
      <c r="FGY25" s="89"/>
      <c r="FGZ25" s="89"/>
      <c r="FHA25" s="89"/>
      <c r="FHB25" s="89"/>
      <c r="FHC25" s="89"/>
      <c r="FHD25" s="89"/>
      <c r="FHE25" s="89"/>
      <c r="FHF25" s="89"/>
      <c r="FHG25" s="89"/>
      <c r="FHH25" s="89"/>
      <c r="FHI25" s="89"/>
      <c r="FHJ25" s="89"/>
      <c r="FHK25" s="89"/>
      <c r="FHL25" s="89"/>
      <c r="FHM25" s="89"/>
      <c r="FHN25" s="89"/>
      <c r="FHO25" s="89"/>
      <c r="FHP25" s="89"/>
      <c r="FHQ25" s="89"/>
      <c r="FHR25" s="89"/>
      <c r="FHS25" s="89"/>
      <c r="FHT25" s="89"/>
      <c r="FHU25" s="89"/>
      <c r="FHV25" s="89"/>
      <c r="FHW25" s="89"/>
      <c r="FHX25" s="89"/>
      <c r="FHY25" s="89"/>
      <c r="FHZ25" s="89"/>
      <c r="FIA25" s="89"/>
      <c r="FIB25" s="89"/>
      <c r="FIC25" s="89"/>
      <c r="FID25" s="89"/>
      <c r="FIE25" s="89"/>
      <c r="FIF25" s="89"/>
      <c r="FIG25" s="89"/>
      <c r="FIH25" s="89"/>
      <c r="FII25" s="89"/>
      <c r="FIJ25" s="89"/>
      <c r="FIK25" s="89"/>
      <c r="FIL25" s="89"/>
      <c r="FIM25" s="89"/>
      <c r="FIN25" s="89"/>
      <c r="FIO25" s="89"/>
      <c r="FIP25" s="89"/>
      <c r="FIQ25" s="89"/>
      <c r="FIR25" s="89"/>
      <c r="FIS25" s="89"/>
      <c r="FIT25" s="89"/>
      <c r="FIU25" s="89"/>
      <c r="FIV25" s="89"/>
      <c r="FIW25" s="89"/>
      <c r="FIX25" s="89"/>
      <c r="FIY25" s="89"/>
      <c r="FIZ25" s="89"/>
      <c r="FJA25" s="89"/>
      <c r="FJB25" s="89"/>
      <c r="FJC25" s="89"/>
      <c r="FJD25" s="89"/>
      <c r="FJE25" s="89"/>
      <c r="FJF25" s="89"/>
      <c r="FJG25" s="89"/>
      <c r="FJH25" s="89"/>
      <c r="FJI25" s="89"/>
      <c r="FJJ25" s="89"/>
      <c r="FJK25" s="89"/>
      <c r="FJL25" s="89"/>
      <c r="FJM25" s="89"/>
      <c r="FJN25" s="89"/>
      <c r="FJO25" s="89"/>
      <c r="FJP25" s="89"/>
      <c r="FJQ25" s="89"/>
      <c r="FJR25" s="89"/>
      <c r="FJS25" s="89"/>
      <c r="FJT25" s="89"/>
      <c r="FJU25" s="89"/>
      <c r="FJV25" s="89"/>
      <c r="FJW25" s="89"/>
      <c r="FJX25" s="89"/>
      <c r="FJY25" s="89"/>
      <c r="FJZ25" s="89"/>
      <c r="FKA25" s="89"/>
      <c r="FKB25" s="89"/>
      <c r="FKC25" s="89"/>
      <c r="FKD25" s="89"/>
      <c r="FKE25" s="89"/>
      <c r="FKF25" s="89"/>
      <c r="FKG25" s="89"/>
      <c r="FKH25" s="89"/>
      <c r="FKI25" s="89"/>
      <c r="FKJ25" s="89"/>
      <c r="FKK25" s="89"/>
      <c r="FKL25" s="89"/>
      <c r="FKM25" s="89"/>
      <c r="FKN25" s="89"/>
      <c r="FKO25" s="89"/>
      <c r="FKP25" s="89"/>
      <c r="FKQ25" s="89"/>
      <c r="FKR25" s="89"/>
      <c r="FKS25" s="89"/>
      <c r="FKT25" s="89"/>
      <c r="FKU25" s="89"/>
      <c r="FKV25" s="89"/>
      <c r="FKW25" s="89"/>
      <c r="FKX25" s="89"/>
      <c r="FKY25" s="89"/>
      <c r="FKZ25" s="89"/>
      <c r="FLA25" s="89"/>
      <c r="FLB25" s="89"/>
      <c r="FLC25" s="89"/>
      <c r="FLD25" s="89"/>
      <c r="FLE25" s="89"/>
      <c r="FLF25" s="89"/>
      <c r="FLG25" s="89"/>
      <c r="FLH25" s="89"/>
      <c r="FLI25" s="89"/>
      <c r="FLJ25" s="89"/>
      <c r="FLK25" s="89"/>
      <c r="FLL25" s="89"/>
      <c r="FLM25" s="89"/>
      <c r="FLN25" s="89"/>
      <c r="FLO25" s="89"/>
      <c r="FLP25" s="89"/>
      <c r="FLQ25" s="89"/>
      <c r="FLR25" s="89"/>
      <c r="FLS25" s="89"/>
      <c r="FLT25" s="89"/>
      <c r="FLU25" s="89"/>
      <c r="FLV25" s="89"/>
      <c r="FLW25" s="89"/>
      <c r="FLX25" s="89"/>
      <c r="FLY25" s="89"/>
      <c r="FLZ25" s="89"/>
      <c r="FMA25" s="89"/>
      <c r="FMB25" s="89"/>
      <c r="FMC25" s="89"/>
      <c r="FMD25" s="89"/>
      <c r="FME25" s="89"/>
      <c r="FMF25" s="89"/>
      <c r="FMG25" s="89"/>
      <c r="FMH25" s="89"/>
      <c r="FMI25" s="89"/>
      <c r="FMJ25" s="89"/>
      <c r="FMK25" s="89"/>
      <c r="FML25" s="89"/>
      <c r="FMM25" s="89"/>
      <c r="FMN25" s="89"/>
      <c r="FMO25" s="89"/>
      <c r="FMP25" s="89"/>
      <c r="FMQ25" s="89"/>
      <c r="FMR25" s="89"/>
      <c r="FMS25" s="89"/>
      <c r="FMT25" s="89"/>
      <c r="FMU25" s="89"/>
      <c r="FMV25" s="89"/>
      <c r="FMW25" s="89"/>
      <c r="FMX25" s="89"/>
      <c r="FMY25" s="89"/>
      <c r="FMZ25" s="89"/>
      <c r="FNA25" s="89"/>
      <c r="FNB25" s="89"/>
      <c r="FNC25" s="89"/>
      <c r="FND25" s="89"/>
      <c r="FNE25" s="89"/>
      <c r="FNF25" s="89"/>
      <c r="FNG25" s="89"/>
      <c r="FNH25" s="89"/>
      <c r="FNI25" s="89"/>
      <c r="FNJ25" s="89"/>
      <c r="FNK25" s="89"/>
      <c r="FNL25" s="89"/>
      <c r="FNM25" s="89"/>
      <c r="FNN25" s="89"/>
      <c r="FNO25" s="89"/>
      <c r="FNP25" s="89"/>
      <c r="FNQ25" s="89"/>
      <c r="FNR25" s="89"/>
      <c r="FNS25" s="89"/>
      <c r="FNT25" s="89"/>
      <c r="FNU25" s="89"/>
      <c r="FNV25" s="89"/>
      <c r="FNW25" s="89"/>
      <c r="FNX25" s="89"/>
      <c r="FNY25" s="89"/>
      <c r="FNZ25" s="89"/>
      <c r="FOA25" s="89"/>
      <c r="FOB25" s="89"/>
      <c r="FOC25" s="89"/>
      <c r="FOD25" s="89"/>
      <c r="FOE25" s="89"/>
      <c r="FOF25" s="89"/>
      <c r="FOG25" s="89"/>
      <c r="FOH25" s="89"/>
      <c r="FOI25" s="89"/>
      <c r="FOJ25" s="89"/>
      <c r="FOK25" s="89"/>
      <c r="FOL25" s="89"/>
      <c r="FOM25" s="89"/>
      <c r="FON25" s="89"/>
      <c r="FOO25" s="89"/>
      <c r="FOP25" s="89"/>
      <c r="FOQ25" s="89"/>
      <c r="FOR25" s="89"/>
      <c r="FOS25" s="89"/>
      <c r="FOT25" s="89"/>
      <c r="FOU25" s="89"/>
      <c r="FOV25" s="89"/>
      <c r="FOW25" s="89"/>
      <c r="FOX25" s="89"/>
      <c r="FOY25" s="89"/>
      <c r="FOZ25" s="89"/>
      <c r="FPA25" s="89"/>
      <c r="FPB25" s="89"/>
      <c r="FPC25" s="89"/>
      <c r="FPD25" s="89"/>
      <c r="FPE25" s="89"/>
      <c r="FPF25" s="89"/>
      <c r="FPG25" s="89"/>
      <c r="FPH25" s="89"/>
      <c r="FPI25" s="89"/>
      <c r="FPJ25" s="89"/>
      <c r="FPK25" s="89"/>
      <c r="FPL25" s="89"/>
      <c r="FPM25" s="89"/>
      <c r="FPN25" s="89"/>
      <c r="FPO25" s="89"/>
      <c r="FPP25" s="89"/>
      <c r="FPQ25" s="89"/>
      <c r="FPR25" s="89"/>
      <c r="FPS25" s="89"/>
      <c r="FPT25" s="89"/>
      <c r="FPU25" s="89"/>
      <c r="FPV25" s="89"/>
      <c r="FPW25" s="89"/>
      <c r="FPX25" s="89"/>
      <c r="FPY25" s="89"/>
      <c r="FPZ25" s="89"/>
      <c r="FQA25" s="89"/>
      <c r="FQB25" s="89"/>
      <c r="FQC25" s="89"/>
      <c r="FQD25" s="89"/>
      <c r="FQE25" s="89"/>
      <c r="FQF25" s="89"/>
      <c r="FQG25" s="89"/>
      <c r="FQH25" s="89"/>
      <c r="FQI25" s="89"/>
      <c r="FQJ25" s="89"/>
      <c r="FQK25" s="89"/>
      <c r="FQL25" s="89"/>
      <c r="FQM25" s="89"/>
      <c r="FQN25" s="89"/>
      <c r="FQO25" s="89"/>
      <c r="FQP25" s="89"/>
      <c r="FQQ25" s="89"/>
      <c r="FQR25" s="89"/>
      <c r="FQS25" s="89"/>
      <c r="FQT25" s="89"/>
      <c r="FQU25" s="89"/>
      <c r="FQV25" s="89"/>
      <c r="FQW25" s="89"/>
      <c r="FQX25" s="89"/>
      <c r="FQY25" s="89"/>
      <c r="FQZ25" s="89"/>
      <c r="FRA25" s="89"/>
      <c r="FRB25" s="89"/>
      <c r="FRC25" s="89"/>
      <c r="FRD25" s="89"/>
      <c r="FRE25" s="89"/>
      <c r="FRF25" s="89"/>
      <c r="FRG25" s="89"/>
      <c r="FRH25" s="89"/>
      <c r="FRI25" s="89"/>
      <c r="FRJ25" s="89"/>
      <c r="FRK25" s="89"/>
      <c r="FRL25" s="89"/>
      <c r="FRM25" s="89"/>
      <c r="FRN25" s="89"/>
      <c r="FRO25" s="89"/>
      <c r="FRP25" s="89"/>
      <c r="FRQ25" s="89"/>
      <c r="FRR25" s="89"/>
      <c r="FRS25" s="89"/>
      <c r="FRT25" s="89"/>
      <c r="FRU25" s="89"/>
      <c r="FRV25" s="89"/>
      <c r="FRW25" s="89"/>
      <c r="FRX25" s="89"/>
      <c r="FRY25" s="89"/>
      <c r="FRZ25" s="89"/>
      <c r="FSA25" s="89"/>
      <c r="FSB25" s="89"/>
      <c r="FSC25" s="89"/>
      <c r="FSD25" s="89"/>
      <c r="FSE25" s="89"/>
      <c r="FSF25" s="89"/>
      <c r="FSG25" s="89"/>
      <c r="FSH25" s="89"/>
      <c r="FSI25" s="89"/>
      <c r="FSJ25" s="89"/>
      <c r="FSK25" s="89"/>
      <c r="FSL25" s="89"/>
      <c r="FSM25" s="89"/>
      <c r="FSN25" s="89"/>
      <c r="FSO25" s="89"/>
      <c r="FSP25" s="89"/>
      <c r="FSQ25" s="89"/>
      <c r="FSR25" s="89"/>
      <c r="FSS25" s="89"/>
      <c r="FST25" s="89"/>
      <c r="FSU25" s="89"/>
      <c r="FSV25" s="89"/>
      <c r="FSW25" s="89"/>
      <c r="FSX25" s="89"/>
      <c r="FSY25" s="89"/>
      <c r="FSZ25" s="89"/>
      <c r="FTA25" s="89"/>
      <c r="FTB25" s="89"/>
      <c r="FTC25" s="89"/>
      <c r="FTD25" s="89"/>
      <c r="FTE25" s="89"/>
      <c r="FTF25" s="89"/>
      <c r="FTG25" s="89"/>
      <c r="FTH25" s="89"/>
      <c r="FTI25" s="89"/>
      <c r="FTJ25" s="89"/>
      <c r="FTK25" s="89"/>
      <c r="FTL25" s="89"/>
      <c r="FTM25" s="89"/>
      <c r="FTN25" s="89"/>
      <c r="FTO25" s="89"/>
      <c r="FTP25" s="89"/>
      <c r="FTQ25" s="89"/>
      <c r="FTR25" s="89"/>
      <c r="FTS25" s="89"/>
      <c r="FTT25" s="89"/>
      <c r="FTU25" s="89"/>
      <c r="FTV25" s="89"/>
      <c r="FTW25" s="89"/>
      <c r="FTX25" s="89"/>
      <c r="FTY25" s="89"/>
      <c r="FTZ25" s="89"/>
      <c r="FUA25" s="89"/>
      <c r="FUB25" s="89"/>
      <c r="FUC25" s="89"/>
      <c r="FUD25" s="89"/>
      <c r="FUE25" s="89"/>
      <c r="FUF25" s="89"/>
      <c r="FUG25" s="89"/>
      <c r="FUH25" s="89"/>
      <c r="FUI25" s="89"/>
      <c r="FUJ25" s="89"/>
      <c r="FUK25" s="89"/>
      <c r="FUL25" s="89"/>
      <c r="FUM25" s="89"/>
      <c r="FUN25" s="89"/>
      <c r="FUO25" s="89"/>
      <c r="FUP25" s="89"/>
      <c r="FUQ25" s="89"/>
      <c r="FUR25" s="89"/>
      <c r="FUS25" s="89"/>
      <c r="FUT25" s="89"/>
      <c r="FUU25" s="89"/>
      <c r="FUV25" s="89"/>
      <c r="FUW25" s="89"/>
      <c r="FUX25" s="89"/>
      <c r="FUY25" s="89"/>
      <c r="FUZ25" s="89"/>
      <c r="FVA25" s="89"/>
      <c r="FVB25" s="89"/>
      <c r="FVC25" s="89"/>
      <c r="FVD25" s="89"/>
      <c r="FVE25" s="89"/>
      <c r="FVF25" s="89"/>
      <c r="FVG25" s="89"/>
      <c r="FVH25" s="89"/>
      <c r="FVI25" s="89"/>
      <c r="FVJ25" s="89"/>
      <c r="FVK25" s="89"/>
      <c r="FVL25" s="89"/>
      <c r="FVM25" s="89"/>
      <c r="FVN25" s="89"/>
      <c r="FVO25" s="89"/>
      <c r="FVP25" s="89"/>
      <c r="FVQ25" s="89"/>
      <c r="FVR25" s="89"/>
      <c r="FVS25" s="89"/>
      <c r="FVT25" s="89"/>
      <c r="FVU25" s="89"/>
      <c r="FVV25" s="89"/>
      <c r="FVW25" s="89"/>
      <c r="FVX25" s="89"/>
      <c r="FVY25" s="89"/>
      <c r="FVZ25" s="89"/>
      <c r="FWA25" s="89"/>
      <c r="FWB25" s="89"/>
      <c r="FWC25" s="89"/>
      <c r="FWD25" s="89"/>
      <c r="FWE25" s="89"/>
      <c r="FWF25" s="89"/>
      <c r="FWG25" s="89"/>
      <c r="FWH25" s="89"/>
      <c r="FWI25" s="89"/>
      <c r="FWJ25" s="89"/>
      <c r="FWK25" s="89"/>
      <c r="FWL25" s="89"/>
      <c r="FWM25" s="89"/>
      <c r="FWN25" s="89"/>
      <c r="FWO25" s="89"/>
      <c r="FWP25" s="89"/>
      <c r="FWQ25" s="89"/>
      <c r="FWR25" s="89"/>
      <c r="FWS25" s="89"/>
      <c r="FWT25" s="89"/>
      <c r="FWU25" s="89"/>
      <c r="FWV25" s="89"/>
      <c r="FWW25" s="89"/>
      <c r="FWX25" s="89"/>
      <c r="FWY25" s="89"/>
      <c r="FWZ25" s="89"/>
      <c r="FXA25" s="89"/>
      <c r="FXB25" s="89"/>
      <c r="FXC25" s="89"/>
      <c r="FXD25" s="89"/>
      <c r="FXE25" s="89"/>
      <c r="FXF25" s="89"/>
      <c r="FXG25" s="89"/>
      <c r="FXH25" s="89"/>
      <c r="FXI25" s="89"/>
      <c r="FXJ25" s="89"/>
      <c r="FXK25" s="89"/>
      <c r="FXL25" s="89"/>
      <c r="FXM25" s="89"/>
      <c r="FXN25" s="89"/>
      <c r="FXO25" s="89"/>
      <c r="FXP25" s="89"/>
      <c r="FXQ25" s="89"/>
      <c r="FXR25" s="89"/>
      <c r="FXS25" s="89"/>
      <c r="FXT25" s="89"/>
      <c r="FXU25" s="89"/>
      <c r="FXV25" s="89"/>
      <c r="FXW25" s="89"/>
      <c r="FXX25" s="89"/>
      <c r="FXY25" s="89"/>
      <c r="FXZ25" s="89"/>
      <c r="FYA25" s="89"/>
      <c r="FYB25" s="89"/>
      <c r="FYC25" s="89"/>
      <c r="FYD25" s="89"/>
      <c r="FYE25" s="89"/>
      <c r="FYF25" s="89"/>
      <c r="FYG25" s="89"/>
      <c r="FYH25" s="89"/>
      <c r="FYI25" s="89"/>
      <c r="FYJ25" s="89"/>
      <c r="FYK25" s="89"/>
      <c r="FYL25" s="89"/>
      <c r="FYM25" s="89"/>
      <c r="FYN25" s="89"/>
      <c r="FYO25" s="89"/>
      <c r="FYP25" s="89"/>
      <c r="FYQ25" s="89"/>
      <c r="FYR25" s="89"/>
      <c r="FYS25" s="89"/>
      <c r="FYT25" s="89"/>
      <c r="FYU25" s="89"/>
      <c r="FYV25" s="89"/>
      <c r="FYW25" s="89"/>
      <c r="FYX25" s="89"/>
      <c r="FYY25" s="89"/>
      <c r="FYZ25" s="89"/>
      <c r="FZA25" s="89"/>
      <c r="FZB25" s="89"/>
      <c r="FZC25" s="89"/>
      <c r="FZD25" s="89"/>
      <c r="FZE25" s="89"/>
      <c r="FZF25" s="89"/>
      <c r="FZG25" s="89"/>
      <c r="FZH25" s="89"/>
      <c r="FZI25" s="89"/>
      <c r="FZJ25" s="89"/>
      <c r="FZK25" s="89"/>
      <c r="FZL25" s="89"/>
      <c r="FZM25" s="89"/>
      <c r="FZN25" s="89"/>
      <c r="FZO25" s="89"/>
      <c r="FZP25" s="89"/>
      <c r="FZQ25" s="89"/>
      <c r="FZR25" s="89"/>
      <c r="FZS25" s="89"/>
      <c r="FZT25" s="89"/>
      <c r="FZU25" s="89"/>
      <c r="FZV25" s="89"/>
      <c r="FZW25" s="89"/>
      <c r="FZX25" s="89"/>
      <c r="FZY25" s="89"/>
      <c r="FZZ25" s="89"/>
      <c r="GAA25" s="89"/>
      <c r="GAB25" s="89"/>
      <c r="GAC25" s="89"/>
      <c r="GAD25" s="89"/>
      <c r="GAE25" s="89"/>
      <c r="GAF25" s="89"/>
      <c r="GAG25" s="89"/>
      <c r="GAH25" s="89"/>
      <c r="GAI25" s="89"/>
      <c r="GAJ25" s="89"/>
      <c r="GAK25" s="89"/>
      <c r="GAL25" s="89"/>
      <c r="GAM25" s="89"/>
      <c r="GAN25" s="89"/>
      <c r="GAO25" s="89"/>
      <c r="GAP25" s="89"/>
      <c r="GAQ25" s="89"/>
      <c r="GAR25" s="89"/>
      <c r="GAS25" s="89"/>
      <c r="GAT25" s="89"/>
      <c r="GAU25" s="89"/>
      <c r="GAV25" s="89"/>
      <c r="GAW25" s="89"/>
      <c r="GAX25" s="89"/>
      <c r="GAY25" s="89"/>
      <c r="GAZ25" s="89"/>
      <c r="GBA25" s="89"/>
      <c r="GBB25" s="89"/>
      <c r="GBC25" s="89"/>
      <c r="GBD25" s="89"/>
      <c r="GBE25" s="89"/>
      <c r="GBF25" s="89"/>
      <c r="GBG25" s="89"/>
      <c r="GBH25" s="89"/>
      <c r="GBI25" s="89"/>
      <c r="GBJ25" s="89"/>
      <c r="GBK25" s="89"/>
      <c r="GBL25" s="89"/>
      <c r="GBM25" s="89"/>
      <c r="GBN25" s="89"/>
      <c r="GBO25" s="89"/>
      <c r="GBP25" s="89"/>
      <c r="GBQ25" s="89"/>
      <c r="GBR25" s="89"/>
      <c r="GBS25" s="89"/>
      <c r="GBT25" s="89"/>
      <c r="GBU25" s="89"/>
      <c r="GBV25" s="89"/>
      <c r="GBW25" s="89"/>
      <c r="GBX25" s="89"/>
      <c r="GBY25" s="89"/>
      <c r="GBZ25" s="89"/>
      <c r="GCA25" s="89"/>
      <c r="GCB25" s="89"/>
      <c r="GCC25" s="89"/>
      <c r="GCD25" s="89"/>
      <c r="GCE25" s="89"/>
      <c r="GCF25" s="89"/>
      <c r="GCG25" s="89"/>
      <c r="GCH25" s="89"/>
      <c r="GCI25" s="89"/>
      <c r="GCJ25" s="89"/>
      <c r="GCK25" s="89"/>
      <c r="GCL25" s="89"/>
      <c r="GCM25" s="89"/>
      <c r="GCN25" s="89"/>
      <c r="GCO25" s="89"/>
      <c r="GCP25" s="89"/>
      <c r="GCQ25" s="89"/>
      <c r="GCR25" s="89"/>
      <c r="GCS25" s="89"/>
      <c r="GCT25" s="89"/>
      <c r="GCU25" s="89"/>
      <c r="GCV25" s="89"/>
      <c r="GCW25" s="89"/>
      <c r="GCX25" s="89"/>
      <c r="GCY25" s="89"/>
      <c r="GCZ25" s="89"/>
      <c r="GDA25" s="89"/>
      <c r="GDB25" s="89"/>
      <c r="GDC25" s="89"/>
      <c r="GDD25" s="89"/>
      <c r="GDE25" s="89"/>
      <c r="GDF25" s="89"/>
      <c r="GDG25" s="89"/>
      <c r="GDH25" s="89"/>
      <c r="GDI25" s="89"/>
      <c r="GDJ25" s="89"/>
      <c r="GDK25" s="89"/>
      <c r="GDL25" s="89"/>
      <c r="GDM25" s="89"/>
      <c r="GDN25" s="89"/>
      <c r="GDO25" s="89"/>
      <c r="GDP25" s="89"/>
      <c r="GDQ25" s="89"/>
      <c r="GDR25" s="89"/>
      <c r="GDS25" s="89"/>
      <c r="GDT25" s="89"/>
      <c r="GDU25" s="89"/>
      <c r="GDV25" s="89"/>
      <c r="GDW25" s="89"/>
      <c r="GDX25" s="89"/>
      <c r="GDY25" s="89"/>
      <c r="GDZ25" s="89"/>
      <c r="GEA25" s="89"/>
      <c r="GEB25" s="89"/>
      <c r="GEC25" s="89"/>
      <c r="GED25" s="89"/>
      <c r="GEE25" s="89"/>
      <c r="GEF25" s="89"/>
      <c r="GEG25" s="89"/>
      <c r="GEH25" s="89"/>
      <c r="GEI25" s="89"/>
      <c r="GEJ25" s="89"/>
      <c r="GEK25" s="89"/>
      <c r="GEL25" s="89"/>
      <c r="GEM25" s="89"/>
      <c r="GEN25" s="89"/>
      <c r="GEO25" s="89"/>
      <c r="GEP25" s="89"/>
      <c r="GEQ25" s="89"/>
      <c r="GER25" s="89"/>
      <c r="GES25" s="89"/>
      <c r="GET25" s="89"/>
      <c r="GEU25" s="89"/>
      <c r="GEV25" s="89"/>
      <c r="GEW25" s="89"/>
      <c r="GEX25" s="89"/>
      <c r="GEY25" s="89"/>
      <c r="GEZ25" s="89"/>
      <c r="GFA25" s="89"/>
      <c r="GFB25" s="89"/>
      <c r="GFC25" s="89"/>
      <c r="GFD25" s="89"/>
      <c r="GFE25" s="89"/>
      <c r="GFF25" s="89"/>
      <c r="GFG25" s="89"/>
      <c r="GFH25" s="89"/>
      <c r="GFI25" s="89"/>
      <c r="GFJ25" s="89"/>
      <c r="GFK25" s="89"/>
      <c r="GFL25" s="89"/>
      <c r="GFM25" s="89"/>
      <c r="GFN25" s="89"/>
      <c r="GFO25" s="89"/>
      <c r="GFP25" s="89"/>
      <c r="GFQ25" s="89"/>
      <c r="GFR25" s="89"/>
      <c r="GFS25" s="89"/>
      <c r="GFT25" s="89"/>
      <c r="GFU25" s="89"/>
      <c r="GFV25" s="89"/>
      <c r="GFW25" s="89"/>
      <c r="GFX25" s="89"/>
      <c r="GFY25" s="89"/>
      <c r="GFZ25" s="89"/>
      <c r="GGA25" s="89"/>
      <c r="GGB25" s="89"/>
      <c r="GGC25" s="89"/>
      <c r="GGD25" s="89"/>
      <c r="GGE25" s="89"/>
      <c r="GGF25" s="89"/>
      <c r="GGG25" s="89"/>
      <c r="GGH25" s="89"/>
      <c r="GGI25" s="89"/>
      <c r="GGJ25" s="89"/>
      <c r="GGK25" s="89"/>
      <c r="GGL25" s="89"/>
      <c r="GGM25" s="89"/>
      <c r="GGN25" s="89"/>
      <c r="GGO25" s="89"/>
      <c r="GGP25" s="89"/>
      <c r="GGQ25" s="89"/>
      <c r="GGR25" s="89"/>
      <c r="GGS25" s="89"/>
      <c r="GGT25" s="89"/>
      <c r="GGU25" s="89"/>
      <c r="GGV25" s="89"/>
      <c r="GGW25" s="89"/>
      <c r="GGX25" s="89"/>
      <c r="GGY25" s="89"/>
      <c r="GGZ25" s="89"/>
      <c r="GHA25" s="89"/>
      <c r="GHB25" s="89"/>
      <c r="GHC25" s="89"/>
      <c r="GHD25" s="89"/>
      <c r="GHE25" s="89"/>
      <c r="GHF25" s="89"/>
      <c r="GHG25" s="89"/>
      <c r="GHH25" s="89"/>
      <c r="GHI25" s="89"/>
      <c r="GHJ25" s="89"/>
      <c r="GHK25" s="89"/>
      <c r="GHL25" s="89"/>
      <c r="GHM25" s="89"/>
      <c r="GHN25" s="89"/>
      <c r="GHO25" s="89"/>
      <c r="GHP25" s="89"/>
      <c r="GHQ25" s="89"/>
      <c r="GHR25" s="89"/>
      <c r="GHS25" s="89"/>
      <c r="GHT25" s="89"/>
      <c r="GHU25" s="89"/>
      <c r="GHV25" s="89"/>
      <c r="GHW25" s="89"/>
      <c r="GHX25" s="89"/>
      <c r="GHY25" s="89"/>
      <c r="GHZ25" s="89"/>
      <c r="GIA25" s="89"/>
      <c r="GIB25" s="89"/>
      <c r="GIC25" s="89"/>
      <c r="GID25" s="89"/>
      <c r="GIE25" s="89"/>
      <c r="GIF25" s="89"/>
      <c r="GIG25" s="89"/>
      <c r="GIH25" s="89"/>
      <c r="GII25" s="89"/>
      <c r="GIJ25" s="89"/>
      <c r="GIK25" s="89"/>
      <c r="GIL25" s="89"/>
      <c r="GIM25" s="89"/>
      <c r="GIN25" s="89"/>
      <c r="GIO25" s="89"/>
      <c r="GIP25" s="89"/>
      <c r="GIQ25" s="89"/>
      <c r="GIR25" s="89"/>
      <c r="GIS25" s="89"/>
      <c r="GIT25" s="89"/>
      <c r="GIU25" s="89"/>
      <c r="GIV25" s="89"/>
      <c r="GIW25" s="89"/>
      <c r="GIX25" s="89"/>
      <c r="GIY25" s="89"/>
      <c r="GIZ25" s="89"/>
      <c r="GJA25" s="89"/>
      <c r="GJB25" s="89"/>
      <c r="GJC25" s="89"/>
      <c r="GJD25" s="89"/>
      <c r="GJE25" s="89"/>
      <c r="GJF25" s="89"/>
      <c r="GJG25" s="89"/>
      <c r="GJH25" s="89"/>
      <c r="GJI25" s="89"/>
      <c r="GJJ25" s="89"/>
      <c r="GJK25" s="89"/>
      <c r="GJL25" s="89"/>
      <c r="GJM25" s="89"/>
      <c r="GJN25" s="89"/>
      <c r="GJO25" s="89"/>
      <c r="GJP25" s="89"/>
      <c r="GJQ25" s="89"/>
      <c r="GJR25" s="89"/>
      <c r="GJS25" s="89"/>
      <c r="GJT25" s="89"/>
      <c r="GJU25" s="89"/>
      <c r="GJV25" s="89"/>
      <c r="GJW25" s="89"/>
      <c r="GJX25" s="89"/>
      <c r="GJY25" s="89"/>
      <c r="GJZ25" s="89"/>
      <c r="GKA25" s="89"/>
      <c r="GKB25" s="89"/>
      <c r="GKC25" s="89"/>
      <c r="GKD25" s="89"/>
      <c r="GKE25" s="89"/>
      <c r="GKF25" s="89"/>
      <c r="GKG25" s="89"/>
      <c r="GKH25" s="89"/>
      <c r="GKI25" s="89"/>
      <c r="GKJ25" s="89"/>
      <c r="GKK25" s="89"/>
      <c r="GKL25" s="89"/>
      <c r="GKM25" s="89"/>
      <c r="GKN25" s="89"/>
      <c r="GKO25" s="89"/>
      <c r="GKP25" s="89"/>
      <c r="GKQ25" s="89"/>
      <c r="GKR25" s="89"/>
      <c r="GKS25" s="89"/>
      <c r="GKT25" s="89"/>
      <c r="GKU25" s="89"/>
      <c r="GKV25" s="89"/>
      <c r="GKW25" s="89"/>
      <c r="GKX25" s="89"/>
      <c r="GKY25" s="89"/>
      <c r="GKZ25" s="89"/>
      <c r="GLA25" s="89"/>
      <c r="GLB25" s="89"/>
      <c r="GLC25" s="89"/>
      <c r="GLD25" s="89"/>
      <c r="GLE25" s="89"/>
      <c r="GLF25" s="89"/>
      <c r="GLG25" s="89"/>
      <c r="GLH25" s="89"/>
      <c r="GLI25" s="89"/>
      <c r="GLJ25" s="89"/>
      <c r="GLK25" s="89"/>
      <c r="GLL25" s="89"/>
      <c r="GLM25" s="89"/>
      <c r="GLN25" s="89"/>
      <c r="GLO25" s="89"/>
      <c r="GLP25" s="89"/>
      <c r="GLQ25" s="89"/>
      <c r="GLR25" s="89"/>
      <c r="GLS25" s="89"/>
      <c r="GLT25" s="89"/>
      <c r="GLU25" s="89"/>
      <c r="GLV25" s="89"/>
      <c r="GLW25" s="89"/>
      <c r="GLX25" s="89"/>
      <c r="GLY25" s="89"/>
      <c r="GLZ25" s="89"/>
      <c r="GMA25" s="89"/>
      <c r="GMB25" s="89"/>
      <c r="GMC25" s="89"/>
      <c r="GMD25" s="89"/>
      <c r="GME25" s="89"/>
      <c r="GMF25" s="89"/>
      <c r="GMG25" s="89"/>
      <c r="GMH25" s="89"/>
      <c r="GMI25" s="89"/>
      <c r="GMJ25" s="89"/>
      <c r="GMK25" s="89"/>
      <c r="GML25" s="89"/>
      <c r="GMM25" s="89"/>
      <c r="GMN25" s="89"/>
      <c r="GMO25" s="89"/>
      <c r="GMP25" s="89"/>
      <c r="GMQ25" s="89"/>
      <c r="GMR25" s="89"/>
      <c r="GMS25" s="89"/>
      <c r="GMT25" s="89"/>
      <c r="GMU25" s="89"/>
      <c r="GMV25" s="89"/>
      <c r="GMW25" s="89"/>
      <c r="GMX25" s="89"/>
      <c r="GMY25" s="89"/>
      <c r="GMZ25" s="89"/>
      <c r="GNA25" s="89"/>
      <c r="GNB25" s="89"/>
      <c r="GNC25" s="89"/>
      <c r="GND25" s="89"/>
      <c r="GNE25" s="89"/>
      <c r="GNF25" s="89"/>
      <c r="GNG25" s="89"/>
      <c r="GNH25" s="89"/>
      <c r="GNI25" s="89"/>
      <c r="GNJ25" s="89"/>
      <c r="GNK25" s="89"/>
      <c r="GNL25" s="89"/>
      <c r="GNM25" s="89"/>
      <c r="GNN25" s="89"/>
      <c r="GNO25" s="89"/>
      <c r="GNP25" s="89"/>
      <c r="GNQ25" s="89"/>
      <c r="GNR25" s="89"/>
      <c r="GNS25" s="89"/>
      <c r="GNT25" s="89"/>
      <c r="GNU25" s="89"/>
      <c r="GNV25" s="89"/>
      <c r="GNW25" s="89"/>
      <c r="GNX25" s="89"/>
      <c r="GNY25" s="89"/>
      <c r="GNZ25" s="89"/>
      <c r="GOA25" s="89"/>
      <c r="GOB25" s="89"/>
      <c r="GOC25" s="89"/>
      <c r="GOD25" s="89"/>
      <c r="GOE25" s="89"/>
      <c r="GOF25" s="89"/>
      <c r="GOG25" s="89"/>
      <c r="GOH25" s="89"/>
      <c r="GOI25" s="89"/>
      <c r="GOJ25" s="89"/>
      <c r="GOK25" s="89"/>
      <c r="GOL25" s="89"/>
      <c r="GOM25" s="89"/>
      <c r="GON25" s="89"/>
      <c r="GOO25" s="89"/>
      <c r="GOP25" s="89"/>
      <c r="GOQ25" s="89"/>
      <c r="GOR25" s="89"/>
      <c r="GOS25" s="89"/>
      <c r="GOT25" s="89"/>
      <c r="GOU25" s="89"/>
      <c r="GOV25" s="89"/>
      <c r="GOW25" s="89"/>
      <c r="GOX25" s="89"/>
      <c r="GOY25" s="89"/>
      <c r="GOZ25" s="89"/>
      <c r="GPA25" s="89"/>
      <c r="GPB25" s="89"/>
      <c r="GPC25" s="89"/>
      <c r="GPD25" s="89"/>
      <c r="GPE25" s="89"/>
      <c r="GPF25" s="89"/>
      <c r="GPG25" s="89"/>
      <c r="GPH25" s="89"/>
      <c r="GPI25" s="89"/>
      <c r="GPJ25" s="89"/>
      <c r="GPK25" s="89"/>
      <c r="GPL25" s="89"/>
      <c r="GPM25" s="89"/>
      <c r="GPN25" s="89"/>
      <c r="GPO25" s="89"/>
      <c r="GPP25" s="89"/>
      <c r="GPQ25" s="89"/>
      <c r="GPR25" s="89"/>
      <c r="GPS25" s="89"/>
      <c r="GPT25" s="89"/>
      <c r="GPU25" s="89"/>
      <c r="GPV25" s="89"/>
      <c r="GPW25" s="89"/>
      <c r="GPX25" s="89"/>
      <c r="GPY25" s="89"/>
      <c r="GPZ25" s="89"/>
      <c r="GQA25" s="89"/>
      <c r="GQB25" s="89"/>
      <c r="GQC25" s="89"/>
      <c r="GQD25" s="89"/>
      <c r="GQE25" s="89"/>
      <c r="GQF25" s="89"/>
      <c r="GQG25" s="89"/>
      <c r="GQH25" s="89"/>
      <c r="GQI25" s="89"/>
      <c r="GQJ25" s="89"/>
      <c r="GQK25" s="89"/>
      <c r="GQL25" s="89"/>
      <c r="GQM25" s="89"/>
      <c r="GQN25" s="89"/>
      <c r="GQO25" s="89"/>
      <c r="GQP25" s="89"/>
      <c r="GQQ25" s="89"/>
      <c r="GQR25" s="89"/>
      <c r="GQS25" s="89"/>
      <c r="GQT25" s="89"/>
      <c r="GQU25" s="89"/>
      <c r="GQV25" s="89"/>
      <c r="GQW25" s="89"/>
      <c r="GQX25" s="89"/>
      <c r="GQY25" s="89"/>
      <c r="GQZ25" s="89"/>
      <c r="GRA25" s="89"/>
      <c r="GRB25" s="89"/>
      <c r="GRC25" s="89"/>
      <c r="GRD25" s="89"/>
      <c r="GRE25" s="89"/>
      <c r="GRF25" s="89"/>
      <c r="GRG25" s="89"/>
      <c r="GRH25" s="89"/>
      <c r="GRI25" s="89"/>
      <c r="GRJ25" s="89"/>
      <c r="GRK25" s="89"/>
      <c r="GRL25" s="89"/>
      <c r="GRM25" s="89"/>
      <c r="GRN25" s="89"/>
      <c r="GRO25" s="89"/>
      <c r="GRP25" s="89"/>
      <c r="GRQ25" s="89"/>
      <c r="GRR25" s="89"/>
      <c r="GRS25" s="89"/>
      <c r="GRT25" s="89"/>
      <c r="GRU25" s="89"/>
      <c r="GRV25" s="89"/>
      <c r="GRW25" s="89"/>
      <c r="GRX25" s="89"/>
      <c r="GRY25" s="89"/>
      <c r="GRZ25" s="89"/>
      <c r="GSA25" s="89"/>
      <c r="GSB25" s="89"/>
      <c r="GSC25" s="89"/>
      <c r="GSD25" s="89"/>
      <c r="GSE25" s="89"/>
      <c r="GSF25" s="89"/>
      <c r="GSG25" s="89"/>
      <c r="GSH25" s="89"/>
      <c r="GSI25" s="89"/>
      <c r="GSJ25" s="89"/>
      <c r="GSK25" s="89"/>
      <c r="GSL25" s="89"/>
      <c r="GSM25" s="89"/>
      <c r="GSN25" s="89"/>
      <c r="GSO25" s="89"/>
      <c r="GSP25" s="89"/>
      <c r="GSQ25" s="89"/>
      <c r="GSR25" s="89"/>
      <c r="GSS25" s="89"/>
      <c r="GST25" s="89"/>
      <c r="GSU25" s="89"/>
      <c r="GSV25" s="89"/>
      <c r="GSW25" s="89"/>
      <c r="GSX25" s="89"/>
      <c r="GSY25" s="89"/>
      <c r="GSZ25" s="89"/>
      <c r="GTA25" s="89"/>
      <c r="GTB25" s="89"/>
      <c r="GTC25" s="89"/>
      <c r="GTD25" s="89"/>
      <c r="GTE25" s="89"/>
      <c r="GTF25" s="89"/>
      <c r="GTG25" s="89"/>
      <c r="GTH25" s="89"/>
      <c r="GTI25" s="89"/>
      <c r="GTJ25" s="89"/>
      <c r="GTK25" s="89"/>
      <c r="GTL25" s="89"/>
      <c r="GTM25" s="89"/>
      <c r="GTN25" s="89"/>
      <c r="GTO25" s="89"/>
      <c r="GTP25" s="89"/>
      <c r="GTQ25" s="89"/>
      <c r="GTR25" s="89"/>
      <c r="GTS25" s="89"/>
      <c r="GTT25" s="89"/>
      <c r="GTU25" s="89"/>
      <c r="GTV25" s="89"/>
      <c r="GTW25" s="89"/>
      <c r="GTX25" s="89"/>
      <c r="GTY25" s="89"/>
      <c r="GTZ25" s="89"/>
      <c r="GUA25" s="89"/>
      <c r="GUB25" s="89"/>
      <c r="GUC25" s="89"/>
      <c r="GUD25" s="89"/>
      <c r="GUE25" s="89"/>
      <c r="GUF25" s="89"/>
      <c r="GUG25" s="89"/>
      <c r="GUH25" s="89"/>
      <c r="GUI25" s="89"/>
      <c r="GUJ25" s="89"/>
      <c r="GUK25" s="89"/>
      <c r="GUL25" s="89"/>
      <c r="GUM25" s="89"/>
      <c r="GUN25" s="89"/>
      <c r="GUO25" s="89"/>
      <c r="GUP25" s="89"/>
      <c r="GUQ25" s="89"/>
      <c r="GUR25" s="89"/>
      <c r="GUS25" s="89"/>
      <c r="GUT25" s="89"/>
      <c r="GUU25" s="89"/>
      <c r="GUV25" s="89"/>
      <c r="GUW25" s="89"/>
      <c r="GUX25" s="89"/>
      <c r="GUY25" s="89"/>
      <c r="GUZ25" s="89"/>
      <c r="GVA25" s="89"/>
      <c r="GVB25" s="89"/>
      <c r="GVC25" s="89"/>
      <c r="GVD25" s="89"/>
      <c r="GVE25" s="89"/>
      <c r="GVF25" s="89"/>
      <c r="GVG25" s="89"/>
      <c r="GVH25" s="89"/>
      <c r="GVI25" s="89"/>
      <c r="GVJ25" s="89"/>
      <c r="GVK25" s="89"/>
      <c r="GVL25" s="89"/>
      <c r="GVM25" s="89"/>
      <c r="GVN25" s="89"/>
      <c r="GVO25" s="89"/>
      <c r="GVP25" s="89"/>
      <c r="GVQ25" s="89"/>
      <c r="GVR25" s="89"/>
      <c r="GVS25" s="89"/>
      <c r="GVT25" s="89"/>
      <c r="GVU25" s="89"/>
      <c r="GVV25" s="89"/>
      <c r="GVW25" s="89"/>
      <c r="GVX25" s="89"/>
      <c r="GVY25" s="89"/>
      <c r="GVZ25" s="89"/>
      <c r="GWA25" s="89"/>
      <c r="GWB25" s="89"/>
      <c r="GWC25" s="89"/>
      <c r="GWD25" s="89"/>
      <c r="GWE25" s="89"/>
      <c r="GWF25" s="89"/>
      <c r="GWG25" s="89"/>
      <c r="GWH25" s="89"/>
      <c r="GWI25" s="89"/>
      <c r="GWJ25" s="89"/>
      <c r="GWK25" s="89"/>
      <c r="GWL25" s="89"/>
      <c r="GWM25" s="89"/>
      <c r="GWN25" s="89"/>
      <c r="GWO25" s="89"/>
      <c r="GWP25" s="89"/>
      <c r="GWQ25" s="89"/>
      <c r="GWR25" s="89"/>
      <c r="GWS25" s="89"/>
      <c r="GWT25" s="89"/>
      <c r="GWU25" s="89"/>
      <c r="GWV25" s="89"/>
      <c r="GWW25" s="89"/>
      <c r="GWX25" s="89"/>
      <c r="GWY25" s="89"/>
      <c r="GWZ25" s="89"/>
      <c r="GXA25" s="89"/>
      <c r="GXB25" s="89"/>
      <c r="GXC25" s="89"/>
      <c r="GXD25" s="89"/>
      <c r="GXE25" s="89"/>
      <c r="GXF25" s="89"/>
      <c r="GXG25" s="89"/>
      <c r="GXH25" s="89"/>
      <c r="GXI25" s="89"/>
      <c r="GXJ25" s="89"/>
      <c r="GXK25" s="89"/>
      <c r="GXL25" s="89"/>
      <c r="GXM25" s="89"/>
      <c r="GXN25" s="89"/>
      <c r="GXO25" s="89"/>
      <c r="GXP25" s="89"/>
      <c r="GXQ25" s="89"/>
      <c r="GXR25" s="89"/>
      <c r="GXS25" s="89"/>
      <c r="GXT25" s="89"/>
      <c r="GXU25" s="89"/>
      <c r="GXV25" s="89"/>
      <c r="GXW25" s="89"/>
      <c r="GXX25" s="89"/>
      <c r="GXY25" s="89"/>
      <c r="GXZ25" s="89"/>
      <c r="GYA25" s="89"/>
      <c r="GYB25" s="89"/>
      <c r="GYC25" s="89"/>
      <c r="GYD25" s="89"/>
      <c r="GYE25" s="89"/>
      <c r="GYF25" s="89"/>
      <c r="GYG25" s="89"/>
      <c r="GYH25" s="89"/>
      <c r="GYI25" s="89"/>
      <c r="GYJ25" s="89"/>
      <c r="GYK25" s="89"/>
      <c r="GYL25" s="89"/>
      <c r="GYM25" s="89"/>
      <c r="GYN25" s="89"/>
      <c r="GYO25" s="89"/>
      <c r="GYP25" s="89"/>
      <c r="GYQ25" s="89"/>
      <c r="GYR25" s="89"/>
      <c r="GYS25" s="89"/>
      <c r="GYT25" s="89"/>
      <c r="GYU25" s="89"/>
      <c r="GYV25" s="89"/>
      <c r="GYW25" s="89"/>
      <c r="GYX25" s="89"/>
      <c r="GYY25" s="89"/>
      <c r="GYZ25" s="89"/>
      <c r="GZA25" s="89"/>
      <c r="GZB25" s="89"/>
      <c r="GZC25" s="89"/>
      <c r="GZD25" s="89"/>
      <c r="GZE25" s="89"/>
      <c r="GZF25" s="89"/>
      <c r="GZG25" s="89"/>
      <c r="GZH25" s="89"/>
      <c r="GZI25" s="89"/>
      <c r="GZJ25" s="89"/>
      <c r="GZK25" s="89"/>
      <c r="GZL25" s="89"/>
      <c r="GZM25" s="89"/>
      <c r="GZN25" s="89"/>
      <c r="GZO25" s="89"/>
      <c r="GZP25" s="89"/>
      <c r="GZQ25" s="89"/>
      <c r="GZR25" s="89"/>
      <c r="GZS25" s="89"/>
      <c r="GZT25" s="89"/>
      <c r="GZU25" s="89"/>
      <c r="GZV25" s="89"/>
      <c r="GZW25" s="89"/>
      <c r="GZX25" s="89"/>
      <c r="GZY25" s="89"/>
      <c r="GZZ25" s="89"/>
      <c r="HAA25" s="89"/>
      <c r="HAB25" s="89"/>
      <c r="HAC25" s="89"/>
      <c r="HAD25" s="89"/>
      <c r="HAE25" s="89"/>
      <c r="HAF25" s="89"/>
      <c r="HAG25" s="89"/>
      <c r="HAH25" s="89"/>
      <c r="HAI25" s="89"/>
      <c r="HAJ25" s="89"/>
      <c r="HAK25" s="89"/>
      <c r="HAL25" s="89"/>
      <c r="HAM25" s="89"/>
      <c r="HAN25" s="89"/>
      <c r="HAO25" s="89"/>
      <c r="HAP25" s="89"/>
      <c r="HAQ25" s="89"/>
      <c r="HAR25" s="89"/>
      <c r="HAS25" s="89"/>
      <c r="HAT25" s="89"/>
      <c r="HAU25" s="89"/>
      <c r="HAV25" s="89"/>
      <c r="HAW25" s="89"/>
      <c r="HAX25" s="89"/>
      <c r="HAY25" s="89"/>
      <c r="HAZ25" s="89"/>
      <c r="HBA25" s="89"/>
      <c r="HBB25" s="89"/>
      <c r="HBC25" s="89"/>
      <c r="HBD25" s="89"/>
      <c r="HBE25" s="89"/>
      <c r="HBF25" s="89"/>
      <c r="HBG25" s="89"/>
      <c r="HBH25" s="89"/>
      <c r="HBI25" s="89"/>
      <c r="HBJ25" s="89"/>
      <c r="HBK25" s="89"/>
      <c r="HBL25" s="89"/>
      <c r="HBM25" s="89"/>
      <c r="HBN25" s="89"/>
      <c r="HBO25" s="89"/>
      <c r="HBP25" s="89"/>
      <c r="HBQ25" s="89"/>
      <c r="HBR25" s="89"/>
      <c r="HBS25" s="89"/>
      <c r="HBT25" s="89"/>
      <c r="HBU25" s="89"/>
      <c r="HBV25" s="89"/>
      <c r="HBW25" s="89"/>
      <c r="HBX25" s="89"/>
      <c r="HBY25" s="89"/>
      <c r="HBZ25" s="89"/>
      <c r="HCA25" s="89"/>
      <c r="HCB25" s="89"/>
      <c r="HCC25" s="89"/>
      <c r="HCD25" s="89"/>
      <c r="HCE25" s="89"/>
      <c r="HCF25" s="89"/>
      <c r="HCG25" s="89"/>
      <c r="HCH25" s="89"/>
      <c r="HCI25" s="89"/>
      <c r="HCJ25" s="89"/>
      <c r="HCK25" s="89"/>
      <c r="HCL25" s="89"/>
      <c r="HCM25" s="89"/>
      <c r="HCN25" s="89"/>
      <c r="HCO25" s="89"/>
      <c r="HCP25" s="89"/>
      <c r="HCQ25" s="89"/>
      <c r="HCR25" s="89"/>
      <c r="HCS25" s="89"/>
      <c r="HCT25" s="89"/>
      <c r="HCU25" s="89"/>
      <c r="HCV25" s="89"/>
      <c r="HCW25" s="89"/>
      <c r="HCX25" s="89"/>
      <c r="HCY25" s="89"/>
      <c r="HCZ25" s="89"/>
      <c r="HDA25" s="89"/>
      <c r="HDB25" s="89"/>
      <c r="HDC25" s="89"/>
      <c r="HDD25" s="89"/>
      <c r="HDE25" s="89"/>
      <c r="HDF25" s="89"/>
      <c r="HDG25" s="89"/>
      <c r="HDH25" s="89"/>
      <c r="HDI25" s="89"/>
      <c r="HDJ25" s="89"/>
      <c r="HDK25" s="89"/>
      <c r="HDL25" s="89"/>
      <c r="HDM25" s="89"/>
      <c r="HDN25" s="89"/>
      <c r="HDO25" s="89"/>
      <c r="HDP25" s="89"/>
      <c r="HDQ25" s="89"/>
      <c r="HDR25" s="89"/>
      <c r="HDS25" s="89"/>
      <c r="HDT25" s="89"/>
      <c r="HDU25" s="89"/>
      <c r="HDV25" s="89"/>
      <c r="HDW25" s="89"/>
      <c r="HDX25" s="89"/>
      <c r="HDY25" s="89"/>
      <c r="HDZ25" s="89"/>
      <c r="HEA25" s="89"/>
      <c r="HEB25" s="89"/>
      <c r="HEC25" s="89"/>
      <c r="HED25" s="89"/>
      <c r="HEE25" s="89"/>
      <c r="HEF25" s="89"/>
      <c r="HEG25" s="89"/>
      <c r="HEH25" s="89"/>
      <c r="HEI25" s="89"/>
      <c r="HEJ25" s="89"/>
      <c r="HEK25" s="89"/>
      <c r="HEL25" s="89"/>
      <c r="HEM25" s="89"/>
      <c r="HEN25" s="89"/>
      <c r="HEO25" s="89"/>
      <c r="HEP25" s="89"/>
      <c r="HEQ25" s="89"/>
      <c r="HER25" s="89"/>
      <c r="HES25" s="89"/>
      <c r="HET25" s="89"/>
      <c r="HEU25" s="89"/>
      <c r="HEV25" s="89"/>
      <c r="HEW25" s="89"/>
      <c r="HEX25" s="89"/>
      <c r="HEY25" s="89"/>
      <c r="HEZ25" s="89"/>
      <c r="HFA25" s="89"/>
      <c r="HFB25" s="89"/>
      <c r="HFC25" s="89"/>
      <c r="HFD25" s="89"/>
      <c r="HFE25" s="89"/>
      <c r="HFF25" s="89"/>
      <c r="HFG25" s="89"/>
      <c r="HFH25" s="89"/>
      <c r="HFI25" s="89"/>
      <c r="HFJ25" s="89"/>
      <c r="HFK25" s="89"/>
      <c r="HFL25" s="89"/>
      <c r="HFM25" s="89"/>
      <c r="HFN25" s="89"/>
      <c r="HFO25" s="89"/>
      <c r="HFP25" s="89"/>
      <c r="HFQ25" s="89"/>
      <c r="HFR25" s="89"/>
      <c r="HFS25" s="89"/>
      <c r="HFT25" s="89"/>
      <c r="HFU25" s="89"/>
      <c r="HFV25" s="89"/>
      <c r="HFW25" s="89"/>
      <c r="HFX25" s="89"/>
      <c r="HFY25" s="89"/>
      <c r="HFZ25" s="89"/>
      <c r="HGA25" s="89"/>
      <c r="HGB25" s="89"/>
      <c r="HGC25" s="89"/>
      <c r="HGD25" s="89"/>
      <c r="HGE25" s="89"/>
      <c r="HGF25" s="89"/>
      <c r="HGG25" s="89"/>
      <c r="HGH25" s="89"/>
      <c r="HGI25" s="89"/>
      <c r="HGJ25" s="89"/>
      <c r="HGK25" s="89"/>
      <c r="HGL25" s="89"/>
      <c r="HGM25" s="89"/>
      <c r="HGN25" s="89"/>
      <c r="HGO25" s="89"/>
      <c r="HGP25" s="89"/>
      <c r="HGQ25" s="89"/>
      <c r="HGR25" s="89"/>
      <c r="HGS25" s="89"/>
      <c r="HGT25" s="89"/>
      <c r="HGU25" s="89"/>
      <c r="HGV25" s="89"/>
      <c r="HGW25" s="89"/>
      <c r="HGX25" s="89"/>
      <c r="HGY25" s="89"/>
      <c r="HGZ25" s="89"/>
      <c r="HHA25" s="89"/>
      <c r="HHB25" s="89"/>
      <c r="HHC25" s="89"/>
      <c r="HHD25" s="89"/>
      <c r="HHE25" s="89"/>
      <c r="HHF25" s="89"/>
      <c r="HHG25" s="89"/>
      <c r="HHH25" s="89"/>
      <c r="HHI25" s="89"/>
      <c r="HHJ25" s="89"/>
      <c r="HHK25" s="89"/>
      <c r="HHL25" s="89"/>
      <c r="HHM25" s="89"/>
      <c r="HHN25" s="89"/>
      <c r="HHO25" s="89"/>
      <c r="HHP25" s="89"/>
      <c r="HHQ25" s="89"/>
      <c r="HHR25" s="89"/>
      <c r="HHS25" s="89"/>
      <c r="HHT25" s="89"/>
      <c r="HHU25" s="89"/>
      <c r="HHV25" s="89"/>
      <c r="HHW25" s="89"/>
      <c r="HHX25" s="89"/>
      <c r="HHY25" s="89"/>
      <c r="HHZ25" s="89"/>
      <c r="HIA25" s="89"/>
      <c r="HIB25" s="89"/>
      <c r="HIC25" s="89"/>
      <c r="HID25" s="89"/>
      <c r="HIE25" s="89"/>
      <c r="HIF25" s="89"/>
      <c r="HIG25" s="89"/>
      <c r="HIH25" s="89"/>
      <c r="HII25" s="89"/>
      <c r="HIJ25" s="89"/>
      <c r="HIK25" s="89"/>
      <c r="HIL25" s="89"/>
      <c r="HIM25" s="89"/>
      <c r="HIN25" s="89"/>
      <c r="HIO25" s="89"/>
      <c r="HIP25" s="89"/>
      <c r="HIQ25" s="89"/>
      <c r="HIR25" s="89"/>
      <c r="HIS25" s="89"/>
      <c r="HIT25" s="89"/>
      <c r="HIU25" s="89"/>
      <c r="HIV25" s="89"/>
      <c r="HIW25" s="89"/>
      <c r="HIX25" s="89"/>
      <c r="HIY25" s="89"/>
      <c r="HIZ25" s="89"/>
      <c r="HJA25" s="89"/>
      <c r="HJB25" s="89"/>
      <c r="HJC25" s="89"/>
      <c r="HJD25" s="89"/>
      <c r="HJE25" s="89"/>
      <c r="HJF25" s="89"/>
      <c r="HJG25" s="89"/>
      <c r="HJH25" s="89"/>
      <c r="HJI25" s="89"/>
      <c r="HJJ25" s="89"/>
      <c r="HJK25" s="89"/>
      <c r="HJL25" s="89"/>
      <c r="HJM25" s="89"/>
      <c r="HJN25" s="89"/>
      <c r="HJO25" s="89"/>
      <c r="HJP25" s="89"/>
      <c r="HJQ25" s="89"/>
      <c r="HJR25" s="89"/>
      <c r="HJS25" s="89"/>
      <c r="HJT25" s="89"/>
      <c r="HJU25" s="89"/>
      <c r="HJV25" s="89"/>
      <c r="HJW25" s="89"/>
      <c r="HJX25" s="89"/>
      <c r="HJY25" s="89"/>
      <c r="HJZ25" s="89"/>
      <c r="HKA25" s="89"/>
      <c r="HKB25" s="89"/>
      <c r="HKC25" s="89"/>
      <c r="HKD25" s="89"/>
      <c r="HKE25" s="89"/>
      <c r="HKF25" s="89"/>
      <c r="HKG25" s="89"/>
      <c r="HKH25" s="89"/>
      <c r="HKI25" s="89"/>
      <c r="HKJ25" s="89"/>
      <c r="HKK25" s="89"/>
      <c r="HKL25" s="89"/>
      <c r="HKM25" s="89"/>
      <c r="HKN25" s="89"/>
      <c r="HKO25" s="89"/>
      <c r="HKP25" s="89"/>
      <c r="HKQ25" s="89"/>
      <c r="HKR25" s="89"/>
      <c r="HKS25" s="89"/>
      <c r="HKT25" s="89"/>
      <c r="HKU25" s="89"/>
      <c r="HKV25" s="89"/>
      <c r="HKW25" s="89"/>
      <c r="HKX25" s="89"/>
      <c r="HKY25" s="89"/>
      <c r="HKZ25" s="89"/>
      <c r="HLA25" s="89"/>
      <c r="HLB25" s="89"/>
      <c r="HLC25" s="89"/>
      <c r="HLD25" s="89"/>
      <c r="HLE25" s="89"/>
      <c r="HLF25" s="89"/>
      <c r="HLG25" s="89"/>
      <c r="HLH25" s="89"/>
      <c r="HLI25" s="89"/>
      <c r="HLJ25" s="89"/>
      <c r="HLK25" s="89"/>
      <c r="HLL25" s="89"/>
      <c r="HLM25" s="89"/>
      <c r="HLN25" s="89"/>
      <c r="HLO25" s="89"/>
      <c r="HLP25" s="89"/>
      <c r="HLQ25" s="89"/>
      <c r="HLR25" s="89"/>
      <c r="HLS25" s="89"/>
      <c r="HLT25" s="89"/>
      <c r="HLU25" s="89"/>
      <c r="HLV25" s="89"/>
      <c r="HLW25" s="89"/>
      <c r="HLX25" s="89"/>
      <c r="HLY25" s="89"/>
      <c r="HLZ25" s="89"/>
      <c r="HMA25" s="89"/>
      <c r="HMB25" s="89"/>
      <c r="HMC25" s="89"/>
      <c r="HMD25" s="89"/>
      <c r="HME25" s="89"/>
      <c r="HMF25" s="89"/>
      <c r="HMG25" s="89"/>
      <c r="HMH25" s="89"/>
      <c r="HMI25" s="89"/>
      <c r="HMJ25" s="89"/>
      <c r="HMK25" s="89"/>
      <c r="HML25" s="89"/>
      <c r="HMM25" s="89"/>
      <c r="HMN25" s="89"/>
      <c r="HMO25" s="89"/>
      <c r="HMP25" s="89"/>
      <c r="HMQ25" s="89"/>
      <c r="HMR25" s="89"/>
      <c r="HMS25" s="89"/>
      <c r="HMT25" s="89"/>
      <c r="HMU25" s="89"/>
      <c r="HMV25" s="89"/>
      <c r="HMW25" s="89"/>
      <c r="HMX25" s="89"/>
      <c r="HMY25" s="89"/>
      <c r="HMZ25" s="89"/>
      <c r="HNA25" s="89"/>
      <c r="HNB25" s="89"/>
      <c r="HNC25" s="89"/>
      <c r="HND25" s="89"/>
      <c r="HNE25" s="89"/>
      <c r="HNF25" s="89"/>
      <c r="HNG25" s="89"/>
      <c r="HNH25" s="89"/>
      <c r="HNI25" s="89"/>
      <c r="HNJ25" s="89"/>
      <c r="HNK25" s="89"/>
      <c r="HNL25" s="89"/>
      <c r="HNM25" s="89"/>
      <c r="HNN25" s="89"/>
      <c r="HNO25" s="89"/>
      <c r="HNP25" s="89"/>
      <c r="HNQ25" s="89"/>
      <c r="HNR25" s="89"/>
      <c r="HNS25" s="89"/>
      <c r="HNT25" s="89"/>
      <c r="HNU25" s="89"/>
      <c r="HNV25" s="89"/>
      <c r="HNW25" s="89"/>
      <c r="HNX25" s="89"/>
      <c r="HNY25" s="89"/>
      <c r="HNZ25" s="89"/>
      <c r="HOA25" s="89"/>
      <c r="HOB25" s="89"/>
      <c r="HOC25" s="89"/>
      <c r="HOD25" s="89"/>
      <c r="HOE25" s="89"/>
      <c r="HOF25" s="89"/>
      <c r="HOG25" s="89"/>
      <c r="HOH25" s="89"/>
      <c r="HOI25" s="89"/>
      <c r="HOJ25" s="89"/>
      <c r="HOK25" s="89"/>
      <c r="HOL25" s="89"/>
      <c r="HOM25" s="89"/>
      <c r="HON25" s="89"/>
      <c r="HOO25" s="89"/>
      <c r="HOP25" s="89"/>
      <c r="HOQ25" s="89"/>
      <c r="HOR25" s="89"/>
      <c r="HOS25" s="89"/>
      <c r="HOT25" s="89"/>
      <c r="HOU25" s="89"/>
      <c r="HOV25" s="89"/>
      <c r="HOW25" s="89"/>
      <c r="HOX25" s="89"/>
      <c r="HOY25" s="89"/>
      <c r="HOZ25" s="89"/>
      <c r="HPA25" s="89"/>
      <c r="HPB25" s="89"/>
      <c r="HPC25" s="89"/>
      <c r="HPD25" s="89"/>
      <c r="HPE25" s="89"/>
      <c r="HPF25" s="89"/>
      <c r="HPG25" s="89"/>
      <c r="HPH25" s="89"/>
      <c r="HPI25" s="89"/>
      <c r="HPJ25" s="89"/>
      <c r="HPK25" s="89"/>
      <c r="HPL25" s="89"/>
      <c r="HPM25" s="89"/>
      <c r="HPN25" s="89"/>
      <c r="HPO25" s="89"/>
      <c r="HPP25" s="89"/>
      <c r="HPQ25" s="89"/>
      <c r="HPR25" s="89"/>
      <c r="HPS25" s="89"/>
      <c r="HPT25" s="89"/>
      <c r="HPU25" s="89"/>
      <c r="HPV25" s="89"/>
      <c r="HPW25" s="89"/>
      <c r="HPX25" s="89"/>
      <c r="HPY25" s="89"/>
      <c r="HPZ25" s="89"/>
      <c r="HQA25" s="89"/>
      <c r="HQB25" s="89"/>
      <c r="HQC25" s="89"/>
      <c r="HQD25" s="89"/>
      <c r="HQE25" s="89"/>
      <c r="HQF25" s="89"/>
      <c r="HQG25" s="89"/>
      <c r="HQH25" s="89"/>
      <c r="HQI25" s="89"/>
      <c r="HQJ25" s="89"/>
      <c r="HQK25" s="89"/>
      <c r="HQL25" s="89"/>
      <c r="HQM25" s="89"/>
      <c r="HQN25" s="89"/>
      <c r="HQO25" s="89"/>
      <c r="HQP25" s="89"/>
      <c r="HQQ25" s="89"/>
      <c r="HQR25" s="89"/>
      <c r="HQS25" s="89"/>
      <c r="HQT25" s="89"/>
      <c r="HQU25" s="89"/>
      <c r="HQV25" s="89"/>
      <c r="HQW25" s="89"/>
      <c r="HQX25" s="89"/>
      <c r="HQY25" s="89"/>
      <c r="HQZ25" s="89"/>
      <c r="HRA25" s="89"/>
      <c r="HRB25" s="89"/>
      <c r="HRC25" s="89"/>
      <c r="HRD25" s="89"/>
      <c r="HRE25" s="89"/>
      <c r="HRF25" s="89"/>
      <c r="HRG25" s="89"/>
      <c r="HRH25" s="89"/>
      <c r="HRI25" s="89"/>
      <c r="HRJ25" s="89"/>
      <c r="HRK25" s="89"/>
      <c r="HRL25" s="89"/>
      <c r="HRM25" s="89"/>
      <c r="HRN25" s="89"/>
      <c r="HRO25" s="89"/>
      <c r="HRP25" s="89"/>
      <c r="HRQ25" s="89"/>
      <c r="HRR25" s="89"/>
      <c r="HRS25" s="89"/>
      <c r="HRT25" s="89"/>
      <c r="HRU25" s="89"/>
      <c r="HRV25" s="89"/>
      <c r="HRW25" s="89"/>
      <c r="HRX25" s="89"/>
      <c r="HRY25" s="89"/>
      <c r="HRZ25" s="89"/>
      <c r="HSA25" s="89"/>
      <c r="HSB25" s="89"/>
      <c r="HSC25" s="89"/>
      <c r="HSD25" s="89"/>
      <c r="HSE25" s="89"/>
      <c r="HSF25" s="89"/>
      <c r="HSG25" s="89"/>
      <c r="HSH25" s="89"/>
      <c r="HSI25" s="89"/>
      <c r="HSJ25" s="89"/>
      <c r="HSK25" s="89"/>
      <c r="HSL25" s="89"/>
      <c r="HSM25" s="89"/>
      <c r="HSN25" s="89"/>
      <c r="HSO25" s="89"/>
      <c r="HSP25" s="89"/>
      <c r="HSQ25" s="89"/>
      <c r="HSR25" s="89"/>
      <c r="HSS25" s="89"/>
      <c r="HST25" s="89"/>
      <c r="HSU25" s="89"/>
      <c r="HSV25" s="89"/>
      <c r="HSW25" s="89"/>
      <c r="HSX25" s="89"/>
      <c r="HSY25" s="89"/>
      <c r="HSZ25" s="89"/>
      <c r="HTA25" s="89"/>
      <c r="HTB25" s="89"/>
      <c r="HTC25" s="89"/>
      <c r="HTD25" s="89"/>
      <c r="HTE25" s="89"/>
      <c r="HTF25" s="89"/>
      <c r="HTG25" s="89"/>
      <c r="HTH25" s="89"/>
      <c r="HTI25" s="89"/>
      <c r="HTJ25" s="89"/>
      <c r="HTK25" s="89"/>
      <c r="HTL25" s="89"/>
      <c r="HTM25" s="89"/>
      <c r="HTN25" s="89"/>
      <c r="HTO25" s="89"/>
      <c r="HTP25" s="89"/>
      <c r="HTQ25" s="89"/>
      <c r="HTR25" s="89"/>
      <c r="HTS25" s="89"/>
      <c r="HTT25" s="89"/>
      <c r="HTU25" s="89"/>
      <c r="HTV25" s="89"/>
      <c r="HTW25" s="89"/>
      <c r="HTX25" s="89"/>
      <c r="HTY25" s="89"/>
      <c r="HTZ25" s="89"/>
      <c r="HUA25" s="89"/>
      <c r="HUB25" s="89"/>
      <c r="HUC25" s="89"/>
      <c r="HUD25" s="89"/>
      <c r="HUE25" s="89"/>
      <c r="HUF25" s="89"/>
      <c r="HUG25" s="89"/>
      <c r="HUH25" s="89"/>
      <c r="HUI25" s="89"/>
      <c r="HUJ25" s="89"/>
      <c r="HUK25" s="89"/>
      <c r="HUL25" s="89"/>
      <c r="HUM25" s="89"/>
      <c r="HUN25" s="89"/>
      <c r="HUO25" s="89"/>
      <c r="HUP25" s="89"/>
      <c r="HUQ25" s="89"/>
      <c r="HUR25" s="89"/>
      <c r="HUS25" s="89"/>
      <c r="HUT25" s="89"/>
      <c r="HUU25" s="89"/>
      <c r="HUV25" s="89"/>
      <c r="HUW25" s="89"/>
      <c r="HUX25" s="89"/>
      <c r="HUY25" s="89"/>
      <c r="HUZ25" s="89"/>
      <c r="HVA25" s="89"/>
      <c r="HVB25" s="89"/>
      <c r="HVC25" s="89"/>
      <c r="HVD25" s="89"/>
      <c r="HVE25" s="89"/>
      <c r="HVF25" s="89"/>
      <c r="HVG25" s="89"/>
      <c r="HVH25" s="89"/>
      <c r="HVI25" s="89"/>
      <c r="HVJ25" s="89"/>
      <c r="HVK25" s="89"/>
      <c r="HVL25" s="89"/>
      <c r="HVM25" s="89"/>
      <c r="HVN25" s="89"/>
      <c r="HVO25" s="89"/>
      <c r="HVP25" s="89"/>
      <c r="HVQ25" s="89"/>
      <c r="HVR25" s="89"/>
      <c r="HVS25" s="89"/>
      <c r="HVT25" s="89"/>
      <c r="HVU25" s="89"/>
      <c r="HVV25" s="89"/>
      <c r="HVW25" s="89"/>
      <c r="HVX25" s="89"/>
      <c r="HVY25" s="89"/>
      <c r="HVZ25" s="89"/>
      <c r="HWA25" s="89"/>
      <c r="HWB25" s="89"/>
      <c r="HWC25" s="89"/>
      <c r="HWD25" s="89"/>
      <c r="HWE25" s="89"/>
      <c r="HWF25" s="89"/>
      <c r="HWG25" s="89"/>
      <c r="HWH25" s="89"/>
      <c r="HWI25" s="89"/>
      <c r="HWJ25" s="89"/>
      <c r="HWK25" s="89"/>
      <c r="HWL25" s="89"/>
      <c r="HWM25" s="89"/>
      <c r="HWN25" s="89"/>
      <c r="HWO25" s="89"/>
      <c r="HWP25" s="89"/>
      <c r="HWQ25" s="89"/>
      <c r="HWR25" s="89"/>
      <c r="HWS25" s="89"/>
      <c r="HWT25" s="89"/>
      <c r="HWU25" s="89"/>
      <c r="HWV25" s="89"/>
      <c r="HWW25" s="89"/>
      <c r="HWX25" s="89"/>
      <c r="HWY25" s="89"/>
      <c r="HWZ25" s="89"/>
      <c r="HXA25" s="89"/>
      <c r="HXB25" s="89"/>
      <c r="HXC25" s="89"/>
      <c r="HXD25" s="89"/>
      <c r="HXE25" s="89"/>
      <c r="HXF25" s="89"/>
      <c r="HXG25" s="89"/>
      <c r="HXH25" s="89"/>
      <c r="HXI25" s="89"/>
      <c r="HXJ25" s="89"/>
      <c r="HXK25" s="89"/>
      <c r="HXL25" s="89"/>
      <c r="HXM25" s="89"/>
      <c r="HXN25" s="89"/>
      <c r="HXO25" s="89"/>
      <c r="HXP25" s="89"/>
      <c r="HXQ25" s="89"/>
      <c r="HXR25" s="89"/>
      <c r="HXS25" s="89"/>
      <c r="HXT25" s="89"/>
      <c r="HXU25" s="89"/>
      <c r="HXV25" s="89"/>
      <c r="HXW25" s="89"/>
      <c r="HXX25" s="89"/>
      <c r="HXY25" s="89"/>
      <c r="HXZ25" s="89"/>
      <c r="HYA25" s="89"/>
      <c r="HYB25" s="89"/>
      <c r="HYC25" s="89"/>
      <c r="HYD25" s="89"/>
      <c r="HYE25" s="89"/>
      <c r="HYF25" s="89"/>
      <c r="HYG25" s="89"/>
      <c r="HYH25" s="89"/>
      <c r="HYI25" s="89"/>
      <c r="HYJ25" s="89"/>
      <c r="HYK25" s="89"/>
      <c r="HYL25" s="89"/>
      <c r="HYM25" s="89"/>
      <c r="HYN25" s="89"/>
      <c r="HYO25" s="89"/>
      <c r="HYP25" s="89"/>
      <c r="HYQ25" s="89"/>
      <c r="HYR25" s="89"/>
      <c r="HYS25" s="89"/>
      <c r="HYT25" s="89"/>
      <c r="HYU25" s="89"/>
      <c r="HYV25" s="89"/>
      <c r="HYW25" s="89"/>
      <c r="HYX25" s="89"/>
      <c r="HYY25" s="89"/>
      <c r="HYZ25" s="89"/>
      <c r="HZA25" s="89"/>
      <c r="HZB25" s="89"/>
      <c r="HZC25" s="89"/>
      <c r="HZD25" s="89"/>
      <c r="HZE25" s="89"/>
      <c r="HZF25" s="89"/>
      <c r="HZG25" s="89"/>
      <c r="HZH25" s="89"/>
      <c r="HZI25" s="89"/>
      <c r="HZJ25" s="89"/>
      <c r="HZK25" s="89"/>
      <c r="HZL25" s="89"/>
      <c r="HZM25" s="89"/>
      <c r="HZN25" s="89"/>
      <c r="HZO25" s="89"/>
      <c r="HZP25" s="89"/>
      <c r="HZQ25" s="89"/>
      <c r="HZR25" s="89"/>
      <c r="HZS25" s="89"/>
      <c r="HZT25" s="89"/>
      <c r="HZU25" s="89"/>
      <c r="HZV25" s="89"/>
      <c r="HZW25" s="89"/>
      <c r="HZX25" s="89"/>
      <c r="HZY25" s="89"/>
      <c r="HZZ25" s="89"/>
      <c r="IAA25" s="89"/>
      <c r="IAB25" s="89"/>
      <c r="IAC25" s="89"/>
      <c r="IAD25" s="89"/>
      <c r="IAE25" s="89"/>
      <c r="IAF25" s="89"/>
      <c r="IAG25" s="89"/>
      <c r="IAH25" s="89"/>
      <c r="IAI25" s="89"/>
      <c r="IAJ25" s="89"/>
      <c r="IAK25" s="89"/>
      <c r="IAL25" s="89"/>
      <c r="IAM25" s="89"/>
      <c r="IAN25" s="89"/>
      <c r="IAO25" s="89"/>
      <c r="IAP25" s="89"/>
      <c r="IAQ25" s="89"/>
      <c r="IAR25" s="89"/>
      <c r="IAS25" s="89"/>
      <c r="IAT25" s="89"/>
      <c r="IAU25" s="89"/>
      <c r="IAV25" s="89"/>
      <c r="IAW25" s="89"/>
      <c r="IAX25" s="89"/>
      <c r="IAY25" s="89"/>
      <c r="IAZ25" s="89"/>
      <c r="IBA25" s="89"/>
      <c r="IBB25" s="89"/>
      <c r="IBC25" s="89"/>
      <c r="IBD25" s="89"/>
      <c r="IBE25" s="89"/>
      <c r="IBF25" s="89"/>
      <c r="IBG25" s="89"/>
      <c r="IBH25" s="89"/>
      <c r="IBI25" s="89"/>
      <c r="IBJ25" s="89"/>
      <c r="IBK25" s="89"/>
      <c r="IBL25" s="89"/>
      <c r="IBM25" s="89"/>
      <c r="IBN25" s="89"/>
      <c r="IBO25" s="89"/>
      <c r="IBP25" s="89"/>
      <c r="IBQ25" s="89"/>
      <c r="IBR25" s="89"/>
      <c r="IBS25" s="89"/>
      <c r="IBT25" s="89"/>
      <c r="IBU25" s="89"/>
      <c r="IBV25" s="89"/>
      <c r="IBW25" s="89"/>
      <c r="IBX25" s="89"/>
      <c r="IBY25" s="89"/>
      <c r="IBZ25" s="89"/>
      <c r="ICA25" s="89"/>
      <c r="ICB25" s="89"/>
      <c r="ICC25" s="89"/>
      <c r="ICD25" s="89"/>
      <c r="ICE25" s="89"/>
      <c r="ICF25" s="89"/>
      <c r="ICG25" s="89"/>
      <c r="ICH25" s="89"/>
      <c r="ICI25" s="89"/>
      <c r="ICJ25" s="89"/>
      <c r="ICK25" s="89"/>
      <c r="ICL25" s="89"/>
      <c r="ICM25" s="89"/>
      <c r="ICN25" s="89"/>
      <c r="ICO25" s="89"/>
      <c r="ICP25" s="89"/>
      <c r="ICQ25" s="89"/>
      <c r="ICR25" s="89"/>
      <c r="ICS25" s="89"/>
      <c r="ICT25" s="89"/>
      <c r="ICU25" s="89"/>
      <c r="ICV25" s="89"/>
      <c r="ICW25" s="89"/>
      <c r="ICX25" s="89"/>
      <c r="ICY25" s="89"/>
      <c r="ICZ25" s="89"/>
      <c r="IDA25" s="89"/>
      <c r="IDB25" s="89"/>
      <c r="IDC25" s="89"/>
      <c r="IDD25" s="89"/>
      <c r="IDE25" s="89"/>
      <c r="IDF25" s="89"/>
      <c r="IDG25" s="89"/>
      <c r="IDH25" s="89"/>
      <c r="IDI25" s="89"/>
      <c r="IDJ25" s="89"/>
      <c r="IDK25" s="89"/>
      <c r="IDL25" s="89"/>
      <c r="IDM25" s="89"/>
      <c r="IDN25" s="89"/>
      <c r="IDO25" s="89"/>
      <c r="IDP25" s="89"/>
      <c r="IDQ25" s="89"/>
      <c r="IDR25" s="89"/>
      <c r="IDS25" s="89"/>
      <c r="IDT25" s="89"/>
      <c r="IDU25" s="89"/>
      <c r="IDV25" s="89"/>
      <c r="IDW25" s="89"/>
      <c r="IDX25" s="89"/>
      <c r="IDY25" s="89"/>
      <c r="IDZ25" s="89"/>
      <c r="IEA25" s="89"/>
      <c r="IEB25" s="89"/>
      <c r="IEC25" s="89"/>
      <c r="IED25" s="89"/>
      <c r="IEE25" s="89"/>
      <c r="IEF25" s="89"/>
      <c r="IEG25" s="89"/>
      <c r="IEH25" s="89"/>
      <c r="IEI25" s="89"/>
      <c r="IEJ25" s="89"/>
      <c r="IEK25" s="89"/>
      <c r="IEL25" s="89"/>
      <c r="IEM25" s="89"/>
      <c r="IEN25" s="89"/>
      <c r="IEO25" s="89"/>
      <c r="IEP25" s="89"/>
      <c r="IEQ25" s="89"/>
      <c r="IER25" s="89"/>
      <c r="IES25" s="89"/>
      <c r="IET25" s="89"/>
      <c r="IEU25" s="89"/>
      <c r="IEV25" s="89"/>
      <c r="IEW25" s="89"/>
      <c r="IEX25" s="89"/>
      <c r="IEY25" s="89"/>
      <c r="IEZ25" s="89"/>
      <c r="IFA25" s="89"/>
      <c r="IFB25" s="89"/>
      <c r="IFC25" s="89"/>
      <c r="IFD25" s="89"/>
      <c r="IFE25" s="89"/>
      <c r="IFF25" s="89"/>
      <c r="IFG25" s="89"/>
      <c r="IFH25" s="89"/>
      <c r="IFI25" s="89"/>
      <c r="IFJ25" s="89"/>
      <c r="IFK25" s="89"/>
      <c r="IFL25" s="89"/>
      <c r="IFM25" s="89"/>
      <c r="IFN25" s="89"/>
      <c r="IFO25" s="89"/>
      <c r="IFP25" s="89"/>
      <c r="IFQ25" s="89"/>
      <c r="IFR25" s="89"/>
      <c r="IFS25" s="89"/>
      <c r="IFT25" s="89"/>
      <c r="IFU25" s="89"/>
      <c r="IFV25" s="89"/>
      <c r="IFW25" s="89"/>
      <c r="IFX25" s="89"/>
      <c r="IFY25" s="89"/>
      <c r="IFZ25" s="89"/>
      <c r="IGA25" s="89"/>
      <c r="IGB25" s="89"/>
      <c r="IGC25" s="89"/>
      <c r="IGD25" s="89"/>
      <c r="IGE25" s="89"/>
      <c r="IGF25" s="89"/>
      <c r="IGG25" s="89"/>
      <c r="IGH25" s="89"/>
      <c r="IGI25" s="89"/>
      <c r="IGJ25" s="89"/>
      <c r="IGK25" s="89"/>
      <c r="IGL25" s="89"/>
      <c r="IGM25" s="89"/>
      <c r="IGN25" s="89"/>
      <c r="IGO25" s="89"/>
      <c r="IGP25" s="89"/>
      <c r="IGQ25" s="89"/>
      <c r="IGR25" s="89"/>
      <c r="IGS25" s="89"/>
      <c r="IGT25" s="89"/>
      <c r="IGU25" s="89"/>
      <c r="IGV25" s="89"/>
      <c r="IGW25" s="89"/>
      <c r="IGX25" s="89"/>
      <c r="IGY25" s="89"/>
      <c r="IGZ25" s="89"/>
      <c r="IHA25" s="89"/>
      <c r="IHB25" s="89"/>
      <c r="IHC25" s="89"/>
      <c r="IHD25" s="89"/>
      <c r="IHE25" s="89"/>
      <c r="IHF25" s="89"/>
      <c r="IHG25" s="89"/>
      <c r="IHH25" s="89"/>
      <c r="IHI25" s="89"/>
      <c r="IHJ25" s="89"/>
      <c r="IHK25" s="89"/>
      <c r="IHL25" s="89"/>
      <c r="IHM25" s="89"/>
      <c r="IHN25" s="89"/>
      <c r="IHO25" s="89"/>
      <c r="IHP25" s="89"/>
      <c r="IHQ25" s="89"/>
      <c r="IHR25" s="89"/>
      <c r="IHS25" s="89"/>
      <c r="IHT25" s="89"/>
      <c r="IHU25" s="89"/>
      <c r="IHV25" s="89"/>
      <c r="IHW25" s="89"/>
      <c r="IHX25" s="89"/>
      <c r="IHY25" s="89"/>
      <c r="IHZ25" s="89"/>
      <c r="IIA25" s="89"/>
      <c r="IIB25" s="89"/>
      <c r="IIC25" s="89"/>
      <c r="IID25" s="89"/>
      <c r="IIE25" s="89"/>
      <c r="IIF25" s="89"/>
      <c r="IIG25" s="89"/>
      <c r="IIH25" s="89"/>
      <c r="III25" s="89"/>
      <c r="IIJ25" s="89"/>
      <c r="IIK25" s="89"/>
      <c r="IIL25" s="89"/>
      <c r="IIM25" s="89"/>
      <c r="IIN25" s="89"/>
      <c r="IIO25" s="89"/>
      <c r="IIP25" s="89"/>
      <c r="IIQ25" s="89"/>
      <c r="IIR25" s="89"/>
      <c r="IIS25" s="89"/>
      <c r="IIT25" s="89"/>
      <c r="IIU25" s="89"/>
      <c r="IIV25" s="89"/>
      <c r="IIW25" s="89"/>
      <c r="IIX25" s="89"/>
      <c r="IIY25" s="89"/>
      <c r="IIZ25" s="89"/>
      <c r="IJA25" s="89"/>
      <c r="IJB25" s="89"/>
      <c r="IJC25" s="89"/>
      <c r="IJD25" s="89"/>
      <c r="IJE25" s="89"/>
      <c r="IJF25" s="89"/>
      <c r="IJG25" s="89"/>
      <c r="IJH25" s="89"/>
      <c r="IJI25" s="89"/>
      <c r="IJJ25" s="89"/>
      <c r="IJK25" s="89"/>
      <c r="IJL25" s="89"/>
      <c r="IJM25" s="89"/>
      <c r="IJN25" s="89"/>
      <c r="IJO25" s="89"/>
      <c r="IJP25" s="89"/>
      <c r="IJQ25" s="89"/>
      <c r="IJR25" s="89"/>
      <c r="IJS25" s="89"/>
      <c r="IJT25" s="89"/>
      <c r="IJU25" s="89"/>
      <c r="IJV25" s="89"/>
      <c r="IJW25" s="89"/>
      <c r="IJX25" s="89"/>
      <c r="IJY25" s="89"/>
      <c r="IJZ25" s="89"/>
      <c r="IKA25" s="89"/>
      <c r="IKB25" s="89"/>
      <c r="IKC25" s="89"/>
      <c r="IKD25" s="89"/>
      <c r="IKE25" s="89"/>
      <c r="IKF25" s="89"/>
      <c r="IKG25" s="89"/>
      <c r="IKH25" s="89"/>
      <c r="IKI25" s="89"/>
      <c r="IKJ25" s="89"/>
      <c r="IKK25" s="89"/>
      <c r="IKL25" s="89"/>
      <c r="IKM25" s="89"/>
      <c r="IKN25" s="89"/>
      <c r="IKO25" s="89"/>
      <c r="IKP25" s="89"/>
      <c r="IKQ25" s="89"/>
      <c r="IKR25" s="89"/>
      <c r="IKS25" s="89"/>
      <c r="IKT25" s="89"/>
      <c r="IKU25" s="89"/>
      <c r="IKV25" s="89"/>
      <c r="IKW25" s="89"/>
      <c r="IKX25" s="89"/>
      <c r="IKY25" s="89"/>
      <c r="IKZ25" s="89"/>
      <c r="ILA25" s="89"/>
      <c r="ILB25" s="89"/>
      <c r="ILC25" s="89"/>
      <c r="ILD25" s="89"/>
      <c r="ILE25" s="89"/>
      <c r="ILF25" s="89"/>
      <c r="ILG25" s="89"/>
      <c r="ILH25" s="89"/>
      <c r="ILI25" s="89"/>
      <c r="ILJ25" s="89"/>
      <c r="ILK25" s="89"/>
      <c r="ILL25" s="89"/>
      <c r="ILM25" s="89"/>
      <c r="ILN25" s="89"/>
      <c r="ILO25" s="89"/>
      <c r="ILP25" s="89"/>
      <c r="ILQ25" s="89"/>
      <c r="ILR25" s="89"/>
      <c r="ILS25" s="89"/>
      <c r="ILT25" s="89"/>
      <c r="ILU25" s="89"/>
      <c r="ILV25" s="89"/>
      <c r="ILW25" s="89"/>
      <c r="ILX25" s="89"/>
      <c r="ILY25" s="89"/>
      <c r="ILZ25" s="89"/>
      <c r="IMA25" s="89"/>
      <c r="IMB25" s="89"/>
      <c r="IMC25" s="89"/>
      <c r="IMD25" s="89"/>
      <c r="IME25" s="89"/>
      <c r="IMF25" s="89"/>
      <c r="IMG25" s="89"/>
      <c r="IMH25" s="89"/>
      <c r="IMI25" s="89"/>
      <c r="IMJ25" s="89"/>
      <c r="IMK25" s="89"/>
      <c r="IML25" s="89"/>
      <c r="IMM25" s="89"/>
      <c r="IMN25" s="89"/>
      <c r="IMO25" s="89"/>
      <c r="IMP25" s="89"/>
      <c r="IMQ25" s="89"/>
      <c r="IMR25" s="89"/>
      <c r="IMS25" s="89"/>
      <c r="IMT25" s="89"/>
      <c r="IMU25" s="89"/>
      <c r="IMV25" s="89"/>
      <c r="IMW25" s="89"/>
      <c r="IMX25" s="89"/>
      <c r="IMY25" s="89"/>
      <c r="IMZ25" s="89"/>
      <c r="INA25" s="89"/>
      <c r="INB25" s="89"/>
      <c r="INC25" s="89"/>
      <c r="IND25" s="89"/>
      <c r="INE25" s="89"/>
      <c r="INF25" s="89"/>
      <c r="ING25" s="89"/>
      <c r="INH25" s="89"/>
      <c r="INI25" s="89"/>
      <c r="INJ25" s="89"/>
      <c r="INK25" s="89"/>
      <c r="INL25" s="89"/>
      <c r="INM25" s="89"/>
      <c r="INN25" s="89"/>
      <c r="INO25" s="89"/>
      <c r="INP25" s="89"/>
      <c r="INQ25" s="89"/>
      <c r="INR25" s="89"/>
      <c r="INS25" s="89"/>
      <c r="INT25" s="89"/>
      <c r="INU25" s="89"/>
      <c r="INV25" s="89"/>
      <c r="INW25" s="89"/>
      <c r="INX25" s="89"/>
      <c r="INY25" s="89"/>
      <c r="INZ25" s="89"/>
      <c r="IOA25" s="89"/>
      <c r="IOB25" s="89"/>
      <c r="IOC25" s="89"/>
      <c r="IOD25" s="89"/>
      <c r="IOE25" s="89"/>
      <c r="IOF25" s="89"/>
      <c r="IOG25" s="89"/>
      <c r="IOH25" s="89"/>
      <c r="IOI25" s="89"/>
      <c r="IOJ25" s="89"/>
      <c r="IOK25" s="89"/>
      <c r="IOL25" s="89"/>
      <c r="IOM25" s="89"/>
      <c r="ION25" s="89"/>
      <c r="IOO25" s="89"/>
      <c r="IOP25" s="89"/>
      <c r="IOQ25" s="89"/>
      <c r="IOR25" s="89"/>
      <c r="IOS25" s="89"/>
      <c r="IOT25" s="89"/>
      <c r="IOU25" s="89"/>
      <c r="IOV25" s="89"/>
      <c r="IOW25" s="89"/>
      <c r="IOX25" s="89"/>
      <c r="IOY25" s="89"/>
      <c r="IOZ25" s="89"/>
      <c r="IPA25" s="89"/>
      <c r="IPB25" s="89"/>
      <c r="IPC25" s="89"/>
      <c r="IPD25" s="89"/>
      <c r="IPE25" s="89"/>
      <c r="IPF25" s="89"/>
      <c r="IPG25" s="89"/>
      <c r="IPH25" s="89"/>
      <c r="IPI25" s="89"/>
      <c r="IPJ25" s="89"/>
      <c r="IPK25" s="89"/>
      <c r="IPL25" s="89"/>
      <c r="IPM25" s="89"/>
      <c r="IPN25" s="89"/>
      <c r="IPO25" s="89"/>
      <c r="IPP25" s="89"/>
      <c r="IPQ25" s="89"/>
      <c r="IPR25" s="89"/>
      <c r="IPS25" s="89"/>
      <c r="IPT25" s="89"/>
      <c r="IPU25" s="89"/>
      <c r="IPV25" s="89"/>
      <c r="IPW25" s="89"/>
      <c r="IPX25" s="89"/>
      <c r="IPY25" s="89"/>
      <c r="IPZ25" s="89"/>
      <c r="IQA25" s="89"/>
      <c r="IQB25" s="89"/>
      <c r="IQC25" s="89"/>
      <c r="IQD25" s="89"/>
      <c r="IQE25" s="89"/>
      <c r="IQF25" s="89"/>
      <c r="IQG25" s="89"/>
      <c r="IQH25" s="89"/>
      <c r="IQI25" s="89"/>
      <c r="IQJ25" s="89"/>
      <c r="IQK25" s="89"/>
      <c r="IQL25" s="89"/>
      <c r="IQM25" s="89"/>
      <c r="IQN25" s="89"/>
      <c r="IQO25" s="89"/>
      <c r="IQP25" s="89"/>
      <c r="IQQ25" s="89"/>
      <c r="IQR25" s="89"/>
      <c r="IQS25" s="89"/>
      <c r="IQT25" s="89"/>
      <c r="IQU25" s="89"/>
      <c r="IQV25" s="89"/>
      <c r="IQW25" s="89"/>
      <c r="IQX25" s="89"/>
      <c r="IQY25" s="89"/>
      <c r="IQZ25" s="89"/>
      <c r="IRA25" s="89"/>
      <c r="IRB25" s="89"/>
      <c r="IRC25" s="89"/>
      <c r="IRD25" s="89"/>
      <c r="IRE25" s="89"/>
      <c r="IRF25" s="89"/>
      <c r="IRG25" s="89"/>
      <c r="IRH25" s="89"/>
      <c r="IRI25" s="89"/>
      <c r="IRJ25" s="89"/>
      <c r="IRK25" s="89"/>
      <c r="IRL25" s="89"/>
      <c r="IRM25" s="89"/>
      <c r="IRN25" s="89"/>
      <c r="IRO25" s="89"/>
      <c r="IRP25" s="89"/>
      <c r="IRQ25" s="89"/>
      <c r="IRR25" s="89"/>
      <c r="IRS25" s="89"/>
      <c r="IRT25" s="89"/>
      <c r="IRU25" s="89"/>
      <c r="IRV25" s="89"/>
      <c r="IRW25" s="89"/>
      <c r="IRX25" s="89"/>
      <c r="IRY25" s="89"/>
      <c r="IRZ25" s="89"/>
      <c r="ISA25" s="89"/>
      <c r="ISB25" s="89"/>
      <c r="ISC25" s="89"/>
      <c r="ISD25" s="89"/>
      <c r="ISE25" s="89"/>
      <c r="ISF25" s="89"/>
      <c r="ISG25" s="89"/>
      <c r="ISH25" s="89"/>
      <c r="ISI25" s="89"/>
      <c r="ISJ25" s="89"/>
      <c r="ISK25" s="89"/>
      <c r="ISL25" s="89"/>
      <c r="ISM25" s="89"/>
      <c r="ISN25" s="89"/>
      <c r="ISO25" s="89"/>
      <c r="ISP25" s="89"/>
      <c r="ISQ25" s="89"/>
      <c r="ISR25" s="89"/>
      <c r="ISS25" s="89"/>
      <c r="IST25" s="89"/>
      <c r="ISU25" s="89"/>
      <c r="ISV25" s="89"/>
      <c r="ISW25" s="89"/>
      <c r="ISX25" s="89"/>
      <c r="ISY25" s="89"/>
      <c r="ISZ25" s="89"/>
      <c r="ITA25" s="89"/>
      <c r="ITB25" s="89"/>
      <c r="ITC25" s="89"/>
      <c r="ITD25" s="89"/>
      <c r="ITE25" s="89"/>
      <c r="ITF25" s="89"/>
      <c r="ITG25" s="89"/>
      <c r="ITH25" s="89"/>
      <c r="ITI25" s="89"/>
      <c r="ITJ25" s="89"/>
      <c r="ITK25" s="89"/>
      <c r="ITL25" s="89"/>
      <c r="ITM25" s="89"/>
      <c r="ITN25" s="89"/>
      <c r="ITO25" s="89"/>
      <c r="ITP25" s="89"/>
      <c r="ITQ25" s="89"/>
      <c r="ITR25" s="89"/>
      <c r="ITS25" s="89"/>
      <c r="ITT25" s="89"/>
      <c r="ITU25" s="89"/>
      <c r="ITV25" s="89"/>
      <c r="ITW25" s="89"/>
      <c r="ITX25" s="89"/>
      <c r="ITY25" s="89"/>
      <c r="ITZ25" s="89"/>
      <c r="IUA25" s="89"/>
      <c r="IUB25" s="89"/>
      <c r="IUC25" s="89"/>
      <c r="IUD25" s="89"/>
      <c r="IUE25" s="89"/>
      <c r="IUF25" s="89"/>
      <c r="IUG25" s="89"/>
      <c r="IUH25" s="89"/>
      <c r="IUI25" s="89"/>
      <c r="IUJ25" s="89"/>
      <c r="IUK25" s="89"/>
      <c r="IUL25" s="89"/>
      <c r="IUM25" s="89"/>
      <c r="IUN25" s="89"/>
      <c r="IUO25" s="89"/>
      <c r="IUP25" s="89"/>
      <c r="IUQ25" s="89"/>
      <c r="IUR25" s="89"/>
      <c r="IUS25" s="89"/>
      <c r="IUT25" s="89"/>
      <c r="IUU25" s="89"/>
      <c r="IUV25" s="89"/>
      <c r="IUW25" s="89"/>
      <c r="IUX25" s="89"/>
      <c r="IUY25" s="89"/>
      <c r="IUZ25" s="89"/>
      <c r="IVA25" s="89"/>
      <c r="IVB25" s="89"/>
      <c r="IVC25" s="89"/>
      <c r="IVD25" s="89"/>
      <c r="IVE25" s="89"/>
      <c r="IVF25" s="89"/>
      <c r="IVG25" s="89"/>
      <c r="IVH25" s="89"/>
      <c r="IVI25" s="89"/>
      <c r="IVJ25" s="89"/>
      <c r="IVK25" s="89"/>
      <c r="IVL25" s="89"/>
      <c r="IVM25" s="89"/>
      <c r="IVN25" s="89"/>
      <c r="IVO25" s="89"/>
      <c r="IVP25" s="89"/>
      <c r="IVQ25" s="89"/>
      <c r="IVR25" s="89"/>
      <c r="IVS25" s="89"/>
      <c r="IVT25" s="89"/>
      <c r="IVU25" s="89"/>
      <c r="IVV25" s="89"/>
      <c r="IVW25" s="89"/>
      <c r="IVX25" s="89"/>
      <c r="IVY25" s="89"/>
      <c r="IVZ25" s="89"/>
      <c r="IWA25" s="89"/>
      <c r="IWB25" s="89"/>
      <c r="IWC25" s="89"/>
      <c r="IWD25" s="89"/>
      <c r="IWE25" s="89"/>
      <c r="IWF25" s="89"/>
      <c r="IWG25" s="89"/>
      <c r="IWH25" s="89"/>
      <c r="IWI25" s="89"/>
      <c r="IWJ25" s="89"/>
      <c r="IWK25" s="89"/>
      <c r="IWL25" s="89"/>
      <c r="IWM25" s="89"/>
      <c r="IWN25" s="89"/>
      <c r="IWO25" s="89"/>
      <c r="IWP25" s="89"/>
      <c r="IWQ25" s="89"/>
      <c r="IWR25" s="89"/>
      <c r="IWS25" s="89"/>
      <c r="IWT25" s="89"/>
      <c r="IWU25" s="89"/>
      <c r="IWV25" s="89"/>
      <c r="IWW25" s="89"/>
      <c r="IWX25" s="89"/>
      <c r="IWY25" s="89"/>
      <c r="IWZ25" s="89"/>
      <c r="IXA25" s="89"/>
      <c r="IXB25" s="89"/>
      <c r="IXC25" s="89"/>
      <c r="IXD25" s="89"/>
      <c r="IXE25" s="89"/>
      <c r="IXF25" s="89"/>
      <c r="IXG25" s="89"/>
      <c r="IXH25" s="89"/>
      <c r="IXI25" s="89"/>
      <c r="IXJ25" s="89"/>
      <c r="IXK25" s="89"/>
      <c r="IXL25" s="89"/>
      <c r="IXM25" s="89"/>
      <c r="IXN25" s="89"/>
      <c r="IXO25" s="89"/>
      <c r="IXP25" s="89"/>
      <c r="IXQ25" s="89"/>
      <c r="IXR25" s="89"/>
      <c r="IXS25" s="89"/>
      <c r="IXT25" s="89"/>
      <c r="IXU25" s="89"/>
      <c r="IXV25" s="89"/>
      <c r="IXW25" s="89"/>
      <c r="IXX25" s="89"/>
      <c r="IXY25" s="89"/>
      <c r="IXZ25" s="89"/>
      <c r="IYA25" s="89"/>
      <c r="IYB25" s="89"/>
      <c r="IYC25" s="89"/>
      <c r="IYD25" s="89"/>
      <c r="IYE25" s="89"/>
      <c r="IYF25" s="89"/>
      <c r="IYG25" s="89"/>
      <c r="IYH25" s="89"/>
      <c r="IYI25" s="89"/>
      <c r="IYJ25" s="89"/>
      <c r="IYK25" s="89"/>
      <c r="IYL25" s="89"/>
      <c r="IYM25" s="89"/>
      <c r="IYN25" s="89"/>
      <c r="IYO25" s="89"/>
      <c r="IYP25" s="89"/>
      <c r="IYQ25" s="89"/>
      <c r="IYR25" s="89"/>
      <c r="IYS25" s="89"/>
      <c r="IYT25" s="89"/>
      <c r="IYU25" s="89"/>
      <c r="IYV25" s="89"/>
      <c r="IYW25" s="89"/>
      <c r="IYX25" s="89"/>
      <c r="IYY25" s="89"/>
      <c r="IYZ25" s="89"/>
      <c r="IZA25" s="89"/>
      <c r="IZB25" s="89"/>
      <c r="IZC25" s="89"/>
      <c r="IZD25" s="89"/>
      <c r="IZE25" s="89"/>
      <c r="IZF25" s="89"/>
      <c r="IZG25" s="89"/>
      <c r="IZH25" s="89"/>
      <c r="IZI25" s="89"/>
      <c r="IZJ25" s="89"/>
      <c r="IZK25" s="89"/>
      <c r="IZL25" s="89"/>
      <c r="IZM25" s="89"/>
      <c r="IZN25" s="89"/>
      <c r="IZO25" s="89"/>
      <c r="IZP25" s="89"/>
      <c r="IZQ25" s="89"/>
      <c r="IZR25" s="89"/>
      <c r="IZS25" s="89"/>
      <c r="IZT25" s="89"/>
      <c r="IZU25" s="89"/>
      <c r="IZV25" s="89"/>
      <c r="IZW25" s="89"/>
      <c r="IZX25" s="89"/>
      <c r="IZY25" s="89"/>
      <c r="IZZ25" s="89"/>
      <c r="JAA25" s="89"/>
      <c r="JAB25" s="89"/>
      <c r="JAC25" s="89"/>
      <c r="JAD25" s="89"/>
      <c r="JAE25" s="89"/>
      <c r="JAF25" s="89"/>
      <c r="JAG25" s="89"/>
      <c r="JAH25" s="89"/>
      <c r="JAI25" s="89"/>
      <c r="JAJ25" s="89"/>
      <c r="JAK25" s="89"/>
      <c r="JAL25" s="89"/>
      <c r="JAM25" s="89"/>
      <c r="JAN25" s="89"/>
      <c r="JAO25" s="89"/>
      <c r="JAP25" s="89"/>
      <c r="JAQ25" s="89"/>
      <c r="JAR25" s="89"/>
      <c r="JAS25" s="89"/>
      <c r="JAT25" s="89"/>
      <c r="JAU25" s="89"/>
      <c r="JAV25" s="89"/>
      <c r="JAW25" s="89"/>
      <c r="JAX25" s="89"/>
      <c r="JAY25" s="89"/>
      <c r="JAZ25" s="89"/>
      <c r="JBA25" s="89"/>
      <c r="JBB25" s="89"/>
      <c r="JBC25" s="89"/>
      <c r="JBD25" s="89"/>
      <c r="JBE25" s="89"/>
      <c r="JBF25" s="89"/>
      <c r="JBG25" s="89"/>
      <c r="JBH25" s="89"/>
      <c r="JBI25" s="89"/>
      <c r="JBJ25" s="89"/>
      <c r="JBK25" s="89"/>
      <c r="JBL25" s="89"/>
      <c r="JBM25" s="89"/>
      <c r="JBN25" s="89"/>
      <c r="JBO25" s="89"/>
      <c r="JBP25" s="89"/>
      <c r="JBQ25" s="89"/>
      <c r="JBR25" s="89"/>
      <c r="JBS25" s="89"/>
      <c r="JBT25" s="89"/>
      <c r="JBU25" s="89"/>
      <c r="JBV25" s="89"/>
      <c r="JBW25" s="89"/>
      <c r="JBX25" s="89"/>
      <c r="JBY25" s="89"/>
      <c r="JBZ25" s="89"/>
      <c r="JCA25" s="89"/>
      <c r="JCB25" s="89"/>
      <c r="JCC25" s="89"/>
      <c r="JCD25" s="89"/>
      <c r="JCE25" s="89"/>
      <c r="JCF25" s="89"/>
      <c r="JCG25" s="89"/>
      <c r="JCH25" s="89"/>
      <c r="JCI25" s="89"/>
      <c r="JCJ25" s="89"/>
      <c r="JCK25" s="89"/>
      <c r="JCL25" s="89"/>
      <c r="JCM25" s="89"/>
      <c r="JCN25" s="89"/>
      <c r="JCO25" s="89"/>
      <c r="JCP25" s="89"/>
      <c r="JCQ25" s="89"/>
      <c r="JCR25" s="89"/>
      <c r="JCS25" s="89"/>
      <c r="JCT25" s="89"/>
      <c r="JCU25" s="89"/>
      <c r="JCV25" s="89"/>
      <c r="JCW25" s="89"/>
      <c r="JCX25" s="89"/>
      <c r="JCY25" s="89"/>
      <c r="JCZ25" s="89"/>
      <c r="JDA25" s="89"/>
      <c r="JDB25" s="89"/>
      <c r="JDC25" s="89"/>
      <c r="JDD25" s="89"/>
      <c r="JDE25" s="89"/>
      <c r="JDF25" s="89"/>
      <c r="JDG25" s="89"/>
      <c r="JDH25" s="89"/>
      <c r="JDI25" s="89"/>
      <c r="JDJ25" s="89"/>
      <c r="JDK25" s="89"/>
      <c r="JDL25" s="89"/>
      <c r="JDM25" s="89"/>
      <c r="JDN25" s="89"/>
      <c r="JDO25" s="89"/>
      <c r="JDP25" s="89"/>
      <c r="JDQ25" s="89"/>
      <c r="JDR25" s="89"/>
      <c r="JDS25" s="89"/>
      <c r="JDT25" s="89"/>
      <c r="JDU25" s="89"/>
      <c r="JDV25" s="89"/>
      <c r="JDW25" s="89"/>
      <c r="JDX25" s="89"/>
      <c r="JDY25" s="89"/>
      <c r="JDZ25" s="89"/>
      <c r="JEA25" s="89"/>
      <c r="JEB25" s="89"/>
      <c r="JEC25" s="89"/>
      <c r="JED25" s="89"/>
      <c r="JEE25" s="89"/>
      <c r="JEF25" s="89"/>
      <c r="JEG25" s="89"/>
      <c r="JEH25" s="89"/>
      <c r="JEI25" s="89"/>
      <c r="JEJ25" s="89"/>
      <c r="JEK25" s="89"/>
      <c r="JEL25" s="89"/>
      <c r="JEM25" s="89"/>
      <c r="JEN25" s="89"/>
      <c r="JEO25" s="89"/>
      <c r="JEP25" s="89"/>
      <c r="JEQ25" s="89"/>
      <c r="JER25" s="89"/>
      <c r="JES25" s="89"/>
      <c r="JET25" s="89"/>
      <c r="JEU25" s="89"/>
      <c r="JEV25" s="89"/>
      <c r="JEW25" s="89"/>
      <c r="JEX25" s="89"/>
      <c r="JEY25" s="89"/>
      <c r="JEZ25" s="89"/>
      <c r="JFA25" s="89"/>
      <c r="JFB25" s="89"/>
      <c r="JFC25" s="89"/>
      <c r="JFD25" s="89"/>
      <c r="JFE25" s="89"/>
      <c r="JFF25" s="89"/>
      <c r="JFG25" s="89"/>
      <c r="JFH25" s="89"/>
      <c r="JFI25" s="89"/>
      <c r="JFJ25" s="89"/>
      <c r="JFK25" s="89"/>
      <c r="JFL25" s="89"/>
      <c r="JFM25" s="89"/>
      <c r="JFN25" s="89"/>
      <c r="JFO25" s="89"/>
      <c r="JFP25" s="89"/>
      <c r="JFQ25" s="89"/>
      <c r="JFR25" s="89"/>
      <c r="JFS25" s="89"/>
      <c r="JFT25" s="89"/>
      <c r="JFU25" s="89"/>
      <c r="JFV25" s="89"/>
      <c r="JFW25" s="89"/>
      <c r="JFX25" s="89"/>
      <c r="JFY25" s="89"/>
      <c r="JFZ25" s="89"/>
      <c r="JGA25" s="89"/>
      <c r="JGB25" s="89"/>
      <c r="JGC25" s="89"/>
      <c r="JGD25" s="89"/>
      <c r="JGE25" s="89"/>
      <c r="JGF25" s="89"/>
      <c r="JGG25" s="89"/>
      <c r="JGH25" s="89"/>
      <c r="JGI25" s="89"/>
      <c r="JGJ25" s="89"/>
      <c r="JGK25" s="89"/>
      <c r="JGL25" s="89"/>
      <c r="JGM25" s="89"/>
      <c r="JGN25" s="89"/>
      <c r="JGO25" s="89"/>
      <c r="JGP25" s="89"/>
      <c r="JGQ25" s="89"/>
      <c r="JGR25" s="89"/>
      <c r="JGS25" s="89"/>
      <c r="JGT25" s="89"/>
      <c r="JGU25" s="89"/>
      <c r="JGV25" s="89"/>
      <c r="JGW25" s="89"/>
      <c r="JGX25" s="89"/>
      <c r="JGY25" s="89"/>
      <c r="JGZ25" s="89"/>
      <c r="JHA25" s="89"/>
      <c r="JHB25" s="89"/>
      <c r="JHC25" s="89"/>
      <c r="JHD25" s="89"/>
      <c r="JHE25" s="89"/>
      <c r="JHF25" s="89"/>
      <c r="JHG25" s="89"/>
      <c r="JHH25" s="89"/>
      <c r="JHI25" s="89"/>
      <c r="JHJ25" s="89"/>
      <c r="JHK25" s="89"/>
      <c r="JHL25" s="89"/>
      <c r="JHM25" s="89"/>
      <c r="JHN25" s="89"/>
      <c r="JHO25" s="89"/>
      <c r="JHP25" s="89"/>
      <c r="JHQ25" s="89"/>
      <c r="JHR25" s="89"/>
      <c r="JHS25" s="89"/>
      <c r="JHT25" s="89"/>
      <c r="JHU25" s="89"/>
      <c r="JHV25" s="89"/>
      <c r="JHW25" s="89"/>
      <c r="JHX25" s="89"/>
      <c r="JHY25" s="89"/>
      <c r="JHZ25" s="89"/>
      <c r="JIA25" s="89"/>
      <c r="JIB25" s="89"/>
      <c r="JIC25" s="89"/>
      <c r="JID25" s="89"/>
      <c r="JIE25" s="89"/>
      <c r="JIF25" s="89"/>
      <c r="JIG25" s="89"/>
      <c r="JIH25" s="89"/>
      <c r="JII25" s="89"/>
      <c r="JIJ25" s="89"/>
      <c r="JIK25" s="89"/>
      <c r="JIL25" s="89"/>
      <c r="JIM25" s="89"/>
      <c r="JIN25" s="89"/>
      <c r="JIO25" s="89"/>
      <c r="JIP25" s="89"/>
      <c r="JIQ25" s="89"/>
      <c r="JIR25" s="89"/>
      <c r="JIS25" s="89"/>
      <c r="JIT25" s="89"/>
      <c r="JIU25" s="89"/>
      <c r="JIV25" s="89"/>
      <c r="JIW25" s="89"/>
      <c r="JIX25" s="89"/>
      <c r="JIY25" s="89"/>
      <c r="JIZ25" s="89"/>
      <c r="JJA25" s="89"/>
      <c r="JJB25" s="89"/>
      <c r="JJC25" s="89"/>
      <c r="JJD25" s="89"/>
      <c r="JJE25" s="89"/>
      <c r="JJF25" s="89"/>
      <c r="JJG25" s="89"/>
      <c r="JJH25" s="89"/>
      <c r="JJI25" s="89"/>
      <c r="JJJ25" s="89"/>
      <c r="JJK25" s="89"/>
      <c r="JJL25" s="89"/>
      <c r="JJM25" s="89"/>
      <c r="JJN25" s="89"/>
      <c r="JJO25" s="89"/>
      <c r="JJP25" s="89"/>
      <c r="JJQ25" s="89"/>
      <c r="JJR25" s="89"/>
      <c r="JJS25" s="89"/>
      <c r="JJT25" s="89"/>
      <c r="JJU25" s="89"/>
      <c r="JJV25" s="89"/>
      <c r="JJW25" s="89"/>
      <c r="JJX25" s="89"/>
      <c r="JJY25" s="89"/>
      <c r="JJZ25" s="89"/>
      <c r="JKA25" s="89"/>
      <c r="JKB25" s="89"/>
      <c r="JKC25" s="89"/>
      <c r="JKD25" s="89"/>
      <c r="JKE25" s="89"/>
      <c r="JKF25" s="89"/>
      <c r="JKG25" s="89"/>
      <c r="JKH25" s="89"/>
      <c r="JKI25" s="89"/>
      <c r="JKJ25" s="89"/>
      <c r="JKK25" s="89"/>
      <c r="JKL25" s="89"/>
      <c r="JKM25" s="89"/>
      <c r="JKN25" s="89"/>
      <c r="JKO25" s="89"/>
      <c r="JKP25" s="89"/>
      <c r="JKQ25" s="89"/>
      <c r="JKR25" s="89"/>
      <c r="JKS25" s="89"/>
      <c r="JKT25" s="89"/>
      <c r="JKU25" s="89"/>
      <c r="JKV25" s="89"/>
      <c r="JKW25" s="89"/>
      <c r="JKX25" s="89"/>
      <c r="JKY25" s="89"/>
      <c r="JKZ25" s="89"/>
      <c r="JLA25" s="89"/>
      <c r="JLB25" s="89"/>
      <c r="JLC25" s="89"/>
      <c r="JLD25" s="89"/>
      <c r="JLE25" s="89"/>
      <c r="JLF25" s="89"/>
      <c r="JLG25" s="89"/>
      <c r="JLH25" s="89"/>
      <c r="JLI25" s="89"/>
      <c r="JLJ25" s="89"/>
      <c r="JLK25" s="89"/>
      <c r="JLL25" s="89"/>
      <c r="JLM25" s="89"/>
      <c r="JLN25" s="89"/>
      <c r="JLO25" s="89"/>
      <c r="JLP25" s="89"/>
      <c r="JLQ25" s="89"/>
      <c r="JLR25" s="89"/>
      <c r="JLS25" s="89"/>
      <c r="JLT25" s="89"/>
      <c r="JLU25" s="89"/>
      <c r="JLV25" s="89"/>
      <c r="JLW25" s="89"/>
      <c r="JLX25" s="89"/>
      <c r="JLY25" s="89"/>
      <c r="JLZ25" s="89"/>
      <c r="JMA25" s="89"/>
      <c r="JMB25" s="89"/>
      <c r="JMC25" s="89"/>
      <c r="JMD25" s="89"/>
      <c r="JME25" s="89"/>
      <c r="JMF25" s="89"/>
      <c r="JMG25" s="89"/>
      <c r="JMH25" s="89"/>
      <c r="JMI25" s="89"/>
      <c r="JMJ25" s="89"/>
      <c r="JMK25" s="89"/>
      <c r="JML25" s="89"/>
      <c r="JMM25" s="89"/>
      <c r="JMN25" s="89"/>
      <c r="JMO25" s="89"/>
      <c r="JMP25" s="89"/>
      <c r="JMQ25" s="89"/>
      <c r="JMR25" s="89"/>
      <c r="JMS25" s="89"/>
      <c r="JMT25" s="89"/>
      <c r="JMU25" s="89"/>
      <c r="JMV25" s="89"/>
      <c r="JMW25" s="89"/>
      <c r="JMX25" s="89"/>
      <c r="JMY25" s="89"/>
      <c r="JMZ25" s="89"/>
      <c r="JNA25" s="89"/>
      <c r="JNB25" s="89"/>
      <c r="JNC25" s="89"/>
      <c r="JND25" s="89"/>
      <c r="JNE25" s="89"/>
      <c r="JNF25" s="89"/>
      <c r="JNG25" s="89"/>
      <c r="JNH25" s="89"/>
      <c r="JNI25" s="89"/>
      <c r="JNJ25" s="89"/>
      <c r="JNK25" s="89"/>
      <c r="JNL25" s="89"/>
      <c r="JNM25" s="89"/>
      <c r="JNN25" s="89"/>
      <c r="JNO25" s="89"/>
      <c r="JNP25" s="89"/>
      <c r="JNQ25" s="89"/>
      <c r="JNR25" s="89"/>
      <c r="JNS25" s="89"/>
      <c r="JNT25" s="89"/>
      <c r="JNU25" s="89"/>
      <c r="JNV25" s="89"/>
      <c r="JNW25" s="89"/>
      <c r="JNX25" s="89"/>
      <c r="JNY25" s="89"/>
      <c r="JNZ25" s="89"/>
      <c r="JOA25" s="89"/>
      <c r="JOB25" s="89"/>
      <c r="JOC25" s="89"/>
      <c r="JOD25" s="89"/>
      <c r="JOE25" s="89"/>
      <c r="JOF25" s="89"/>
      <c r="JOG25" s="89"/>
      <c r="JOH25" s="89"/>
      <c r="JOI25" s="89"/>
      <c r="JOJ25" s="89"/>
      <c r="JOK25" s="89"/>
      <c r="JOL25" s="89"/>
      <c r="JOM25" s="89"/>
      <c r="JON25" s="89"/>
      <c r="JOO25" s="89"/>
      <c r="JOP25" s="89"/>
      <c r="JOQ25" s="89"/>
      <c r="JOR25" s="89"/>
      <c r="JOS25" s="89"/>
      <c r="JOT25" s="89"/>
      <c r="JOU25" s="89"/>
      <c r="JOV25" s="89"/>
      <c r="JOW25" s="89"/>
      <c r="JOX25" s="89"/>
      <c r="JOY25" s="89"/>
      <c r="JOZ25" s="89"/>
      <c r="JPA25" s="89"/>
      <c r="JPB25" s="89"/>
      <c r="JPC25" s="89"/>
      <c r="JPD25" s="89"/>
      <c r="JPE25" s="89"/>
      <c r="JPF25" s="89"/>
      <c r="JPG25" s="89"/>
      <c r="JPH25" s="89"/>
      <c r="JPI25" s="89"/>
      <c r="JPJ25" s="89"/>
      <c r="JPK25" s="89"/>
      <c r="JPL25" s="89"/>
      <c r="JPM25" s="89"/>
      <c r="JPN25" s="89"/>
      <c r="JPO25" s="89"/>
      <c r="JPP25" s="89"/>
      <c r="JPQ25" s="89"/>
      <c r="JPR25" s="89"/>
      <c r="JPS25" s="89"/>
      <c r="JPT25" s="89"/>
      <c r="JPU25" s="89"/>
      <c r="JPV25" s="89"/>
      <c r="JPW25" s="89"/>
      <c r="JPX25" s="89"/>
      <c r="JPY25" s="89"/>
      <c r="JPZ25" s="89"/>
      <c r="JQA25" s="89"/>
      <c r="JQB25" s="89"/>
      <c r="JQC25" s="89"/>
      <c r="JQD25" s="89"/>
      <c r="JQE25" s="89"/>
      <c r="JQF25" s="89"/>
      <c r="JQG25" s="89"/>
      <c r="JQH25" s="89"/>
      <c r="JQI25" s="89"/>
      <c r="JQJ25" s="89"/>
      <c r="JQK25" s="89"/>
      <c r="JQL25" s="89"/>
      <c r="JQM25" s="89"/>
      <c r="JQN25" s="89"/>
      <c r="JQO25" s="89"/>
      <c r="JQP25" s="89"/>
      <c r="JQQ25" s="89"/>
      <c r="JQR25" s="89"/>
      <c r="JQS25" s="89"/>
      <c r="JQT25" s="89"/>
      <c r="JQU25" s="89"/>
      <c r="JQV25" s="89"/>
      <c r="JQW25" s="89"/>
      <c r="JQX25" s="89"/>
      <c r="JQY25" s="89"/>
      <c r="JQZ25" s="89"/>
      <c r="JRA25" s="89"/>
      <c r="JRB25" s="89"/>
      <c r="JRC25" s="89"/>
      <c r="JRD25" s="89"/>
      <c r="JRE25" s="89"/>
      <c r="JRF25" s="89"/>
      <c r="JRG25" s="89"/>
      <c r="JRH25" s="89"/>
      <c r="JRI25" s="89"/>
      <c r="JRJ25" s="89"/>
      <c r="JRK25" s="89"/>
      <c r="JRL25" s="89"/>
      <c r="JRM25" s="89"/>
      <c r="JRN25" s="89"/>
      <c r="JRO25" s="89"/>
      <c r="JRP25" s="89"/>
      <c r="JRQ25" s="89"/>
      <c r="JRR25" s="89"/>
      <c r="JRS25" s="89"/>
      <c r="JRT25" s="89"/>
      <c r="JRU25" s="89"/>
      <c r="JRV25" s="89"/>
      <c r="JRW25" s="89"/>
      <c r="JRX25" s="89"/>
      <c r="JRY25" s="89"/>
      <c r="JRZ25" s="89"/>
      <c r="JSA25" s="89"/>
      <c r="JSB25" s="89"/>
      <c r="JSC25" s="89"/>
      <c r="JSD25" s="89"/>
      <c r="JSE25" s="89"/>
      <c r="JSF25" s="89"/>
      <c r="JSG25" s="89"/>
      <c r="JSH25" s="89"/>
      <c r="JSI25" s="89"/>
      <c r="JSJ25" s="89"/>
      <c r="JSK25" s="89"/>
      <c r="JSL25" s="89"/>
      <c r="JSM25" s="89"/>
      <c r="JSN25" s="89"/>
      <c r="JSO25" s="89"/>
      <c r="JSP25" s="89"/>
      <c r="JSQ25" s="89"/>
      <c r="JSR25" s="89"/>
      <c r="JSS25" s="89"/>
      <c r="JST25" s="89"/>
      <c r="JSU25" s="89"/>
      <c r="JSV25" s="89"/>
      <c r="JSW25" s="89"/>
      <c r="JSX25" s="89"/>
      <c r="JSY25" s="89"/>
      <c r="JSZ25" s="89"/>
      <c r="JTA25" s="89"/>
      <c r="JTB25" s="89"/>
      <c r="JTC25" s="89"/>
      <c r="JTD25" s="89"/>
      <c r="JTE25" s="89"/>
      <c r="JTF25" s="89"/>
      <c r="JTG25" s="89"/>
      <c r="JTH25" s="89"/>
      <c r="JTI25" s="89"/>
      <c r="JTJ25" s="89"/>
      <c r="JTK25" s="89"/>
      <c r="JTL25" s="89"/>
      <c r="JTM25" s="89"/>
      <c r="JTN25" s="89"/>
      <c r="JTO25" s="89"/>
      <c r="JTP25" s="89"/>
      <c r="JTQ25" s="89"/>
      <c r="JTR25" s="89"/>
      <c r="JTS25" s="89"/>
      <c r="JTT25" s="89"/>
      <c r="JTU25" s="89"/>
      <c r="JTV25" s="89"/>
      <c r="JTW25" s="89"/>
      <c r="JTX25" s="89"/>
      <c r="JTY25" s="89"/>
      <c r="JTZ25" s="89"/>
      <c r="JUA25" s="89"/>
      <c r="JUB25" s="89"/>
      <c r="JUC25" s="89"/>
      <c r="JUD25" s="89"/>
      <c r="JUE25" s="89"/>
      <c r="JUF25" s="89"/>
      <c r="JUG25" s="89"/>
      <c r="JUH25" s="89"/>
      <c r="JUI25" s="89"/>
      <c r="JUJ25" s="89"/>
      <c r="JUK25" s="89"/>
      <c r="JUL25" s="89"/>
      <c r="JUM25" s="89"/>
      <c r="JUN25" s="89"/>
      <c r="JUO25" s="89"/>
      <c r="JUP25" s="89"/>
      <c r="JUQ25" s="89"/>
      <c r="JUR25" s="89"/>
      <c r="JUS25" s="89"/>
      <c r="JUT25" s="89"/>
      <c r="JUU25" s="89"/>
      <c r="JUV25" s="89"/>
      <c r="JUW25" s="89"/>
      <c r="JUX25" s="89"/>
      <c r="JUY25" s="89"/>
      <c r="JUZ25" s="89"/>
      <c r="JVA25" s="89"/>
      <c r="JVB25" s="89"/>
      <c r="JVC25" s="89"/>
      <c r="JVD25" s="89"/>
      <c r="JVE25" s="89"/>
      <c r="JVF25" s="89"/>
      <c r="JVG25" s="89"/>
      <c r="JVH25" s="89"/>
      <c r="JVI25" s="89"/>
      <c r="JVJ25" s="89"/>
      <c r="JVK25" s="89"/>
      <c r="JVL25" s="89"/>
      <c r="JVM25" s="89"/>
      <c r="JVN25" s="89"/>
      <c r="JVO25" s="89"/>
      <c r="JVP25" s="89"/>
      <c r="JVQ25" s="89"/>
      <c r="JVR25" s="89"/>
      <c r="JVS25" s="89"/>
      <c r="JVT25" s="89"/>
      <c r="JVU25" s="89"/>
      <c r="JVV25" s="89"/>
      <c r="JVW25" s="89"/>
      <c r="JVX25" s="89"/>
      <c r="JVY25" s="89"/>
      <c r="JVZ25" s="89"/>
      <c r="JWA25" s="89"/>
      <c r="JWB25" s="89"/>
      <c r="JWC25" s="89"/>
      <c r="JWD25" s="89"/>
      <c r="JWE25" s="89"/>
      <c r="JWF25" s="89"/>
      <c r="JWG25" s="89"/>
      <c r="JWH25" s="89"/>
      <c r="JWI25" s="89"/>
      <c r="JWJ25" s="89"/>
      <c r="JWK25" s="89"/>
      <c r="JWL25" s="89"/>
      <c r="JWM25" s="89"/>
      <c r="JWN25" s="89"/>
      <c r="JWO25" s="89"/>
      <c r="JWP25" s="89"/>
      <c r="JWQ25" s="89"/>
      <c r="JWR25" s="89"/>
      <c r="JWS25" s="89"/>
      <c r="JWT25" s="89"/>
      <c r="JWU25" s="89"/>
      <c r="JWV25" s="89"/>
      <c r="JWW25" s="89"/>
      <c r="JWX25" s="89"/>
      <c r="JWY25" s="89"/>
      <c r="JWZ25" s="89"/>
      <c r="JXA25" s="89"/>
      <c r="JXB25" s="89"/>
      <c r="JXC25" s="89"/>
      <c r="JXD25" s="89"/>
      <c r="JXE25" s="89"/>
      <c r="JXF25" s="89"/>
      <c r="JXG25" s="89"/>
      <c r="JXH25" s="89"/>
      <c r="JXI25" s="89"/>
      <c r="JXJ25" s="89"/>
      <c r="JXK25" s="89"/>
      <c r="JXL25" s="89"/>
      <c r="JXM25" s="89"/>
      <c r="JXN25" s="89"/>
      <c r="JXO25" s="89"/>
      <c r="JXP25" s="89"/>
      <c r="JXQ25" s="89"/>
      <c r="JXR25" s="89"/>
      <c r="JXS25" s="89"/>
      <c r="JXT25" s="89"/>
      <c r="JXU25" s="89"/>
      <c r="JXV25" s="89"/>
      <c r="JXW25" s="89"/>
      <c r="JXX25" s="89"/>
      <c r="JXY25" s="89"/>
      <c r="JXZ25" s="89"/>
      <c r="JYA25" s="89"/>
      <c r="JYB25" s="89"/>
      <c r="JYC25" s="89"/>
      <c r="JYD25" s="89"/>
      <c r="JYE25" s="89"/>
      <c r="JYF25" s="89"/>
      <c r="JYG25" s="89"/>
      <c r="JYH25" s="89"/>
      <c r="JYI25" s="89"/>
      <c r="JYJ25" s="89"/>
      <c r="JYK25" s="89"/>
      <c r="JYL25" s="89"/>
      <c r="JYM25" s="89"/>
      <c r="JYN25" s="89"/>
      <c r="JYO25" s="89"/>
      <c r="JYP25" s="89"/>
      <c r="JYQ25" s="89"/>
      <c r="JYR25" s="89"/>
      <c r="JYS25" s="89"/>
      <c r="JYT25" s="89"/>
      <c r="JYU25" s="89"/>
      <c r="JYV25" s="89"/>
      <c r="JYW25" s="89"/>
      <c r="JYX25" s="89"/>
      <c r="JYY25" s="89"/>
      <c r="JYZ25" s="89"/>
      <c r="JZA25" s="89"/>
      <c r="JZB25" s="89"/>
      <c r="JZC25" s="89"/>
      <c r="JZD25" s="89"/>
      <c r="JZE25" s="89"/>
      <c r="JZF25" s="89"/>
      <c r="JZG25" s="89"/>
      <c r="JZH25" s="89"/>
      <c r="JZI25" s="89"/>
      <c r="JZJ25" s="89"/>
      <c r="JZK25" s="89"/>
      <c r="JZL25" s="89"/>
      <c r="JZM25" s="89"/>
      <c r="JZN25" s="89"/>
      <c r="JZO25" s="89"/>
      <c r="JZP25" s="89"/>
      <c r="JZQ25" s="89"/>
      <c r="JZR25" s="89"/>
      <c r="JZS25" s="89"/>
      <c r="JZT25" s="89"/>
      <c r="JZU25" s="89"/>
      <c r="JZV25" s="89"/>
      <c r="JZW25" s="89"/>
      <c r="JZX25" s="89"/>
      <c r="JZY25" s="89"/>
      <c r="JZZ25" s="89"/>
      <c r="KAA25" s="89"/>
      <c r="KAB25" s="89"/>
      <c r="KAC25" s="89"/>
      <c r="KAD25" s="89"/>
      <c r="KAE25" s="89"/>
      <c r="KAF25" s="89"/>
      <c r="KAG25" s="89"/>
      <c r="KAH25" s="89"/>
      <c r="KAI25" s="89"/>
      <c r="KAJ25" s="89"/>
      <c r="KAK25" s="89"/>
      <c r="KAL25" s="89"/>
      <c r="KAM25" s="89"/>
      <c r="KAN25" s="89"/>
      <c r="KAO25" s="89"/>
      <c r="KAP25" s="89"/>
      <c r="KAQ25" s="89"/>
      <c r="KAR25" s="89"/>
      <c r="KAS25" s="89"/>
      <c r="KAT25" s="89"/>
      <c r="KAU25" s="89"/>
      <c r="KAV25" s="89"/>
      <c r="KAW25" s="89"/>
      <c r="KAX25" s="89"/>
      <c r="KAY25" s="89"/>
      <c r="KAZ25" s="89"/>
      <c r="KBA25" s="89"/>
      <c r="KBB25" s="89"/>
      <c r="KBC25" s="89"/>
      <c r="KBD25" s="89"/>
      <c r="KBE25" s="89"/>
      <c r="KBF25" s="89"/>
      <c r="KBG25" s="89"/>
      <c r="KBH25" s="89"/>
      <c r="KBI25" s="89"/>
      <c r="KBJ25" s="89"/>
      <c r="KBK25" s="89"/>
      <c r="KBL25" s="89"/>
      <c r="KBM25" s="89"/>
      <c r="KBN25" s="89"/>
      <c r="KBO25" s="89"/>
      <c r="KBP25" s="89"/>
      <c r="KBQ25" s="89"/>
      <c r="KBR25" s="89"/>
      <c r="KBS25" s="89"/>
      <c r="KBT25" s="89"/>
      <c r="KBU25" s="89"/>
      <c r="KBV25" s="89"/>
      <c r="KBW25" s="89"/>
      <c r="KBX25" s="89"/>
      <c r="KBY25" s="89"/>
      <c r="KBZ25" s="89"/>
      <c r="KCA25" s="89"/>
      <c r="KCB25" s="89"/>
      <c r="KCC25" s="89"/>
      <c r="KCD25" s="89"/>
      <c r="KCE25" s="89"/>
      <c r="KCF25" s="89"/>
      <c r="KCG25" s="89"/>
      <c r="KCH25" s="89"/>
      <c r="KCI25" s="89"/>
      <c r="KCJ25" s="89"/>
      <c r="KCK25" s="89"/>
      <c r="KCL25" s="89"/>
      <c r="KCM25" s="89"/>
      <c r="KCN25" s="89"/>
      <c r="KCO25" s="89"/>
      <c r="KCP25" s="89"/>
      <c r="KCQ25" s="89"/>
      <c r="KCR25" s="89"/>
      <c r="KCS25" s="89"/>
      <c r="KCT25" s="89"/>
      <c r="KCU25" s="89"/>
      <c r="KCV25" s="89"/>
      <c r="KCW25" s="89"/>
      <c r="KCX25" s="89"/>
      <c r="KCY25" s="89"/>
      <c r="KCZ25" s="89"/>
      <c r="KDA25" s="89"/>
      <c r="KDB25" s="89"/>
      <c r="KDC25" s="89"/>
      <c r="KDD25" s="89"/>
      <c r="KDE25" s="89"/>
      <c r="KDF25" s="89"/>
      <c r="KDG25" s="89"/>
      <c r="KDH25" s="89"/>
      <c r="KDI25" s="89"/>
      <c r="KDJ25" s="89"/>
      <c r="KDK25" s="89"/>
      <c r="KDL25" s="89"/>
      <c r="KDM25" s="89"/>
      <c r="KDN25" s="89"/>
      <c r="KDO25" s="89"/>
      <c r="KDP25" s="89"/>
      <c r="KDQ25" s="89"/>
      <c r="KDR25" s="89"/>
      <c r="KDS25" s="89"/>
      <c r="KDT25" s="89"/>
      <c r="KDU25" s="89"/>
      <c r="KDV25" s="89"/>
      <c r="KDW25" s="89"/>
      <c r="KDX25" s="89"/>
      <c r="KDY25" s="89"/>
      <c r="KDZ25" s="89"/>
      <c r="KEA25" s="89"/>
      <c r="KEB25" s="89"/>
      <c r="KEC25" s="89"/>
      <c r="KED25" s="89"/>
      <c r="KEE25" s="89"/>
      <c r="KEF25" s="89"/>
      <c r="KEG25" s="89"/>
      <c r="KEH25" s="89"/>
      <c r="KEI25" s="89"/>
      <c r="KEJ25" s="89"/>
      <c r="KEK25" s="89"/>
      <c r="KEL25" s="89"/>
      <c r="KEM25" s="89"/>
      <c r="KEN25" s="89"/>
      <c r="KEO25" s="89"/>
      <c r="KEP25" s="89"/>
      <c r="KEQ25" s="89"/>
      <c r="KER25" s="89"/>
      <c r="KES25" s="89"/>
      <c r="KET25" s="89"/>
      <c r="KEU25" s="89"/>
      <c r="KEV25" s="89"/>
      <c r="KEW25" s="89"/>
      <c r="KEX25" s="89"/>
      <c r="KEY25" s="89"/>
      <c r="KEZ25" s="89"/>
      <c r="KFA25" s="89"/>
      <c r="KFB25" s="89"/>
      <c r="KFC25" s="89"/>
      <c r="KFD25" s="89"/>
      <c r="KFE25" s="89"/>
      <c r="KFF25" s="89"/>
      <c r="KFG25" s="89"/>
      <c r="KFH25" s="89"/>
      <c r="KFI25" s="89"/>
      <c r="KFJ25" s="89"/>
      <c r="KFK25" s="89"/>
      <c r="KFL25" s="89"/>
      <c r="KFM25" s="89"/>
      <c r="KFN25" s="89"/>
      <c r="KFO25" s="89"/>
      <c r="KFP25" s="89"/>
      <c r="KFQ25" s="89"/>
      <c r="KFR25" s="89"/>
      <c r="KFS25" s="89"/>
      <c r="KFT25" s="89"/>
      <c r="KFU25" s="89"/>
      <c r="KFV25" s="89"/>
      <c r="KFW25" s="89"/>
      <c r="KFX25" s="89"/>
      <c r="KFY25" s="89"/>
      <c r="KFZ25" s="89"/>
      <c r="KGA25" s="89"/>
      <c r="KGB25" s="89"/>
      <c r="KGC25" s="89"/>
      <c r="KGD25" s="89"/>
      <c r="KGE25" s="89"/>
      <c r="KGF25" s="89"/>
      <c r="KGG25" s="89"/>
      <c r="KGH25" s="89"/>
      <c r="KGI25" s="89"/>
      <c r="KGJ25" s="89"/>
      <c r="KGK25" s="89"/>
      <c r="KGL25" s="89"/>
      <c r="KGM25" s="89"/>
      <c r="KGN25" s="89"/>
      <c r="KGO25" s="89"/>
      <c r="KGP25" s="89"/>
      <c r="KGQ25" s="89"/>
      <c r="KGR25" s="89"/>
      <c r="KGS25" s="89"/>
      <c r="KGT25" s="89"/>
      <c r="KGU25" s="89"/>
      <c r="KGV25" s="89"/>
      <c r="KGW25" s="89"/>
      <c r="KGX25" s="89"/>
      <c r="KGY25" s="89"/>
      <c r="KGZ25" s="89"/>
      <c r="KHA25" s="89"/>
      <c r="KHB25" s="89"/>
      <c r="KHC25" s="89"/>
      <c r="KHD25" s="89"/>
      <c r="KHE25" s="89"/>
      <c r="KHF25" s="89"/>
      <c r="KHG25" s="89"/>
      <c r="KHH25" s="89"/>
      <c r="KHI25" s="89"/>
      <c r="KHJ25" s="89"/>
      <c r="KHK25" s="89"/>
      <c r="KHL25" s="89"/>
      <c r="KHM25" s="89"/>
      <c r="KHN25" s="89"/>
      <c r="KHO25" s="89"/>
      <c r="KHP25" s="89"/>
      <c r="KHQ25" s="89"/>
      <c r="KHR25" s="89"/>
      <c r="KHS25" s="89"/>
      <c r="KHT25" s="89"/>
      <c r="KHU25" s="89"/>
      <c r="KHV25" s="89"/>
      <c r="KHW25" s="89"/>
      <c r="KHX25" s="89"/>
      <c r="KHY25" s="89"/>
      <c r="KHZ25" s="89"/>
      <c r="KIA25" s="89"/>
      <c r="KIB25" s="89"/>
      <c r="KIC25" s="89"/>
      <c r="KID25" s="89"/>
      <c r="KIE25" s="89"/>
      <c r="KIF25" s="89"/>
      <c r="KIG25" s="89"/>
      <c r="KIH25" s="89"/>
      <c r="KII25" s="89"/>
      <c r="KIJ25" s="89"/>
      <c r="KIK25" s="89"/>
      <c r="KIL25" s="89"/>
      <c r="KIM25" s="89"/>
      <c r="KIN25" s="89"/>
      <c r="KIO25" s="89"/>
      <c r="KIP25" s="89"/>
      <c r="KIQ25" s="89"/>
      <c r="KIR25" s="89"/>
      <c r="KIS25" s="89"/>
      <c r="KIT25" s="89"/>
      <c r="KIU25" s="89"/>
      <c r="KIV25" s="89"/>
      <c r="KIW25" s="89"/>
      <c r="KIX25" s="89"/>
      <c r="KIY25" s="89"/>
      <c r="KIZ25" s="89"/>
      <c r="KJA25" s="89"/>
      <c r="KJB25" s="89"/>
      <c r="KJC25" s="89"/>
      <c r="KJD25" s="89"/>
      <c r="KJE25" s="89"/>
      <c r="KJF25" s="89"/>
      <c r="KJG25" s="89"/>
      <c r="KJH25" s="89"/>
      <c r="KJI25" s="89"/>
      <c r="KJJ25" s="89"/>
      <c r="KJK25" s="89"/>
      <c r="KJL25" s="89"/>
      <c r="KJM25" s="89"/>
      <c r="KJN25" s="89"/>
      <c r="KJO25" s="89"/>
      <c r="KJP25" s="89"/>
      <c r="KJQ25" s="89"/>
      <c r="KJR25" s="89"/>
      <c r="KJS25" s="89"/>
      <c r="KJT25" s="89"/>
      <c r="KJU25" s="89"/>
      <c r="KJV25" s="89"/>
      <c r="KJW25" s="89"/>
      <c r="KJX25" s="89"/>
      <c r="KJY25" s="89"/>
      <c r="KJZ25" s="89"/>
      <c r="KKA25" s="89"/>
      <c r="KKB25" s="89"/>
      <c r="KKC25" s="89"/>
      <c r="KKD25" s="89"/>
      <c r="KKE25" s="89"/>
      <c r="KKF25" s="89"/>
      <c r="KKG25" s="89"/>
      <c r="KKH25" s="89"/>
      <c r="KKI25" s="89"/>
      <c r="KKJ25" s="89"/>
      <c r="KKK25" s="89"/>
      <c r="KKL25" s="89"/>
      <c r="KKM25" s="89"/>
      <c r="KKN25" s="89"/>
      <c r="KKO25" s="89"/>
      <c r="KKP25" s="89"/>
      <c r="KKQ25" s="89"/>
      <c r="KKR25" s="89"/>
      <c r="KKS25" s="89"/>
      <c r="KKT25" s="89"/>
      <c r="KKU25" s="89"/>
      <c r="KKV25" s="89"/>
      <c r="KKW25" s="89"/>
      <c r="KKX25" s="89"/>
      <c r="KKY25" s="89"/>
      <c r="KKZ25" s="89"/>
      <c r="KLA25" s="89"/>
      <c r="KLB25" s="89"/>
      <c r="KLC25" s="89"/>
      <c r="KLD25" s="89"/>
      <c r="KLE25" s="89"/>
      <c r="KLF25" s="89"/>
      <c r="KLG25" s="89"/>
      <c r="KLH25" s="89"/>
      <c r="KLI25" s="89"/>
      <c r="KLJ25" s="89"/>
      <c r="KLK25" s="89"/>
      <c r="KLL25" s="89"/>
      <c r="KLM25" s="89"/>
      <c r="KLN25" s="89"/>
      <c r="KLO25" s="89"/>
      <c r="KLP25" s="89"/>
      <c r="KLQ25" s="89"/>
      <c r="KLR25" s="89"/>
      <c r="KLS25" s="89"/>
      <c r="KLT25" s="89"/>
      <c r="KLU25" s="89"/>
      <c r="KLV25" s="89"/>
      <c r="KLW25" s="89"/>
      <c r="KLX25" s="89"/>
      <c r="KLY25" s="89"/>
      <c r="KLZ25" s="89"/>
      <c r="KMA25" s="89"/>
      <c r="KMB25" s="89"/>
      <c r="KMC25" s="89"/>
      <c r="KMD25" s="89"/>
      <c r="KME25" s="89"/>
      <c r="KMF25" s="89"/>
      <c r="KMG25" s="89"/>
      <c r="KMH25" s="89"/>
      <c r="KMI25" s="89"/>
      <c r="KMJ25" s="89"/>
      <c r="KMK25" s="89"/>
      <c r="KML25" s="89"/>
      <c r="KMM25" s="89"/>
      <c r="KMN25" s="89"/>
      <c r="KMO25" s="89"/>
      <c r="KMP25" s="89"/>
      <c r="KMQ25" s="89"/>
      <c r="KMR25" s="89"/>
      <c r="KMS25" s="89"/>
      <c r="KMT25" s="89"/>
      <c r="KMU25" s="89"/>
      <c r="KMV25" s="89"/>
      <c r="KMW25" s="89"/>
      <c r="KMX25" s="89"/>
      <c r="KMY25" s="89"/>
      <c r="KMZ25" s="89"/>
      <c r="KNA25" s="89"/>
      <c r="KNB25" s="89"/>
      <c r="KNC25" s="89"/>
      <c r="KND25" s="89"/>
      <c r="KNE25" s="89"/>
      <c r="KNF25" s="89"/>
      <c r="KNG25" s="89"/>
      <c r="KNH25" s="89"/>
      <c r="KNI25" s="89"/>
      <c r="KNJ25" s="89"/>
      <c r="KNK25" s="89"/>
      <c r="KNL25" s="89"/>
      <c r="KNM25" s="89"/>
      <c r="KNN25" s="89"/>
      <c r="KNO25" s="89"/>
      <c r="KNP25" s="89"/>
      <c r="KNQ25" s="89"/>
      <c r="KNR25" s="89"/>
      <c r="KNS25" s="89"/>
      <c r="KNT25" s="89"/>
      <c r="KNU25" s="89"/>
      <c r="KNV25" s="89"/>
      <c r="KNW25" s="89"/>
      <c r="KNX25" s="89"/>
      <c r="KNY25" s="89"/>
      <c r="KNZ25" s="89"/>
      <c r="KOA25" s="89"/>
      <c r="KOB25" s="89"/>
      <c r="KOC25" s="89"/>
      <c r="KOD25" s="89"/>
      <c r="KOE25" s="89"/>
      <c r="KOF25" s="89"/>
      <c r="KOG25" s="89"/>
      <c r="KOH25" s="89"/>
      <c r="KOI25" s="89"/>
      <c r="KOJ25" s="89"/>
      <c r="KOK25" s="89"/>
      <c r="KOL25" s="89"/>
      <c r="KOM25" s="89"/>
      <c r="KON25" s="89"/>
      <c r="KOO25" s="89"/>
      <c r="KOP25" s="89"/>
      <c r="KOQ25" s="89"/>
      <c r="KOR25" s="89"/>
      <c r="KOS25" s="89"/>
      <c r="KOT25" s="89"/>
      <c r="KOU25" s="89"/>
      <c r="KOV25" s="89"/>
      <c r="KOW25" s="89"/>
      <c r="KOX25" s="89"/>
      <c r="KOY25" s="89"/>
      <c r="KOZ25" s="89"/>
      <c r="KPA25" s="89"/>
      <c r="KPB25" s="89"/>
      <c r="KPC25" s="89"/>
      <c r="KPD25" s="89"/>
      <c r="KPE25" s="89"/>
      <c r="KPF25" s="89"/>
      <c r="KPG25" s="89"/>
      <c r="KPH25" s="89"/>
      <c r="KPI25" s="89"/>
      <c r="KPJ25" s="89"/>
      <c r="KPK25" s="89"/>
      <c r="KPL25" s="89"/>
      <c r="KPM25" s="89"/>
      <c r="KPN25" s="89"/>
      <c r="KPO25" s="89"/>
      <c r="KPP25" s="89"/>
      <c r="KPQ25" s="89"/>
      <c r="KPR25" s="89"/>
      <c r="KPS25" s="89"/>
      <c r="KPT25" s="89"/>
      <c r="KPU25" s="89"/>
      <c r="KPV25" s="89"/>
      <c r="KPW25" s="89"/>
      <c r="KPX25" s="89"/>
      <c r="KPY25" s="89"/>
      <c r="KPZ25" s="89"/>
      <c r="KQA25" s="89"/>
      <c r="KQB25" s="89"/>
      <c r="KQC25" s="89"/>
      <c r="KQD25" s="89"/>
      <c r="KQE25" s="89"/>
      <c r="KQF25" s="89"/>
      <c r="KQG25" s="89"/>
      <c r="KQH25" s="89"/>
      <c r="KQI25" s="89"/>
      <c r="KQJ25" s="89"/>
      <c r="KQK25" s="89"/>
      <c r="KQL25" s="89"/>
      <c r="KQM25" s="89"/>
      <c r="KQN25" s="89"/>
      <c r="KQO25" s="89"/>
      <c r="KQP25" s="89"/>
      <c r="KQQ25" s="89"/>
      <c r="KQR25" s="89"/>
      <c r="KQS25" s="89"/>
      <c r="KQT25" s="89"/>
      <c r="KQU25" s="89"/>
      <c r="KQV25" s="89"/>
      <c r="KQW25" s="89"/>
      <c r="KQX25" s="89"/>
      <c r="KQY25" s="89"/>
      <c r="KQZ25" s="89"/>
      <c r="KRA25" s="89"/>
      <c r="KRB25" s="89"/>
      <c r="KRC25" s="89"/>
      <c r="KRD25" s="89"/>
      <c r="KRE25" s="89"/>
      <c r="KRF25" s="89"/>
      <c r="KRG25" s="89"/>
      <c r="KRH25" s="89"/>
      <c r="KRI25" s="89"/>
      <c r="KRJ25" s="89"/>
      <c r="KRK25" s="89"/>
      <c r="KRL25" s="89"/>
      <c r="KRM25" s="89"/>
      <c r="KRN25" s="89"/>
      <c r="KRO25" s="89"/>
      <c r="KRP25" s="89"/>
      <c r="KRQ25" s="89"/>
      <c r="KRR25" s="89"/>
      <c r="KRS25" s="89"/>
      <c r="KRT25" s="89"/>
      <c r="KRU25" s="89"/>
      <c r="KRV25" s="89"/>
      <c r="KRW25" s="89"/>
      <c r="KRX25" s="89"/>
      <c r="KRY25" s="89"/>
      <c r="KRZ25" s="89"/>
      <c r="KSA25" s="89"/>
      <c r="KSB25" s="89"/>
      <c r="KSC25" s="89"/>
      <c r="KSD25" s="89"/>
      <c r="KSE25" s="89"/>
      <c r="KSF25" s="89"/>
      <c r="KSG25" s="89"/>
      <c r="KSH25" s="89"/>
      <c r="KSI25" s="89"/>
      <c r="KSJ25" s="89"/>
      <c r="KSK25" s="89"/>
      <c r="KSL25" s="89"/>
      <c r="KSM25" s="89"/>
      <c r="KSN25" s="89"/>
      <c r="KSO25" s="89"/>
      <c r="KSP25" s="89"/>
      <c r="KSQ25" s="89"/>
      <c r="KSR25" s="89"/>
      <c r="KSS25" s="89"/>
      <c r="KST25" s="89"/>
      <c r="KSU25" s="89"/>
      <c r="KSV25" s="89"/>
      <c r="KSW25" s="89"/>
      <c r="KSX25" s="89"/>
      <c r="KSY25" s="89"/>
      <c r="KSZ25" s="89"/>
      <c r="KTA25" s="89"/>
      <c r="KTB25" s="89"/>
      <c r="KTC25" s="89"/>
      <c r="KTD25" s="89"/>
      <c r="KTE25" s="89"/>
      <c r="KTF25" s="89"/>
      <c r="KTG25" s="89"/>
      <c r="KTH25" s="89"/>
      <c r="KTI25" s="89"/>
      <c r="KTJ25" s="89"/>
      <c r="KTK25" s="89"/>
      <c r="KTL25" s="89"/>
      <c r="KTM25" s="89"/>
      <c r="KTN25" s="89"/>
      <c r="KTO25" s="89"/>
      <c r="KTP25" s="89"/>
      <c r="KTQ25" s="89"/>
      <c r="KTR25" s="89"/>
      <c r="KTS25" s="89"/>
      <c r="KTT25" s="89"/>
      <c r="KTU25" s="89"/>
      <c r="KTV25" s="89"/>
      <c r="KTW25" s="89"/>
      <c r="KTX25" s="89"/>
      <c r="KTY25" s="89"/>
      <c r="KTZ25" s="89"/>
      <c r="KUA25" s="89"/>
      <c r="KUB25" s="89"/>
      <c r="KUC25" s="89"/>
      <c r="KUD25" s="89"/>
      <c r="KUE25" s="89"/>
      <c r="KUF25" s="89"/>
      <c r="KUG25" s="89"/>
      <c r="KUH25" s="89"/>
      <c r="KUI25" s="89"/>
      <c r="KUJ25" s="89"/>
      <c r="KUK25" s="89"/>
      <c r="KUL25" s="89"/>
      <c r="KUM25" s="89"/>
      <c r="KUN25" s="89"/>
      <c r="KUO25" s="89"/>
      <c r="KUP25" s="89"/>
      <c r="KUQ25" s="89"/>
      <c r="KUR25" s="89"/>
      <c r="KUS25" s="89"/>
      <c r="KUT25" s="89"/>
      <c r="KUU25" s="89"/>
      <c r="KUV25" s="89"/>
      <c r="KUW25" s="89"/>
      <c r="KUX25" s="89"/>
      <c r="KUY25" s="89"/>
      <c r="KUZ25" s="89"/>
      <c r="KVA25" s="89"/>
      <c r="KVB25" s="89"/>
      <c r="KVC25" s="89"/>
      <c r="KVD25" s="89"/>
      <c r="KVE25" s="89"/>
      <c r="KVF25" s="89"/>
      <c r="KVG25" s="89"/>
      <c r="KVH25" s="89"/>
      <c r="KVI25" s="89"/>
      <c r="KVJ25" s="89"/>
      <c r="KVK25" s="89"/>
      <c r="KVL25" s="89"/>
      <c r="KVM25" s="89"/>
      <c r="KVN25" s="89"/>
      <c r="KVO25" s="89"/>
      <c r="KVP25" s="89"/>
      <c r="KVQ25" s="89"/>
      <c r="KVR25" s="89"/>
      <c r="KVS25" s="89"/>
      <c r="KVT25" s="89"/>
      <c r="KVU25" s="89"/>
      <c r="KVV25" s="89"/>
      <c r="KVW25" s="89"/>
      <c r="KVX25" s="89"/>
      <c r="KVY25" s="89"/>
      <c r="KVZ25" s="89"/>
      <c r="KWA25" s="89"/>
      <c r="KWB25" s="89"/>
      <c r="KWC25" s="89"/>
      <c r="KWD25" s="89"/>
      <c r="KWE25" s="89"/>
      <c r="KWF25" s="89"/>
      <c r="KWG25" s="89"/>
      <c r="KWH25" s="89"/>
      <c r="KWI25" s="89"/>
      <c r="KWJ25" s="89"/>
      <c r="KWK25" s="89"/>
      <c r="KWL25" s="89"/>
      <c r="KWM25" s="89"/>
      <c r="KWN25" s="89"/>
      <c r="KWO25" s="89"/>
      <c r="KWP25" s="89"/>
      <c r="KWQ25" s="89"/>
      <c r="KWR25" s="89"/>
      <c r="KWS25" s="89"/>
      <c r="KWT25" s="89"/>
      <c r="KWU25" s="89"/>
      <c r="KWV25" s="89"/>
      <c r="KWW25" s="89"/>
      <c r="KWX25" s="89"/>
      <c r="KWY25" s="89"/>
      <c r="KWZ25" s="89"/>
      <c r="KXA25" s="89"/>
      <c r="KXB25" s="89"/>
      <c r="KXC25" s="89"/>
      <c r="KXD25" s="89"/>
      <c r="KXE25" s="89"/>
      <c r="KXF25" s="89"/>
      <c r="KXG25" s="89"/>
      <c r="KXH25" s="89"/>
      <c r="KXI25" s="89"/>
      <c r="KXJ25" s="89"/>
      <c r="KXK25" s="89"/>
      <c r="KXL25" s="89"/>
      <c r="KXM25" s="89"/>
      <c r="KXN25" s="89"/>
      <c r="KXO25" s="89"/>
      <c r="KXP25" s="89"/>
      <c r="KXQ25" s="89"/>
      <c r="KXR25" s="89"/>
      <c r="KXS25" s="89"/>
      <c r="KXT25" s="89"/>
      <c r="KXU25" s="89"/>
      <c r="KXV25" s="89"/>
      <c r="KXW25" s="89"/>
      <c r="KXX25" s="89"/>
      <c r="KXY25" s="89"/>
      <c r="KXZ25" s="89"/>
      <c r="KYA25" s="89"/>
      <c r="KYB25" s="89"/>
      <c r="KYC25" s="89"/>
      <c r="KYD25" s="89"/>
      <c r="KYE25" s="89"/>
      <c r="KYF25" s="89"/>
      <c r="KYG25" s="89"/>
      <c r="KYH25" s="89"/>
      <c r="KYI25" s="89"/>
      <c r="KYJ25" s="89"/>
      <c r="KYK25" s="89"/>
      <c r="KYL25" s="89"/>
      <c r="KYM25" s="89"/>
      <c r="KYN25" s="89"/>
      <c r="KYO25" s="89"/>
      <c r="KYP25" s="89"/>
      <c r="KYQ25" s="89"/>
      <c r="KYR25" s="89"/>
      <c r="KYS25" s="89"/>
      <c r="KYT25" s="89"/>
      <c r="KYU25" s="89"/>
      <c r="KYV25" s="89"/>
      <c r="KYW25" s="89"/>
      <c r="KYX25" s="89"/>
      <c r="KYY25" s="89"/>
      <c r="KYZ25" s="89"/>
      <c r="KZA25" s="89"/>
      <c r="KZB25" s="89"/>
      <c r="KZC25" s="89"/>
      <c r="KZD25" s="89"/>
      <c r="KZE25" s="89"/>
      <c r="KZF25" s="89"/>
      <c r="KZG25" s="89"/>
      <c r="KZH25" s="89"/>
      <c r="KZI25" s="89"/>
      <c r="KZJ25" s="89"/>
      <c r="KZK25" s="89"/>
      <c r="KZL25" s="89"/>
      <c r="KZM25" s="89"/>
      <c r="KZN25" s="89"/>
      <c r="KZO25" s="89"/>
      <c r="KZP25" s="89"/>
      <c r="KZQ25" s="89"/>
      <c r="KZR25" s="89"/>
      <c r="KZS25" s="89"/>
      <c r="KZT25" s="89"/>
      <c r="KZU25" s="89"/>
      <c r="KZV25" s="89"/>
      <c r="KZW25" s="89"/>
      <c r="KZX25" s="89"/>
      <c r="KZY25" s="89"/>
      <c r="KZZ25" s="89"/>
      <c r="LAA25" s="89"/>
      <c r="LAB25" s="89"/>
      <c r="LAC25" s="89"/>
      <c r="LAD25" s="89"/>
      <c r="LAE25" s="89"/>
      <c r="LAF25" s="89"/>
      <c r="LAG25" s="89"/>
      <c r="LAH25" s="89"/>
      <c r="LAI25" s="89"/>
      <c r="LAJ25" s="89"/>
      <c r="LAK25" s="89"/>
      <c r="LAL25" s="89"/>
      <c r="LAM25" s="89"/>
      <c r="LAN25" s="89"/>
      <c r="LAO25" s="89"/>
      <c r="LAP25" s="89"/>
      <c r="LAQ25" s="89"/>
      <c r="LAR25" s="89"/>
      <c r="LAS25" s="89"/>
      <c r="LAT25" s="89"/>
      <c r="LAU25" s="89"/>
      <c r="LAV25" s="89"/>
      <c r="LAW25" s="89"/>
      <c r="LAX25" s="89"/>
      <c r="LAY25" s="89"/>
      <c r="LAZ25" s="89"/>
      <c r="LBA25" s="89"/>
      <c r="LBB25" s="89"/>
      <c r="LBC25" s="89"/>
      <c r="LBD25" s="89"/>
      <c r="LBE25" s="89"/>
      <c r="LBF25" s="89"/>
      <c r="LBG25" s="89"/>
      <c r="LBH25" s="89"/>
      <c r="LBI25" s="89"/>
      <c r="LBJ25" s="89"/>
      <c r="LBK25" s="89"/>
      <c r="LBL25" s="89"/>
      <c r="LBM25" s="89"/>
      <c r="LBN25" s="89"/>
      <c r="LBO25" s="89"/>
      <c r="LBP25" s="89"/>
      <c r="LBQ25" s="89"/>
      <c r="LBR25" s="89"/>
      <c r="LBS25" s="89"/>
      <c r="LBT25" s="89"/>
      <c r="LBU25" s="89"/>
      <c r="LBV25" s="89"/>
      <c r="LBW25" s="89"/>
      <c r="LBX25" s="89"/>
      <c r="LBY25" s="89"/>
      <c r="LBZ25" s="89"/>
      <c r="LCA25" s="89"/>
      <c r="LCB25" s="89"/>
      <c r="LCC25" s="89"/>
      <c r="LCD25" s="89"/>
      <c r="LCE25" s="89"/>
      <c r="LCF25" s="89"/>
      <c r="LCG25" s="89"/>
      <c r="LCH25" s="89"/>
      <c r="LCI25" s="89"/>
      <c r="LCJ25" s="89"/>
      <c r="LCK25" s="89"/>
      <c r="LCL25" s="89"/>
      <c r="LCM25" s="89"/>
      <c r="LCN25" s="89"/>
      <c r="LCO25" s="89"/>
      <c r="LCP25" s="89"/>
      <c r="LCQ25" s="89"/>
      <c r="LCR25" s="89"/>
      <c r="LCS25" s="89"/>
      <c r="LCT25" s="89"/>
      <c r="LCU25" s="89"/>
      <c r="LCV25" s="89"/>
      <c r="LCW25" s="89"/>
      <c r="LCX25" s="89"/>
      <c r="LCY25" s="89"/>
      <c r="LCZ25" s="89"/>
      <c r="LDA25" s="89"/>
      <c r="LDB25" s="89"/>
      <c r="LDC25" s="89"/>
      <c r="LDD25" s="89"/>
      <c r="LDE25" s="89"/>
      <c r="LDF25" s="89"/>
      <c r="LDG25" s="89"/>
      <c r="LDH25" s="89"/>
      <c r="LDI25" s="89"/>
      <c r="LDJ25" s="89"/>
      <c r="LDK25" s="89"/>
      <c r="LDL25" s="89"/>
      <c r="LDM25" s="89"/>
      <c r="LDN25" s="89"/>
      <c r="LDO25" s="89"/>
      <c r="LDP25" s="89"/>
      <c r="LDQ25" s="89"/>
      <c r="LDR25" s="89"/>
      <c r="LDS25" s="89"/>
      <c r="LDT25" s="89"/>
      <c r="LDU25" s="89"/>
      <c r="LDV25" s="89"/>
      <c r="LDW25" s="89"/>
      <c r="LDX25" s="89"/>
      <c r="LDY25" s="89"/>
      <c r="LDZ25" s="89"/>
      <c r="LEA25" s="89"/>
      <c r="LEB25" s="89"/>
      <c r="LEC25" s="89"/>
      <c r="LED25" s="89"/>
      <c r="LEE25" s="89"/>
      <c r="LEF25" s="89"/>
      <c r="LEG25" s="89"/>
      <c r="LEH25" s="89"/>
      <c r="LEI25" s="89"/>
      <c r="LEJ25" s="89"/>
      <c r="LEK25" s="89"/>
      <c r="LEL25" s="89"/>
      <c r="LEM25" s="89"/>
      <c r="LEN25" s="89"/>
      <c r="LEO25" s="89"/>
      <c r="LEP25" s="89"/>
      <c r="LEQ25" s="89"/>
      <c r="LER25" s="89"/>
      <c r="LES25" s="89"/>
      <c r="LET25" s="89"/>
      <c r="LEU25" s="89"/>
      <c r="LEV25" s="89"/>
      <c r="LEW25" s="89"/>
      <c r="LEX25" s="89"/>
      <c r="LEY25" s="89"/>
      <c r="LEZ25" s="89"/>
      <c r="LFA25" s="89"/>
      <c r="LFB25" s="89"/>
      <c r="LFC25" s="89"/>
      <c r="LFD25" s="89"/>
      <c r="LFE25" s="89"/>
      <c r="LFF25" s="89"/>
      <c r="LFG25" s="89"/>
      <c r="LFH25" s="89"/>
      <c r="LFI25" s="89"/>
      <c r="LFJ25" s="89"/>
      <c r="LFK25" s="89"/>
      <c r="LFL25" s="89"/>
      <c r="LFM25" s="89"/>
      <c r="LFN25" s="89"/>
      <c r="LFO25" s="89"/>
      <c r="LFP25" s="89"/>
      <c r="LFQ25" s="89"/>
      <c r="LFR25" s="89"/>
      <c r="LFS25" s="89"/>
      <c r="LFT25" s="89"/>
      <c r="LFU25" s="89"/>
      <c r="LFV25" s="89"/>
      <c r="LFW25" s="89"/>
      <c r="LFX25" s="89"/>
      <c r="LFY25" s="89"/>
      <c r="LFZ25" s="89"/>
      <c r="LGA25" s="89"/>
      <c r="LGB25" s="89"/>
      <c r="LGC25" s="89"/>
      <c r="LGD25" s="89"/>
      <c r="LGE25" s="89"/>
      <c r="LGF25" s="89"/>
      <c r="LGG25" s="89"/>
      <c r="LGH25" s="89"/>
      <c r="LGI25" s="89"/>
      <c r="LGJ25" s="89"/>
      <c r="LGK25" s="89"/>
      <c r="LGL25" s="89"/>
      <c r="LGM25" s="89"/>
      <c r="LGN25" s="89"/>
      <c r="LGO25" s="89"/>
      <c r="LGP25" s="89"/>
      <c r="LGQ25" s="89"/>
      <c r="LGR25" s="89"/>
      <c r="LGS25" s="89"/>
      <c r="LGT25" s="89"/>
      <c r="LGU25" s="89"/>
      <c r="LGV25" s="89"/>
      <c r="LGW25" s="89"/>
      <c r="LGX25" s="89"/>
      <c r="LGY25" s="89"/>
      <c r="LGZ25" s="89"/>
      <c r="LHA25" s="89"/>
      <c r="LHB25" s="89"/>
      <c r="LHC25" s="89"/>
      <c r="LHD25" s="89"/>
      <c r="LHE25" s="89"/>
      <c r="LHF25" s="89"/>
      <c r="LHG25" s="89"/>
      <c r="LHH25" s="89"/>
      <c r="LHI25" s="89"/>
      <c r="LHJ25" s="89"/>
      <c r="LHK25" s="89"/>
      <c r="LHL25" s="89"/>
      <c r="LHM25" s="89"/>
      <c r="LHN25" s="89"/>
      <c r="LHO25" s="89"/>
      <c r="LHP25" s="89"/>
      <c r="LHQ25" s="89"/>
      <c r="LHR25" s="89"/>
      <c r="LHS25" s="89"/>
      <c r="LHT25" s="89"/>
      <c r="LHU25" s="89"/>
      <c r="LHV25" s="89"/>
      <c r="LHW25" s="89"/>
      <c r="LHX25" s="89"/>
      <c r="LHY25" s="89"/>
      <c r="LHZ25" s="89"/>
      <c r="LIA25" s="89"/>
      <c r="LIB25" s="89"/>
      <c r="LIC25" s="89"/>
      <c r="LID25" s="89"/>
      <c r="LIE25" s="89"/>
      <c r="LIF25" s="89"/>
      <c r="LIG25" s="89"/>
      <c r="LIH25" s="89"/>
      <c r="LII25" s="89"/>
      <c r="LIJ25" s="89"/>
      <c r="LIK25" s="89"/>
      <c r="LIL25" s="89"/>
      <c r="LIM25" s="89"/>
      <c r="LIN25" s="89"/>
      <c r="LIO25" s="89"/>
      <c r="LIP25" s="89"/>
      <c r="LIQ25" s="89"/>
      <c r="LIR25" s="89"/>
      <c r="LIS25" s="89"/>
      <c r="LIT25" s="89"/>
      <c r="LIU25" s="89"/>
      <c r="LIV25" s="89"/>
      <c r="LIW25" s="89"/>
      <c r="LIX25" s="89"/>
      <c r="LIY25" s="89"/>
      <c r="LIZ25" s="89"/>
      <c r="LJA25" s="89"/>
      <c r="LJB25" s="89"/>
      <c r="LJC25" s="89"/>
      <c r="LJD25" s="89"/>
      <c r="LJE25" s="89"/>
      <c r="LJF25" s="89"/>
      <c r="LJG25" s="89"/>
      <c r="LJH25" s="89"/>
      <c r="LJI25" s="89"/>
      <c r="LJJ25" s="89"/>
      <c r="LJK25" s="89"/>
      <c r="LJL25" s="89"/>
      <c r="LJM25" s="89"/>
      <c r="LJN25" s="89"/>
      <c r="LJO25" s="89"/>
      <c r="LJP25" s="89"/>
      <c r="LJQ25" s="89"/>
      <c r="LJR25" s="89"/>
      <c r="LJS25" s="89"/>
      <c r="LJT25" s="89"/>
      <c r="LJU25" s="89"/>
      <c r="LJV25" s="89"/>
      <c r="LJW25" s="89"/>
      <c r="LJX25" s="89"/>
      <c r="LJY25" s="89"/>
      <c r="LJZ25" s="89"/>
      <c r="LKA25" s="89"/>
      <c r="LKB25" s="89"/>
      <c r="LKC25" s="89"/>
      <c r="LKD25" s="89"/>
      <c r="LKE25" s="89"/>
      <c r="LKF25" s="89"/>
      <c r="LKG25" s="89"/>
      <c r="LKH25" s="89"/>
      <c r="LKI25" s="89"/>
      <c r="LKJ25" s="89"/>
      <c r="LKK25" s="89"/>
      <c r="LKL25" s="89"/>
      <c r="LKM25" s="89"/>
      <c r="LKN25" s="89"/>
      <c r="LKO25" s="89"/>
      <c r="LKP25" s="89"/>
      <c r="LKQ25" s="89"/>
      <c r="LKR25" s="89"/>
      <c r="LKS25" s="89"/>
      <c r="LKT25" s="89"/>
      <c r="LKU25" s="89"/>
      <c r="LKV25" s="89"/>
      <c r="LKW25" s="89"/>
      <c r="LKX25" s="89"/>
      <c r="LKY25" s="89"/>
      <c r="LKZ25" s="89"/>
      <c r="LLA25" s="89"/>
      <c r="LLB25" s="89"/>
      <c r="LLC25" s="89"/>
      <c r="LLD25" s="89"/>
      <c r="LLE25" s="89"/>
      <c r="LLF25" s="89"/>
      <c r="LLG25" s="89"/>
      <c r="LLH25" s="89"/>
      <c r="LLI25" s="89"/>
      <c r="LLJ25" s="89"/>
      <c r="LLK25" s="89"/>
      <c r="LLL25" s="89"/>
      <c r="LLM25" s="89"/>
      <c r="LLN25" s="89"/>
      <c r="LLO25" s="89"/>
      <c r="LLP25" s="89"/>
      <c r="LLQ25" s="89"/>
      <c r="LLR25" s="89"/>
      <c r="LLS25" s="89"/>
      <c r="LLT25" s="89"/>
      <c r="LLU25" s="89"/>
      <c r="LLV25" s="89"/>
      <c r="LLW25" s="89"/>
      <c r="LLX25" s="89"/>
      <c r="LLY25" s="89"/>
      <c r="LLZ25" s="89"/>
      <c r="LMA25" s="89"/>
      <c r="LMB25" s="89"/>
      <c r="LMC25" s="89"/>
      <c r="LMD25" s="89"/>
      <c r="LME25" s="89"/>
      <c r="LMF25" s="89"/>
      <c r="LMG25" s="89"/>
      <c r="LMH25" s="89"/>
      <c r="LMI25" s="89"/>
      <c r="LMJ25" s="89"/>
      <c r="LMK25" s="89"/>
      <c r="LML25" s="89"/>
      <c r="LMM25" s="89"/>
      <c r="LMN25" s="89"/>
      <c r="LMO25" s="89"/>
      <c r="LMP25" s="89"/>
      <c r="LMQ25" s="89"/>
      <c r="LMR25" s="89"/>
      <c r="LMS25" s="89"/>
      <c r="LMT25" s="89"/>
      <c r="LMU25" s="89"/>
      <c r="LMV25" s="89"/>
      <c r="LMW25" s="89"/>
      <c r="LMX25" s="89"/>
      <c r="LMY25" s="89"/>
      <c r="LMZ25" s="89"/>
      <c r="LNA25" s="89"/>
      <c r="LNB25" s="89"/>
      <c r="LNC25" s="89"/>
      <c r="LND25" s="89"/>
      <c r="LNE25" s="89"/>
      <c r="LNF25" s="89"/>
      <c r="LNG25" s="89"/>
      <c r="LNH25" s="89"/>
      <c r="LNI25" s="89"/>
      <c r="LNJ25" s="89"/>
      <c r="LNK25" s="89"/>
      <c r="LNL25" s="89"/>
      <c r="LNM25" s="89"/>
      <c r="LNN25" s="89"/>
      <c r="LNO25" s="89"/>
      <c r="LNP25" s="89"/>
      <c r="LNQ25" s="89"/>
      <c r="LNR25" s="89"/>
      <c r="LNS25" s="89"/>
      <c r="LNT25" s="89"/>
      <c r="LNU25" s="89"/>
      <c r="LNV25" s="89"/>
      <c r="LNW25" s="89"/>
      <c r="LNX25" s="89"/>
      <c r="LNY25" s="89"/>
      <c r="LNZ25" s="89"/>
      <c r="LOA25" s="89"/>
      <c r="LOB25" s="89"/>
      <c r="LOC25" s="89"/>
      <c r="LOD25" s="89"/>
      <c r="LOE25" s="89"/>
      <c r="LOF25" s="89"/>
      <c r="LOG25" s="89"/>
      <c r="LOH25" s="89"/>
      <c r="LOI25" s="89"/>
      <c r="LOJ25" s="89"/>
      <c r="LOK25" s="89"/>
      <c r="LOL25" s="89"/>
      <c r="LOM25" s="89"/>
      <c r="LON25" s="89"/>
      <c r="LOO25" s="89"/>
      <c r="LOP25" s="89"/>
      <c r="LOQ25" s="89"/>
      <c r="LOR25" s="89"/>
      <c r="LOS25" s="89"/>
      <c r="LOT25" s="89"/>
      <c r="LOU25" s="89"/>
      <c r="LOV25" s="89"/>
      <c r="LOW25" s="89"/>
      <c r="LOX25" s="89"/>
      <c r="LOY25" s="89"/>
      <c r="LOZ25" s="89"/>
      <c r="LPA25" s="89"/>
      <c r="LPB25" s="89"/>
      <c r="LPC25" s="89"/>
      <c r="LPD25" s="89"/>
      <c r="LPE25" s="89"/>
      <c r="LPF25" s="89"/>
      <c r="LPG25" s="89"/>
      <c r="LPH25" s="89"/>
      <c r="LPI25" s="89"/>
      <c r="LPJ25" s="89"/>
      <c r="LPK25" s="89"/>
      <c r="LPL25" s="89"/>
      <c r="LPM25" s="89"/>
      <c r="LPN25" s="89"/>
      <c r="LPO25" s="89"/>
      <c r="LPP25" s="89"/>
      <c r="LPQ25" s="89"/>
      <c r="LPR25" s="89"/>
      <c r="LPS25" s="89"/>
      <c r="LPT25" s="89"/>
      <c r="LPU25" s="89"/>
      <c r="LPV25" s="89"/>
      <c r="LPW25" s="89"/>
      <c r="LPX25" s="89"/>
      <c r="LPY25" s="89"/>
      <c r="LPZ25" s="89"/>
      <c r="LQA25" s="89"/>
      <c r="LQB25" s="89"/>
      <c r="LQC25" s="89"/>
      <c r="LQD25" s="89"/>
      <c r="LQE25" s="89"/>
      <c r="LQF25" s="89"/>
      <c r="LQG25" s="89"/>
      <c r="LQH25" s="89"/>
      <c r="LQI25" s="89"/>
      <c r="LQJ25" s="89"/>
      <c r="LQK25" s="89"/>
      <c r="LQL25" s="89"/>
      <c r="LQM25" s="89"/>
      <c r="LQN25" s="89"/>
      <c r="LQO25" s="89"/>
      <c r="LQP25" s="89"/>
      <c r="LQQ25" s="89"/>
      <c r="LQR25" s="89"/>
      <c r="LQS25" s="89"/>
      <c r="LQT25" s="89"/>
      <c r="LQU25" s="89"/>
      <c r="LQV25" s="89"/>
      <c r="LQW25" s="89"/>
      <c r="LQX25" s="89"/>
      <c r="LQY25" s="89"/>
      <c r="LQZ25" s="89"/>
      <c r="LRA25" s="89"/>
      <c r="LRB25" s="89"/>
      <c r="LRC25" s="89"/>
      <c r="LRD25" s="89"/>
      <c r="LRE25" s="89"/>
      <c r="LRF25" s="89"/>
      <c r="LRG25" s="89"/>
      <c r="LRH25" s="89"/>
      <c r="LRI25" s="89"/>
      <c r="LRJ25" s="89"/>
      <c r="LRK25" s="89"/>
      <c r="LRL25" s="89"/>
      <c r="LRM25" s="89"/>
      <c r="LRN25" s="89"/>
      <c r="LRO25" s="89"/>
      <c r="LRP25" s="89"/>
      <c r="LRQ25" s="89"/>
      <c r="LRR25" s="89"/>
      <c r="LRS25" s="89"/>
      <c r="LRT25" s="89"/>
      <c r="LRU25" s="89"/>
      <c r="LRV25" s="89"/>
      <c r="LRW25" s="89"/>
      <c r="LRX25" s="89"/>
      <c r="LRY25" s="89"/>
      <c r="LRZ25" s="89"/>
      <c r="LSA25" s="89"/>
      <c r="LSB25" s="89"/>
      <c r="LSC25" s="89"/>
      <c r="LSD25" s="89"/>
      <c r="LSE25" s="89"/>
      <c r="LSF25" s="89"/>
      <c r="LSG25" s="89"/>
      <c r="LSH25" s="89"/>
      <c r="LSI25" s="89"/>
      <c r="LSJ25" s="89"/>
      <c r="LSK25" s="89"/>
      <c r="LSL25" s="89"/>
      <c r="LSM25" s="89"/>
      <c r="LSN25" s="89"/>
      <c r="LSO25" s="89"/>
      <c r="LSP25" s="89"/>
      <c r="LSQ25" s="89"/>
      <c r="LSR25" s="89"/>
      <c r="LSS25" s="89"/>
      <c r="LST25" s="89"/>
      <c r="LSU25" s="89"/>
      <c r="LSV25" s="89"/>
      <c r="LSW25" s="89"/>
      <c r="LSX25" s="89"/>
      <c r="LSY25" s="89"/>
      <c r="LSZ25" s="89"/>
      <c r="LTA25" s="89"/>
      <c r="LTB25" s="89"/>
      <c r="LTC25" s="89"/>
      <c r="LTD25" s="89"/>
      <c r="LTE25" s="89"/>
      <c r="LTF25" s="89"/>
      <c r="LTG25" s="89"/>
      <c r="LTH25" s="89"/>
      <c r="LTI25" s="89"/>
      <c r="LTJ25" s="89"/>
      <c r="LTK25" s="89"/>
      <c r="LTL25" s="89"/>
      <c r="LTM25" s="89"/>
      <c r="LTN25" s="89"/>
      <c r="LTO25" s="89"/>
      <c r="LTP25" s="89"/>
      <c r="LTQ25" s="89"/>
      <c r="LTR25" s="89"/>
      <c r="LTS25" s="89"/>
      <c r="LTT25" s="89"/>
      <c r="LTU25" s="89"/>
      <c r="LTV25" s="89"/>
      <c r="LTW25" s="89"/>
      <c r="LTX25" s="89"/>
      <c r="LTY25" s="89"/>
      <c r="LTZ25" s="89"/>
      <c r="LUA25" s="89"/>
      <c r="LUB25" s="89"/>
      <c r="LUC25" s="89"/>
      <c r="LUD25" s="89"/>
      <c r="LUE25" s="89"/>
      <c r="LUF25" s="89"/>
      <c r="LUG25" s="89"/>
      <c r="LUH25" s="89"/>
      <c r="LUI25" s="89"/>
      <c r="LUJ25" s="89"/>
      <c r="LUK25" s="89"/>
      <c r="LUL25" s="89"/>
      <c r="LUM25" s="89"/>
      <c r="LUN25" s="89"/>
      <c r="LUO25" s="89"/>
      <c r="LUP25" s="89"/>
      <c r="LUQ25" s="89"/>
      <c r="LUR25" s="89"/>
      <c r="LUS25" s="89"/>
      <c r="LUT25" s="89"/>
      <c r="LUU25" s="89"/>
      <c r="LUV25" s="89"/>
      <c r="LUW25" s="89"/>
      <c r="LUX25" s="89"/>
      <c r="LUY25" s="89"/>
      <c r="LUZ25" s="89"/>
      <c r="LVA25" s="89"/>
      <c r="LVB25" s="89"/>
      <c r="LVC25" s="89"/>
      <c r="LVD25" s="89"/>
      <c r="LVE25" s="89"/>
      <c r="LVF25" s="89"/>
      <c r="LVG25" s="89"/>
      <c r="LVH25" s="89"/>
      <c r="LVI25" s="89"/>
      <c r="LVJ25" s="89"/>
      <c r="LVK25" s="89"/>
      <c r="LVL25" s="89"/>
      <c r="LVM25" s="89"/>
      <c r="LVN25" s="89"/>
      <c r="LVO25" s="89"/>
      <c r="LVP25" s="89"/>
      <c r="LVQ25" s="89"/>
      <c r="LVR25" s="89"/>
      <c r="LVS25" s="89"/>
      <c r="LVT25" s="89"/>
      <c r="LVU25" s="89"/>
      <c r="LVV25" s="89"/>
      <c r="LVW25" s="89"/>
      <c r="LVX25" s="89"/>
      <c r="LVY25" s="89"/>
      <c r="LVZ25" s="89"/>
      <c r="LWA25" s="89"/>
      <c r="LWB25" s="89"/>
      <c r="LWC25" s="89"/>
      <c r="LWD25" s="89"/>
      <c r="LWE25" s="89"/>
      <c r="LWF25" s="89"/>
      <c r="LWG25" s="89"/>
      <c r="LWH25" s="89"/>
      <c r="LWI25" s="89"/>
      <c r="LWJ25" s="89"/>
      <c r="LWK25" s="89"/>
      <c r="LWL25" s="89"/>
      <c r="LWM25" s="89"/>
      <c r="LWN25" s="89"/>
      <c r="LWO25" s="89"/>
      <c r="LWP25" s="89"/>
      <c r="LWQ25" s="89"/>
      <c r="LWR25" s="89"/>
      <c r="LWS25" s="89"/>
      <c r="LWT25" s="89"/>
      <c r="LWU25" s="89"/>
      <c r="LWV25" s="89"/>
      <c r="LWW25" s="89"/>
      <c r="LWX25" s="89"/>
      <c r="LWY25" s="89"/>
      <c r="LWZ25" s="89"/>
      <c r="LXA25" s="89"/>
      <c r="LXB25" s="89"/>
      <c r="LXC25" s="89"/>
      <c r="LXD25" s="89"/>
      <c r="LXE25" s="89"/>
      <c r="LXF25" s="89"/>
      <c r="LXG25" s="89"/>
      <c r="LXH25" s="89"/>
      <c r="LXI25" s="89"/>
      <c r="LXJ25" s="89"/>
      <c r="LXK25" s="89"/>
      <c r="LXL25" s="89"/>
      <c r="LXM25" s="89"/>
      <c r="LXN25" s="89"/>
      <c r="LXO25" s="89"/>
      <c r="LXP25" s="89"/>
      <c r="LXQ25" s="89"/>
      <c r="LXR25" s="89"/>
      <c r="LXS25" s="89"/>
      <c r="LXT25" s="89"/>
      <c r="LXU25" s="89"/>
      <c r="LXV25" s="89"/>
      <c r="LXW25" s="89"/>
      <c r="LXX25" s="89"/>
      <c r="LXY25" s="89"/>
      <c r="LXZ25" s="89"/>
      <c r="LYA25" s="89"/>
      <c r="LYB25" s="89"/>
      <c r="LYC25" s="89"/>
      <c r="LYD25" s="89"/>
      <c r="LYE25" s="89"/>
      <c r="LYF25" s="89"/>
      <c r="LYG25" s="89"/>
      <c r="LYH25" s="89"/>
      <c r="LYI25" s="89"/>
      <c r="LYJ25" s="89"/>
      <c r="LYK25" s="89"/>
      <c r="LYL25" s="89"/>
      <c r="LYM25" s="89"/>
      <c r="LYN25" s="89"/>
      <c r="LYO25" s="89"/>
      <c r="LYP25" s="89"/>
      <c r="LYQ25" s="89"/>
      <c r="LYR25" s="89"/>
      <c r="LYS25" s="89"/>
      <c r="LYT25" s="89"/>
      <c r="LYU25" s="89"/>
      <c r="LYV25" s="89"/>
      <c r="LYW25" s="89"/>
      <c r="LYX25" s="89"/>
      <c r="LYY25" s="89"/>
      <c r="LYZ25" s="89"/>
      <c r="LZA25" s="89"/>
      <c r="LZB25" s="89"/>
      <c r="LZC25" s="89"/>
      <c r="LZD25" s="89"/>
      <c r="LZE25" s="89"/>
      <c r="LZF25" s="89"/>
      <c r="LZG25" s="89"/>
      <c r="LZH25" s="89"/>
      <c r="LZI25" s="89"/>
      <c r="LZJ25" s="89"/>
      <c r="LZK25" s="89"/>
      <c r="LZL25" s="89"/>
      <c r="LZM25" s="89"/>
      <c r="LZN25" s="89"/>
      <c r="LZO25" s="89"/>
      <c r="LZP25" s="89"/>
      <c r="LZQ25" s="89"/>
      <c r="LZR25" s="89"/>
      <c r="LZS25" s="89"/>
      <c r="LZT25" s="89"/>
      <c r="LZU25" s="89"/>
      <c r="LZV25" s="89"/>
      <c r="LZW25" s="89"/>
      <c r="LZX25" s="89"/>
      <c r="LZY25" s="89"/>
      <c r="LZZ25" s="89"/>
      <c r="MAA25" s="89"/>
      <c r="MAB25" s="89"/>
      <c r="MAC25" s="89"/>
      <c r="MAD25" s="89"/>
      <c r="MAE25" s="89"/>
      <c r="MAF25" s="89"/>
      <c r="MAG25" s="89"/>
      <c r="MAH25" s="89"/>
      <c r="MAI25" s="89"/>
      <c r="MAJ25" s="89"/>
      <c r="MAK25" s="89"/>
      <c r="MAL25" s="89"/>
      <c r="MAM25" s="89"/>
      <c r="MAN25" s="89"/>
      <c r="MAO25" s="89"/>
      <c r="MAP25" s="89"/>
      <c r="MAQ25" s="89"/>
      <c r="MAR25" s="89"/>
      <c r="MAS25" s="89"/>
      <c r="MAT25" s="89"/>
      <c r="MAU25" s="89"/>
      <c r="MAV25" s="89"/>
      <c r="MAW25" s="89"/>
      <c r="MAX25" s="89"/>
      <c r="MAY25" s="89"/>
      <c r="MAZ25" s="89"/>
      <c r="MBA25" s="89"/>
      <c r="MBB25" s="89"/>
      <c r="MBC25" s="89"/>
      <c r="MBD25" s="89"/>
      <c r="MBE25" s="89"/>
      <c r="MBF25" s="89"/>
      <c r="MBG25" s="89"/>
      <c r="MBH25" s="89"/>
      <c r="MBI25" s="89"/>
      <c r="MBJ25" s="89"/>
      <c r="MBK25" s="89"/>
      <c r="MBL25" s="89"/>
      <c r="MBM25" s="89"/>
      <c r="MBN25" s="89"/>
      <c r="MBO25" s="89"/>
      <c r="MBP25" s="89"/>
      <c r="MBQ25" s="89"/>
      <c r="MBR25" s="89"/>
      <c r="MBS25" s="89"/>
      <c r="MBT25" s="89"/>
      <c r="MBU25" s="89"/>
      <c r="MBV25" s="89"/>
      <c r="MBW25" s="89"/>
      <c r="MBX25" s="89"/>
      <c r="MBY25" s="89"/>
      <c r="MBZ25" s="89"/>
      <c r="MCA25" s="89"/>
      <c r="MCB25" s="89"/>
      <c r="MCC25" s="89"/>
      <c r="MCD25" s="89"/>
      <c r="MCE25" s="89"/>
      <c r="MCF25" s="89"/>
      <c r="MCG25" s="89"/>
      <c r="MCH25" s="89"/>
      <c r="MCI25" s="89"/>
      <c r="MCJ25" s="89"/>
      <c r="MCK25" s="89"/>
      <c r="MCL25" s="89"/>
      <c r="MCM25" s="89"/>
      <c r="MCN25" s="89"/>
      <c r="MCO25" s="89"/>
      <c r="MCP25" s="89"/>
      <c r="MCQ25" s="89"/>
      <c r="MCR25" s="89"/>
      <c r="MCS25" s="89"/>
      <c r="MCT25" s="89"/>
      <c r="MCU25" s="89"/>
      <c r="MCV25" s="89"/>
      <c r="MCW25" s="89"/>
      <c r="MCX25" s="89"/>
      <c r="MCY25" s="89"/>
      <c r="MCZ25" s="89"/>
      <c r="MDA25" s="89"/>
      <c r="MDB25" s="89"/>
      <c r="MDC25" s="89"/>
      <c r="MDD25" s="89"/>
      <c r="MDE25" s="89"/>
      <c r="MDF25" s="89"/>
      <c r="MDG25" s="89"/>
      <c r="MDH25" s="89"/>
      <c r="MDI25" s="89"/>
      <c r="MDJ25" s="89"/>
      <c r="MDK25" s="89"/>
      <c r="MDL25" s="89"/>
      <c r="MDM25" s="89"/>
      <c r="MDN25" s="89"/>
      <c r="MDO25" s="89"/>
      <c r="MDP25" s="89"/>
      <c r="MDQ25" s="89"/>
      <c r="MDR25" s="89"/>
      <c r="MDS25" s="89"/>
      <c r="MDT25" s="89"/>
      <c r="MDU25" s="89"/>
      <c r="MDV25" s="89"/>
      <c r="MDW25" s="89"/>
      <c r="MDX25" s="89"/>
      <c r="MDY25" s="89"/>
      <c r="MDZ25" s="89"/>
      <c r="MEA25" s="89"/>
      <c r="MEB25" s="89"/>
      <c r="MEC25" s="89"/>
      <c r="MED25" s="89"/>
      <c r="MEE25" s="89"/>
      <c r="MEF25" s="89"/>
      <c r="MEG25" s="89"/>
      <c r="MEH25" s="89"/>
      <c r="MEI25" s="89"/>
      <c r="MEJ25" s="89"/>
      <c r="MEK25" s="89"/>
      <c r="MEL25" s="89"/>
      <c r="MEM25" s="89"/>
      <c r="MEN25" s="89"/>
      <c r="MEO25" s="89"/>
      <c r="MEP25" s="89"/>
      <c r="MEQ25" s="89"/>
      <c r="MER25" s="89"/>
      <c r="MES25" s="89"/>
      <c r="MET25" s="89"/>
      <c r="MEU25" s="89"/>
      <c r="MEV25" s="89"/>
      <c r="MEW25" s="89"/>
      <c r="MEX25" s="89"/>
      <c r="MEY25" s="89"/>
      <c r="MEZ25" s="89"/>
      <c r="MFA25" s="89"/>
      <c r="MFB25" s="89"/>
      <c r="MFC25" s="89"/>
      <c r="MFD25" s="89"/>
      <c r="MFE25" s="89"/>
      <c r="MFF25" s="89"/>
      <c r="MFG25" s="89"/>
      <c r="MFH25" s="89"/>
      <c r="MFI25" s="89"/>
      <c r="MFJ25" s="89"/>
      <c r="MFK25" s="89"/>
      <c r="MFL25" s="89"/>
      <c r="MFM25" s="89"/>
      <c r="MFN25" s="89"/>
      <c r="MFO25" s="89"/>
      <c r="MFP25" s="89"/>
      <c r="MFQ25" s="89"/>
      <c r="MFR25" s="89"/>
      <c r="MFS25" s="89"/>
      <c r="MFT25" s="89"/>
      <c r="MFU25" s="89"/>
      <c r="MFV25" s="89"/>
      <c r="MFW25" s="89"/>
      <c r="MFX25" s="89"/>
      <c r="MFY25" s="89"/>
      <c r="MFZ25" s="89"/>
      <c r="MGA25" s="89"/>
      <c r="MGB25" s="89"/>
      <c r="MGC25" s="89"/>
      <c r="MGD25" s="89"/>
      <c r="MGE25" s="89"/>
      <c r="MGF25" s="89"/>
      <c r="MGG25" s="89"/>
      <c r="MGH25" s="89"/>
      <c r="MGI25" s="89"/>
      <c r="MGJ25" s="89"/>
      <c r="MGK25" s="89"/>
      <c r="MGL25" s="89"/>
      <c r="MGM25" s="89"/>
      <c r="MGN25" s="89"/>
      <c r="MGO25" s="89"/>
      <c r="MGP25" s="89"/>
      <c r="MGQ25" s="89"/>
      <c r="MGR25" s="89"/>
      <c r="MGS25" s="89"/>
      <c r="MGT25" s="89"/>
      <c r="MGU25" s="89"/>
      <c r="MGV25" s="89"/>
      <c r="MGW25" s="89"/>
      <c r="MGX25" s="89"/>
      <c r="MGY25" s="89"/>
      <c r="MGZ25" s="89"/>
      <c r="MHA25" s="89"/>
      <c r="MHB25" s="89"/>
      <c r="MHC25" s="89"/>
      <c r="MHD25" s="89"/>
      <c r="MHE25" s="89"/>
      <c r="MHF25" s="89"/>
      <c r="MHG25" s="89"/>
      <c r="MHH25" s="89"/>
      <c r="MHI25" s="89"/>
      <c r="MHJ25" s="89"/>
      <c r="MHK25" s="89"/>
      <c r="MHL25" s="89"/>
      <c r="MHM25" s="89"/>
      <c r="MHN25" s="89"/>
      <c r="MHO25" s="89"/>
      <c r="MHP25" s="89"/>
      <c r="MHQ25" s="89"/>
      <c r="MHR25" s="89"/>
      <c r="MHS25" s="89"/>
      <c r="MHT25" s="89"/>
      <c r="MHU25" s="89"/>
      <c r="MHV25" s="89"/>
      <c r="MHW25" s="89"/>
      <c r="MHX25" s="89"/>
      <c r="MHY25" s="89"/>
      <c r="MHZ25" s="89"/>
      <c r="MIA25" s="89"/>
      <c r="MIB25" s="89"/>
      <c r="MIC25" s="89"/>
      <c r="MID25" s="89"/>
      <c r="MIE25" s="89"/>
      <c r="MIF25" s="89"/>
      <c r="MIG25" s="89"/>
      <c r="MIH25" s="89"/>
      <c r="MII25" s="89"/>
      <c r="MIJ25" s="89"/>
      <c r="MIK25" s="89"/>
      <c r="MIL25" s="89"/>
      <c r="MIM25" s="89"/>
      <c r="MIN25" s="89"/>
      <c r="MIO25" s="89"/>
      <c r="MIP25" s="89"/>
      <c r="MIQ25" s="89"/>
      <c r="MIR25" s="89"/>
      <c r="MIS25" s="89"/>
      <c r="MIT25" s="89"/>
      <c r="MIU25" s="89"/>
      <c r="MIV25" s="89"/>
      <c r="MIW25" s="89"/>
      <c r="MIX25" s="89"/>
      <c r="MIY25" s="89"/>
      <c r="MIZ25" s="89"/>
      <c r="MJA25" s="89"/>
      <c r="MJB25" s="89"/>
      <c r="MJC25" s="89"/>
      <c r="MJD25" s="89"/>
      <c r="MJE25" s="89"/>
      <c r="MJF25" s="89"/>
      <c r="MJG25" s="89"/>
      <c r="MJH25" s="89"/>
      <c r="MJI25" s="89"/>
      <c r="MJJ25" s="89"/>
      <c r="MJK25" s="89"/>
      <c r="MJL25" s="89"/>
      <c r="MJM25" s="89"/>
      <c r="MJN25" s="89"/>
      <c r="MJO25" s="89"/>
      <c r="MJP25" s="89"/>
      <c r="MJQ25" s="89"/>
      <c r="MJR25" s="89"/>
      <c r="MJS25" s="89"/>
      <c r="MJT25" s="89"/>
      <c r="MJU25" s="89"/>
      <c r="MJV25" s="89"/>
      <c r="MJW25" s="89"/>
      <c r="MJX25" s="89"/>
      <c r="MJY25" s="89"/>
      <c r="MJZ25" s="89"/>
      <c r="MKA25" s="89"/>
      <c r="MKB25" s="89"/>
      <c r="MKC25" s="89"/>
      <c r="MKD25" s="89"/>
      <c r="MKE25" s="89"/>
      <c r="MKF25" s="89"/>
      <c r="MKG25" s="89"/>
      <c r="MKH25" s="89"/>
      <c r="MKI25" s="89"/>
      <c r="MKJ25" s="89"/>
      <c r="MKK25" s="89"/>
      <c r="MKL25" s="89"/>
      <c r="MKM25" s="89"/>
      <c r="MKN25" s="89"/>
      <c r="MKO25" s="89"/>
      <c r="MKP25" s="89"/>
      <c r="MKQ25" s="89"/>
      <c r="MKR25" s="89"/>
      <c r="MKS25" s="89"/>
      <c r="MKT25" s="89"/>
      <c r="MKU25" s="89"/>
      <c r="MKV25" s="89"/>
      <c r="MKW25" s="89"/>
      <c r="MKX25" s="89"/>
      <c r="MKY25" s="89"/>
      <c r="MKZ25" s="89"/>
      <c r="MLA25" s="89"/>
      <c r="MLB25" s="89"/>
      <c r="MLC25" s="89"/>
      <c r="MLD25" s="89"/>
      <c r="MLE25" s="89"/>
      <c r="MLF25" s="89"/>
      <c r="MLG25" s="89"/>
      <c r="MLH25" s="89"/>
      <c r="MLI25" s="89"/>
      <c r="MLJ25" s="89"/>
      <c r="MLK25" s="89"/>
      <c r="MLL25" s="89"/>
      <c r="MLM25" s="89"/>
      <c r="MLN25" s="89"/>
      <c r="MLO25" s="89"/>
      <c r="MLP25" s="89"/>
      <c r="MLQ25" s="89"/>
      <c r="MLR25" s="89"/>
      <c r="MLS25" s="89"/>
      <c r="MLT25" s="89"/>
      <c r="MLU25" s="89"/>
      <c r="MLV25" s="89"/>
      <c r="MLW25" s="89"/>
      <c r="MLX25" s="89"/>
      <c r="MLY25" s="89"/>
      <c r="MLZ25" s="89"/>
      <c r="MMA25" s="89"/>
      <c r="MMB25" s="89"/>
      <c r="MMC25" s="89"/>
      <c r="MMD25" s="89"/>
      <c r="MME25" s="89"/>
      <c r="MMF25" s="89"/>
      <c r="MMG25" s="89"/>
      <c r="MMH25" s="89"/>
      <c r="MMI25" s="89"/>
      <c r="MMJ25" s="89"/>
      <c r="MMK25" s="89"/>
      <c r="MML25" s="89"/>
      <c r="MMM25" s="89"/>
      <c r="MMN25" s="89"/>
      <c r="MMO25" s="89"/>
      <c r="MMP25" s="89"/>
      <c r="MMQ25" s="89"/>
      <c r="MMR25" s="89"/>
      <c r="MMS25" s="89"/>
      <c r="MMT25" s="89"/>
      <c r="MMU25" s="89"/>
      <c r="MMV25" s="89"/>
      <c r="MMW25" s="89"/>
      <c r="MMX25" s="89"/>
      <c r="MMY25" s="89"/>
      <c r="MMZ25" s="89"/>
      <c r="MNA25" s="89"/>
      <c r="MNB25" s="89"/>
      <c r="MNC25" s="89"/>
      <c r="MND25" s="89"/>
      <c r="MNE25" s="89"/>
      <c r="MNF25" s="89"/>
      <c r="MNG25" s="89"/>
      <c r="MNH25" s="89"/>
      <c r="MNI25" s="89"/>
      <c r="MNJ25" s="89"/>
      <c r="MNK25" s="89"/>
      <c r="MNL25" s="89"/>
      <c r="MNM25" s="89"/>
      <c r="MNN25" s="89"/>
      <c r="MNO25" s="89"/>
      <c r="MNP25" s="89"/>
      <c r="MNQ25" s="89"/>
      <c r="MNR25" s="89"/>
      <c r="MNS25" s="89"/>
      <c r="MNT25" s="89"/>
      <c r="MNU25" s="89"/>
      <c r="MNV25" s="89"/>
      <c r="MNW25" s="89"/>
      <c r="MNX25" s="89"/>
      <c r="MNY25" s="89"/>
      <c r="MNZ25" s="89"/>
      <c r="MOA25" s="89"/>
      <c r="MOB25" s="89"/>
      <c r="MOC25" s="89"/>
      <c r="MOD25" s="89"/>
      <c r="MOE25" s="89"/>
      <c r="MOF25" s="89"/>
      <c r="MOG25" s="89"/>
      <c r="MOH25" s="89"/>
      <c r="MOI25" s="89"/>
      <c r="MOJ25" s="89"/>
      <c r="MOK25" s="89"/>
      <c r="MOL25" s="89"/>
      <c r="MOM25" s="89"/>
      <c r="MON25" s="89"/>
      <c r="MOO25" s="89"/>
      <c r="MOP25" s="89"/>
      <c r="MOQ25" s="89"/>
      <c r="MOR25" s="89"/>
      <c r="MOS25" s="89"/>
      <c r="MOT25" s="89"/>
      <c r="MOU25" s="89"/>
      <c r="MOV25" s="89"/>
      <c r="MOW25" s="89"/>
      <c r="MOX25" s="89"/>
      <c r="MOY25" s="89"/>
      <c r="MOZ25" s="89"/>
      <c r="MPA25" s="89"/>
      <c r="MPB25" s="89"/>
      <c r="MPC25" s="89"/>
      <c r="MPD25" s="89"/>
      <c r="MPE25" s="89"/>
      <c r="MPF25" s="89"/>
      <c r="MPG25" s="89"/>
      <c r="MPH25" s="89"/>
      <c r="MPI25" s="89"/>
      <c r="MPJ25" s="89"/>
      <c r="MPK25" s="89"/>
      <c r="MPL25" s="89"/>
      <c r="MPM25" s="89"/>
      <c r="MPN25" s="89"/>
      <c r="MPO25" s="89"/>
      <c r="MPP25" s="89"/>
      <c r="MPQ25" s="89"/>
      <c r="MPR25" s="89"/>
      <c r="MPS25" s="89"/>
      <c r="MPT25" s="89"/>
      <c r="MPU25" s="89"/>
      <c r="MPV25" s="89"/>
      <c r="MPW25" s="89"/>
      <c r="MPX25" s="89"/>
      <c r="MPY25" s="89"/>
      <c r="MPZ25" s="89"/>
      <c r="MQA25" s="89"/>
      <c r="MQB25" s="89"/>
      <c r="MQC25" s="89"/>
      <c r="MQD25" s="89"/>
      <c r="MQE25" s="89"/>
      <c r="MQF25" s="89"/>
      <c r="MQG25" s="89"/>
      <c r="MQH25" s="89"/>
      <c r="MQI25" s="89"/>
      <c r="MQJ25" s="89"/>
      <c r="MQK25" s="89"/>
      <c r="MQL25" s="89"/>
      <c r="MQM25" s="89"/>
      <c r="MQN25" s="89"/>
      <c r="MQO25" s="89"/>
      <c r="MQP25" s="89"/>
      <c r="MQQ25" s="89"/>
      <c r="MQR25" s="89"/>
      <c r="MQS25" s="89"/>
      <c r="MQT25" s="89"/>
      <c r="MQU25" s="89"/>
      <c r="MQV25" s="89"/>
      <c r="MQW25" s="89"/>
      <c r="MQX25" s="89"/>
      <c r="MQY25" s="89"/>
      <c r="MQZ25" s="89"/>
      <c r="MRA25" s="89"/>
      <c r="MRB25" s="89"/>
      <c r="MRC25" s="89"/>
      <c r="MRD25" s="89"/>
      <c r="MRE25" s="89"/>
      <c r="MRF25" s="89"/>
      <c r="MRG25" s="89"/>
      <c r="MRH25" s="89"/>
      <c r="MRI25" s="89"/>
      <c r="MRJ25" s="89"/>
      <c r="MRK25" s="89"/>
      <c r="MRL25" s="89"/>
      <c r="MRM25" s="89"/>
      <c r="MRN25" s="89"/>
      <c r="MRO25" s="89"/>
      <c r="MRP25" s="89"/>
      <c r="MRQ25" s="89"/>
      <c r="MRR25" s="89"/>
      <c r="MRS25" s="89"/>
      <c r="MRT25" s="89"/>
      <c r="MRU25" s="89"/>
      <c r="MRV25" s="89"/>
      <c r="MRW25" s="89"/>
      <c r="MRX25" s="89"/>
      <c r="MRY25" s="89"/>
      <c r="MRZ25" s="89"/>
      <c r="MSA25" s="89"/>
      <c r="MSB25" s="89"/>
      <c r="MSC25" s="89"/>
      <c r="MSD25" s="89"/>
      <c r="MSE25" s="89"/>
      <c r="MSF25" s="89"/>
      <c r="MSG25" s="89"/>
      <c r="MSH25" s="89"/>
      <c r="MSI25" s="89"/>
      <c r="MSJ25" s="89"/>
      <c r="MSK25" s="89"/>
      <c r="MSL25" s="89"/>
      <c r="MSM25" s="89"/>
      <c r="MSN25" s="89"/>
      <c r="MSO25" s="89"/>
      <c r="MSP25" s="89"/>
      <c r="MSQ25" s="89"/>
      <c r="MSR25" s="89"/>
      <c r="MSS25" s="89"/>
      <c r="MST25" s="89"/>
      <c r="MSU25" s="89"/>
      <c r="MSV25" s="89"/>
      <c r="MSW25" s="89"/>
      <c r="MSX25" s="89"/>
      <c r="MSY25" s="89"/>
      <c r="MSZ25" s="89"/>
      <c r="MTA25" s="89"/>
      <c r="MTB25" s="89"/>
      <c r="MTC25" s="89"/>
      <c r="MTD25" s="89"/>
      <c r="MTE25" s="89"/>
      <c r="MTF25" s="89"/>
      <c r="MTG25" s="89"/>
      <c r="MTH25" s="89"/>
      <c r="MTI25" s="89"/>
      <c r="MTJ25" s="89"/>
      <c r="MTK25" s="89"/>
      <c r="MTL25" s="89"/>
      <c r="MTM25" s="89"/>
      <c r="MTN25" s="89"/>
      <c r="MTO25" s="89"/>
      <c r="MTP25" s="89"/>
      <c r="MTQ25" s="89"/>
      <c r="MTR25" s="89"/>
      <c r="MTS25" s="89"/>
      <c r="MTT25" s="89"/>
      <c r="MTU25" s="89"/>
      <c r="MTV25" s="89"/>
      <c r="MTW25" s="89"/>
      <c r="MTX25" s="89"/>
      <c r="MTY25" s="89"/>
      <c r="MTZ25" s="89"/>
      <c r="MUA25" s="89"/>
      <c r="MUB25" s="89"/>
      <c r="MUC25" s="89"/>
      <c r="MUD25" s="89"/>
      <c r="MUE25" s="89"/>
      <c r="MUF25" s="89"/>
      <c r="MUG25" s="89"/>
      <c r="MUH25" s="89"/>
      <c r="MUI25" s="89"/>
      <c r="MUJ25" s="89"/>
      <c r="MUK25" s="89"/>
      <c r="MUL25" s="89"/>
      <c r="MUM25" s="89"/>
      <c r="MUN25" s="89"/>
      <c r="MUO25" s="89"/>
      <c r="MUP25" s="89"/>
      <c r="MUQ25" s="89"/>
      <c r="MUR25" s="89"/>
      <c r="MUS25" s="89"/>
      <c r="MUT25" s="89"/>
      <c r="MUU25" s="89"/>
      <c r="MUV25" s="89"/>
      <c r="MUW25" s="89"/>
      <c r="MUX25" s="89"/>
      <c r="MUY25" s="89"/>
      <c r="MUZ25" s="89"/>
      <c r="MVA25" s="89"/>
      <c r="MVB25" s="89"/>
      <c r="MVC25" s="89"/>
      <c r="MVD25" s="89"/>
      <c r="MVE25" s="89"/>
      <c r="MVF25" s="89"/>
      <c r="MVG25" s="89"/>
      <c r="MVH25" s="89"/>
      <c r="MVI25" s="89"/>
      <c r="MVJ25" s="89"/>
      <c r="MVK25" s="89"/>
      <c r="MVL25" s="89"/>
      <c r="MVM25" s="89"/>
      <c r="MVN25" s="89"/>
      <c r="MVO25" s="89"/>
      <c r="MVP25" s="89"/>
      <c r="MVQ25" s="89"/>
      <c r="MVR25" s="89"/>
      <c r="MVS25" s="89"/>
      <c r="MVT25" s="89"/>
      <c r="MVU25" s="89"/>
      <c r="MVV25" s="89"/>
      <c r="MVW25" s="89"/>
      <c r="MVX25" s="89"/>
      <c r="MVY25" s="89"/>
      <c r="MVZ25" s="89"/>
      <c r="MWA25" s="89"/>
      <c r="MWB25" s="89"/>
      <c r="MWC25" s="89"/>
      <c r="MWD25" s="89"/>
      <c r="MWE25" s="89"/>
      <c r="MWF25" s="89"/>
      <c r="MWG25" s="89"/>
      <c r="MWH25" s="89"/>
      <c r="MWI25" s="89"/>
      <c r="MWJ25" s="89"/>
      <c r="MWK25" s="89"/>
      <c r="MWL25" s="89"/>
      <c r="MWM25" s="89"/>
      <c r="MWN25" s="89"/>
      <c r="MWO25" s="89"/>
      <c r="MWP25" s="89"/>
      <c r="MWQ25" s="89"/>
      <c r="MWR25" s="89"/>
      <c r="MWS25" s="89"/>
      <c r="MWT25" s="89"/>
      <c r="MWU25" s="89"/>
      <c r="MWV25" s="89"/>
      <c r="MWW25" s="89"/>
      <c r="MWX25" s="89"/>
      <c r="MWY25" s="89"/>
      <c r="MWZ25" s="89"/>
      <c r="MXA25" s="89"/>
      <c r="MXB25" s="89"/>
      <c r="MXC25" s="89"/>
      <c r="MXD25" s="89"/>
      <c r="MXE25" s="89"/>
      <c r="MXF25" s="89"/>
      <c r="MXG25" s="89"/>
      <c r="MXH25" s="89"/>
      <c r="MXI25" s="89"/>
      <c r="MXJ25" s="89"/>
      <c r="MXK25" s="89"/>
      <c r="MXL25" s="89"/>
      <c r="MXM25" s="89"/>
      <c r="MXN25" s="89"/>
      <c r="MXO25" s="89"/>
      <c r="MXP25" s="89"/>
      <c r="MXQ25" s="89"/>
      <c r="MXR25" s="89"/>
      <c r="MXS25" s="89"/>
      <c r="MXT25" s="89"/>
      <c r="MXU25" s="89"/>
      <c r="MXV25" s="89"/>
      <c r="MXW25" s="89"/>
      <c r="MXX25" s="89"/>
      <c r="MXY25" s="89"/>
      <c r="MXZ25" s="89"/>
      <c r="MYA25" s="89"/>
      <c r="MYB25" s="89"/>
      <c r="MYC25" s="89"/>
      <c r="MYD25" s="89"/>
      <c r="MYE25" s="89"/>
      <c r="MYF25" s="89"/>
      <c r="MYG25" s="89"/>
      <c r="MYH25" s="89"/>
      <c r="MYI25" s="89"/>
      <c r="MYJ25" s="89"/>
      <c r="MYK25" s="89"/>
      <c r="MYL25" s="89"/>
      <c r="MYM25" s="89"/>
      <c r="MYN25" s="89"/>
      <c r="MYO25" s="89"/>
      <c r="MYP25" s="89"/>
      <c r="MYQ25" s="89"/>
      <c r="MYR25" s="89"/>
      <c r="MYS25" s="89"/>
      <c r="MYT25" s="89"/>
      <c r="MYU25" s="89"/>
      <c r="MYV25" s="89"/>
      <c r="MYW25" s="89"/>
      <c r="MYX25" s="89"/>
      <c r="MYY25" s="89"/>
      <c r="MYZ25" s="89"/>
      <c r="MZA25" s="89"/>
      <c r="MZB25" s="89"/>
      <c r="MZC25" s="89"/>
      <c r="MZD25" s="89"/>
      <c r="MZE25" s="89"/>
      <c r="MZF25" s="89"/>
      <c r="MZG25" s="89"/>
      <c r="MZH25" s="89"/>
      <c r="MZI25" s="89"/>
      <c r="MZJ25" s="89"/>
      <c r="MZK25" s="89"/>
      <c r="MZL25" s="89"/>
      <c r="MZM25" s="89"/>
      <c r="MZN25" s="89"/>
      <c r="MZO25" s="89"/>
      <c r="MZP25" s="89"/>
      <c r="MZQ25" s="89"/>
      <c r="MZR25" s="89"/>
      <c r="MZS25" s="89"/>
      <c r="MZT25" s="89"/>
      <c r="MZU25" s="89"/>
      <c r="MZV25" s="89"/>
      <c r="MZW25" s="89"/>
      <c r="MZX25" s="89"/>
      <c r="MZY25" s="89"/>
      <c r="MZZ25" s="89"/>
      <c r="NAA25" s="89"/>
      <c r="NAB25" s="89"/>
      <c r="NAC25" s="89"/>
      <c r="NAD25" s="89"/>
      <c r="NAE25" s="89"/>
      <c r="NAF25" s="89"/>
      <c r="NAG25" s="89"/>
      <c r="NAH25" s="89"/>
      <c r="NAI25" s="89"/>
      <c r="NAJ25" s="89"/>
      <c r="NAK25" s="89"/>
      <c r="NAL25" s="89"/>
      <c r="NAM25" s="89"/>
      <c r="NAN25" s="89"/>
      <c r="NAO25" s="89"/>
      <c r="NAP25" s="89"/>
      <c r="NAQ25" s="89"/>
      <c r="NAR25" s="89"/>
      <c r="NAS25" s="89"/>
      <c r="NAT25" s="89"/>
      <c r="NAU25" s="89"/>
      <c r="NAV25" s="89"/>
      <c r="NAW25" s="89"/>
      <c r="NAX25" s="89"/>
      <c r="NAY25" s="89"/>
      <c r="NAZ25" s="89"/>
      <c r="NBA25" s="89"/>
      <c r="NBB25" s="89"/>
      <c r="NBC25" s="89"/>
      <c r="NBD25" s="89"/>
      <c r="NBE25" s="89"/>
      <c r="NBF25" s="89"/>
      <c r="NBG25" s="89"/>
      <c r="NBH25" s="89"/>
      <c r="NBI25" s="89"/>
      <c r="NBJ25" s="89"/>
      <c r="NBK25" s="89"/>
      <c r="NBL25" s="89"/>
      <c r="NBM25" s="89"/>
      <c r="NBN25" s="89"/>
      <c r="NBO25" s="89"/>
      <c r="NBP25" s="89"/>
      <c r="NBQ25" s="89"/>
      <c r="NBR25" s="89"/>
      <c r="NBS25" s="89"/>
      <c r="NBT25" s="89"/>
      <c r="NBU25" s="89"/>
      <c r="NBV25" s="89"/>
      <c r="NBW25" s="89"/>
      <c r="NBX25" s="89"/>
      <c r="NBY25" s="89"/>
      <c r="NBZ25" s="89"/>
      <c r="NCA25" s="89"/>
      <c r="NCB25" s="89"/>
      <c r="NCC25" s="89"/>
      <c r="NCD25" s="89"/>
      <c r="NCE25" s="89"/>
      <c r="NCF25" s="89"/>
      <c r="NCG25" s="89"/>
      <c r="NCH25" s="89"/>
      <c r="NCI25" s="89"/>
      <c r="NCJ25" s="89"/>
      <c r="NCK25" s="89"/>
      <c r="NCL25" s="89"/>
      <c r="NCM25" s="89"/>
      <c r="NCN25" s="89"/>
      <c r="NCO25" s="89"/>
      <c r="NCP25" s="89"/>
      <c r="NCQ25" s="89"/>
      <c r="NCR25" s="89"/>
      <c r="NCS25" s="89"/>
      <c r="NCT25" s="89"/>
      <c r="NCU25" s="89"/>
      <c r="NCV25" s="89"/>
      <c r="NCW25" s="89"/>
      <c r="NCX25" s="89"/>
      <c r="NCY25" s="89"/>
      <c r="NCZ25" s="89"/>
      <c r="NDA25" s="89"/>
      <c r="NDB25" s="89"/>
      <c r="NDC25" s="89"/>
      <c r="NDD25" s="89"/>
      <c r="NDE25" s="89"/>
      <c r="NDF25" s="89"/>
      <c r="NDG25" s="89"/>
      <c r="NDH25" s="89"/>
      <c r="NDI25" s="89"/>
      <c r="NDJ25" s="89"/>
      <c r="NDK25" s="89"/>
      <c r="NDL25" s="89"/>
      <c r="NDM25" s="89"/>
      <c r="NDN25" s="89"/>
      <c r="NDO25" s="89"/>
      <c r="NDP25" s="89"/>
      <c r="NDQ25" s="89"/>
      <c r="NDR25" s="89"/>
      <c r="NDS25" s="89"/>
      <c r="NDT25" s="89"/>
      <c r="NDU25" s="89"/>
      <c r="NDV25" s="89"/>
      <c r="NDW25" s="89"/>
      <c r="NDX25" s="89"/>
      <c r="NDY25" s="89"/>
      <c r="NDZ25" s="89"/>
      <c r="NEA25" s="89"/>
      <c r="NEB25" s="89"/>
      <c r="NEC25" s="89"/>
      <c r="NED25" s="89"/>
      <c r="NEE25" s="89"/>
      <c r="NEF25" s="89"/>
      <c r="NEG25" s="89"/>
      <c r="NEH25" s="89"/>
      <c r="NEI25" s="89"/>
      <c r="NEJ25" s="89"/>
      <c r="NEK25" s="89"/>
      <c r="NEL25" s="89"/>
      <c r="NEM25" s="89"/>
      <c r="NEN25" s="89"/>
      <c r="NEO25" s="89"/>
      <c r="NEP25" s="89"/>
      <c r="NEQ25" s="89"/>
      <c r="NER25" s="89"/>
      <c r="NES25" s="89"/>
      <c r="NET25" s="89"/>
      <c r="NEU25" s="89"/>
      <c r="NEV25" s="89"/>
      <c r="NEW25" s="89"/>
      <c r="NEX25" s="89"/>
      <c r="NEY25" s="89"/>
      <c r="NEZ25" s="89"/>
      <c r="NFA25" s="89"/>
      <c r="NFB25" s="89"/>
      <c r="NFC25" s="89"/>
      <c r="NFD25" s="89"/>
      <c r="NFE25" s="89"/>
      <c r="NFF25" s="89"/>
      <c r="NFG25" s="89"/>
      <c r="NFH25" s="89"/>
      <c r="NFI25" s="89"/>
      <c r="NFJ25" s="89"/>
      <c r="NFK25" s="89"/>
      <c r="NFL25" s="89"/>
      <c r="NFM25" s="89"/>
      <c r="NFN25" s="89"/>
      <c r="NFO25" s="89"/>
      <c r="NFP25" s="89"/>
      <c r="NFQ25" s="89"/>
      <c r="NFR25" s="89"/>
      <c r="NFS25" s="89"/>
      <c r="NFT25" s="89"/>
      <c r="NFU25" s="89"/>
      <c r="NFV25" s="89"/>
      <c r="NFW25" s="89"/>
      <c r="NFX25" s="89"/>
      <c r="NFY25" s="89"/>
      <c r="NFZ25" s="89"/>
      <c r="NGA25" s="89"/>
      <c r="NGB25" s="89"/>
      <c r="NGC25" s="89"/>
      <c r="NGD25" s="89"/>
      <c r="NGE25" s="89"/>
      <c r="NGF25" s="89"/>
      <c r="NGG25" s="89"/>
      <c r="NGH25" s="89"/>
      <c r="NGI25" s="89"/>
      <c r="NGJ25" s="89"/>
      <c r="NGK25" s="89"/>
      <c r="NGL25" s="89"/>
      <c r="NGM25" s="89"/>
      <c r="NGN25" s="89"/>
      <c r="NGO25" s="89"/>
      <c r="NGP25" s="89"/>
      <c r="NGQ25" s="89"/>
      <c r="NGR25" s="89"/>
      <c r="NGS25" s="89"/>
      <c r="NGT25" s="89"/>
      <c r="NGU25" s="89"/>
      <c r="NGV25" s="89"/>
      <c r="NGW25" s="89"/>
      <c r="NGX25" s="89"/>
      <c r="NGY25" s="89"/>
      <c r="NGZ25" s="89"/>
      <c r="NHA25" s="89"/>
      <c r="NHB25" s="89"/>
      <c r="NHC25" s="89"/>
      <c r="NHD25" s="89"/>
      <c r="NHE25" s="89"/>
      <c r="NHF25" s="89"/>
      <c r="NHG25" s="89"/>
      <c r="NHH25" s="89"/>
      <c r="NHI25" s="89"/>
      <c r="NHJ25" s="89"/>
      <c r="NHK25" s="89"/>
      <c r="NHL25" s="89"/>
      <c r="NHM25" s="89"/>
      <c r="NHN25" s="89"/>
      <c r="NHO25" s="89"/>
      <c r="NHP25" s="89"/>
      <c r="NHQ25" s="89"/>
      <c r="NHR25" s="89"/>
      <c r="NHS25" s="89"/>
      <c r="NHT25" s="89"/>
      <c r="NHU25" s="89"/>
      <c r="NHV25" s="89"/>
      <c r="NHW25" s="89"/>
      <c r="NHX25" s="89"/>
      <c r="NHY25" s="89"/>
      <c r="NHZ25" s="89"/>
      <c r="NIA25" s="89"/>
      <c r="NIB25" s="89"/>
      <c r="NIC25" s="89"/>
      <c r="NID25" s="89"/>
      <c r="NIE25" s="89"/>
      <c r="NIF25" s="89"/>
      <c r="NIG25" s="89"/>
      <c r="NIH25" s="89"/>
      <c r="NII25" s="89"/>
      <c r="NIJ25" s="89"/>
      <c r="NIK25" s="89"/>
      <c r="NIL25" s="89"/>
      <c r="NIM25" s="89"/>
      <c r="NIN25" s="89"/>
      <c r="NIO25" s="89"/>
      <c r="NIP25" s="89"/>
      <c r="NIQ25" s="89"/>
      <c r="NIR25" s="89"/>
      <c r="NIS25" s="89"/>
      <c r="NIT25" s="89"/>
      <c r="NIU25" s="89"/>
      <c r="NIV25" s="89"/>
      <c r="NIW25" s="89"/>
      <c r="NIX25" s="89"/>
      <c r="NIY25" s="89"/>
      <c r="NIZ25" s="89"/>
      <c r="NJA25" s="89"/>
      <c r="NJB25" s="89"/>
      <c r="NJC25" s="89"/>
      <c r="NJD25" s="89"/>
      <c r="NJE25" s="89"/>
      <c r="NJF25" s="89"/>
      <c r="NJG25" s="89"/>
      <c r="NJH25" s="89"/>
      <c r="NJI25" s="89"/>
      <c r="NJJ25" s="89"/>
      <c r="NJK25" s="89"/>
      <c r="NJL25" s="89"/>
      <c r="NJM25" s="89"/>
      <c r="NJN25" s="89"/>
      <c r="NJO25" s="89"/>
      <c r="NJP25" s="89"/>
      <c r="NJQ25" s="89"/>
      <c r="NJR25" s="89"/>
      <c r="NJS25" s="89"/>
      <c r="NJT25" s="89"/>
      <c r="NJU25" s="89"/>
      <c r="NJV25" s="89"/>
      <c r="NJW25" s="89"/>
      <c r="NJX25" s="89"/>
      <c r="NJY25" s="89"/>
      <c r="NJZ25" s="89"/>
      <c r="NKA25" s="89"/>
      <c r="NKB25" s="89"/>
      <c r="NKC25" s="89"/>
      <c r="NKD25" s="89"/>
      <c r="NKE25" s="89"/>
      <c r="NKF25" s="89"/>
      <c r="NKG25" s="89"/>
      <c r="NKH25" s="89"/>
      <c r="NKI25" s="89"/>
      <c r="NKJ25" s="89"/>
      <c r="NKK25" s="89"/>
      <c r="NKL25" s="89"/>
      <c r="NKM25" s="89"/>
      <c r="NKN25" s="89"/>
      <c r="NKO25" s="89"/>
      <c r="NKP25" s="89"/>
      <c r="NKQ25" s="89"/>
      <c r="NKR25" s="89"/>
      <c r="NKS25" s="89"/>
      <c r="NKT25" s="89"/>
      <c r="NKU25" s="89"/>
      <c r="NKV25" s="89"/>
      <c r="NKW25" s="89"/>
      <c r="NKX25" s="89"/>
      <c r="NKY25" s="89"/>
      <c r="NKZ25" s="89"/>
      <c r="NLA25" s="89"/>
      <c r="NLB25" s="89"/>
      <c r="NLC25" s="89"/>
      <c r="NLD25" s="89"/>
      <c r="NLE25" s="89"/>
      <c r="NLF25" s="89"/>
      <c r="NLG25" s="89"/>
      <c r="NLH25" s="89"/>
      <c r="NLI25" s="89"/>
      <c r="NLJ25" s="89"/>
      <c r="NLK25" s="89"/>
      <c r="NLL25" s="89"/>
      <c r="NLM25" s="89"/>
      <c r="NLN25" s="89"/>
      <c r="NLO25" s="89"/>
      <c r="NLP25" s="89"/>
      <c r="NLQ25" s="89"/>
      <c r="NLR25" s="89"/>
      <c r="NLS25" s="89"/>
      <c r="NLT25" s="89"/>
      <c r="NLU25" s="89"/>
      <c r="NLV25" s="89"/>
      <c r="NLW25" s="89"/>
      <c r="NLX25" s="89"/>
      <c r="NLY25" s="89"/>
      <c r="NLZ25" s="89"/>
      <c r="NMA25" s="89"/>
      <c r="NMB25" s="89"/>
      <c r="NMC25" s="89"/>
      <c r="NMD25" s="89"/>
      <c r="NME25" s="89"/>
      <c r="NMF25" s="89"/>
      <c r="NMG25" s="89"/>
      <c r="NMH25" s="89"/>
      <c r="NMI25" s="89"/>
      <c r="NMJ25" s="89"/>
      <c r="NMK25" s="89"/>
      <c r="NML25" s="89"/>
      <c r="NMM25" s="89"/>
      <c r="NMN25" s="89"/>
      <c r="NMO25" s="89"/>
      <c r="NMP25" s="89"/>
      <c r="NMQ25" s="89"/>
      <c r="NMR25" s="89"/>
      <c r="NMS25" s="89"/>
      <c r="NMT25" s="89"/>
      <c r="NMU25" s="89"/>
      <c r="NMV25" s="89"/>
      <c r="NMW25" s="89"/>
      <c r="NMX25" s="89"/>
      <c r="NMY25" s="89"/>
      <c r="NMZ25" s="89"/>
      <c r="NNA25" s="89"/>
      <c r="NNB25" s="89"/>
      <c r="NNC25" s="89"/>
      <c r="NND25" s="89"/>
      <c r="NNE25" s="89"/>
      <c r="NNF25" s="89"/>
      <c r="NNG25" s="89"/>
      <c r="NNH25" s="89"/>
      <c r="NNI25" s="89"/>
      <c r="NNJ25" s="89"/>
      <c r="NNK25" s="89"/>
      <c r="NNL25" s="89"/>
      <c r="NNM25" s="89"/>
      <c r="NNN25" s="89"/>
      <c r="NNO25" s="89"/>
      <c r="NNP25" s="89"/>
      <c r="NNQ25" s="89"/>
      <c r="NNR25" s="89"/>
      <c r="NNS25" s="89"/>
      <c r="NNT25" s="89"/>
      <c r="NNU25" s="89"/>
      <c r="NNV25" s="89"/>
      <c r="NNW25" s="89"/>
      <c r="NNX25" s="89"/>
      <c r="NNY25" s="89"/>
      <c r="NNZ25" s="89"/>
      <c r="NOA25" s="89"/>
      <c r="NOB25" s="89"/>
      <c r="NOC25" s="89"/>
      <c r="NOD25" s="89"/>
      <c r="NOE25" s="89"/>
      <c r="NOF25" s="89"/>
      <c r="NOG25" s="89"/>
      <c r="NOH25" s="89"/>
      <c r="NOI25" s="89"/>
      <c r="NOJ25" s="89"/>
      <c r="NOK25" s="89"/>
      <c r="NOL25" s="89"/>
      <c r="NOM25" s="89"/>
      <c r="NON25" s="89"/>
      <c r="NOO25" s="89"/>
      <c r="NOP25" s="89"/>
      <c r="NOQ25" s="89"/>
      <c r="NOR25" s="89"/>
      <c r="NOS25" s="89"/>
      <c r="NOT25" s="89"/>
      <c r="NOU25" s="89"/>
      <c r="NOV25" s="89"/>
      <c r="NOW25" s="89"/>
      <c r="NOX25" s="89"/>
      <c r="NOY25" s="89"/>
      <c r="NOZ25" s="89"/>
      <c r="NPA25" s="89"/>
      <c r="NPB25" s="89"/>
      <c r="NPC25" s="89"/>
      <c r="NPD25" s="89"/>
      <c r="NPE25" s="89"/>
      <c r="NPF25" s="89"/>
      <c r="NPG25" s="89"/>
      <c r="NPH25" s="89"/>
      <c r="NPI25" s="89"/>
      <c r="NPJ25" s="89"/>
      <c r="NPK25" s="89"/>
      <c r="NPL25" s="89"/>
      <c r="NPM25" s="89"/>
      <c r="NPN25" s="89"/>
      <c r="NPO25" s="89"/>
      <c r="NPP25" s="89"/>
      <c r="NPQ25" s="89"/>
      <c r="NPR25" s="89"/>
      <c r="NPS25" s="89"/>
      <c r="NPT25" s="89"/>
      <c r="NPU25" s="89"/>
      <c r="NPV25" s="89"/>
      <c r="NPW25" s="89"/>
      <c r="NPX25" s="89"/>
      <c r="NPY25" s="89"/>
      <c r="NPZ25" s="89"/>
      <c r="NQA25" s="89"/>
      <c r="NQB25" s="89"/>
      <c r="NQC25" s="89"/>
      <c r="NQD25" s="89"/>
      <c r="NQE25" s="89"/>
      <c r="NQF25" s="89"/>
      <c r="NQG25" s="89"/>
      <c r="NQH25" s="89"/>
      <c r="NQI25" s="89"/>
      <c r="NQJ25" s="89"/>
      <c r="NQK25" s="89"/>
      <c r="NQL25" s="89"/>
      <c r="NQM25" s="89"/>
      <c r="NQN25" s="89"/>
      <c r="NQO25" s="89"/>
      <c r="NQP25" s="89"/>
      <c r="NQQ25" s="89"/>
      <c r="NQR25" s="89"/>
      <c r="NQS25" s="89"/>
      <c r="NQT25" s="89"/>
      <c r="NQU25" s="89"/>
      <c r="NQV25" s="89"/>
      <c r="NQW25" s="89"/>
      <c r="NQX25" s="89"/>
      <c r="NQY25" s="89"/>
      <c r="NQZ25" s="89"/>
      <c r="NRA25" s="89"/>
      <c r="NRB25" s="89"/>
      <c r="NRC25" s="89"/>
      <c r="NRD25" s="89"/>
      <c r="NRE25" s="89"/>
      <c r="NRF25" s="89"/>
      <c r="NRG25" s="89"/>
      <c r="NRH25" s="89"/>
      <c r="NRI25" s="89"/>
      <c r="NRJ25" s="89"/>
      <c r="NRK25" s="89"/>
      <c r="NRL25" s="89"/>
      <c r="NRM25" s="89"/>
      <c r="NRN25" s="89"/>
      <c r="NRO25" s="89"/>
      <c r="NRP25" s="89"/>
      <c r="NRQ25" s="89"/>
      <c r="NRR25" s="89"/>
      <c r="NRS25" s="89"/>
      <c r="NRT25" s="89"/>
      <c r="NRU25" s="89"/>
      <c r="NRV25" s="89"/>
      <c r="NRW25" s="89"/>
      <c r="NRX25" s="89"/>
      <c r="NRY25" s="89"/>
      <c r="NRZ25" s="89"/>
      <c r="NSA25" s="89"/>
      <c r="NSB25" s="89"/>
      <c r="NSC25" s="89"/>
      <c r="NSD25" s="89"/>
      <c r="NSE25" s="89"/>
      <c r="NSF25" s="89"/>
      <c r="NSG25" s="89"/>
      <c r="NSH25" s="89"/>
      <c r="NSI25" s="89"/>
      <c r="NSJ25" s="89"/>
      <c r="NSK25" s="89"/>
      <c r="NSL25" s="89"/>
      <c r="NSM25" s="89"/>
      <c r="NSN25" s="89"/>
      <c r="NSO25" s="89"/>
      <c r="NSP25" s="89"/>
      <c r="NSQ25" s="89"/>
      <c r="NSR25" s="89"/>
      <c r="NSS25" s="89"/>
      <c r="NST25" s="89"/>
      <c r="NSU25" s="89"/>
      <c r="NSV25" s="89"/>
      <c r="NSW25" s="89"/>
      <c r="NSX25" s="89"/>
      <c r="NSY25" s="89"/>
      <c r="NSZ25" s="89"/>
      <c r="NTA25" s="89"/>
      <c r="NTB25" s="89"/>
      <c r="NTC25" s="89"/>
      <c r="NTD25" s="89"/>
      <c r="NTE25" s="89"/>
      <c r="NTF25" s="89"/>
      <c r="NTG25" s="89"/>
      <c r="NTH25" s="89"/>
      <c r="NTI25" s="89"/>
      <c r="NTJ25" s="89"/>
      <c r="NTK25" s="89"/>
      <c r="NTL25" s="89"/>
      <c r="NTM25" s="89"/>
      <c r="NTN25" s="89"/>
      <c r="NTO25" s="89"/>
      <c r="NTP25" s="89"/>
      <c r="NTQ25" s="89"/>
      <c r="NTR25" s="89"/>
      <c r="NTS25" s="89"/>
      <c r="NTT25" s="89"/>
      <c r="NTU25" s="89"/>
      <c r="NTV25" s="89"/>
      <c r="NTW25" s="89"/>
      <c r="NTX25" s="89"/>
      <c r="NTY25" s="89"/>
      <c r="NTZ25" s="89"/>
      <c r="NUA25" s="89"/>
      <c r="NUB25" s="89"/>
      <c r="NUC25" s="89"/>
      <c r="NUD25" s="89"/>
      <c r="NUE25" s="89"/>
      <c r="NUF25" s="89"/>
      <c r="NUG25" s="89"/>
      <c r="NUH25" s="89"/>
      <c r="NUI25" s="89"/>
      <c r="NUJ25" s="89"/>
      <c r="NUK25" s="89"/>
      <c r="NUL25" s="89"/>
      <c r="NUM25" s="89"/>
      <c r="NUN25" s="89"/>
      <c r="NUO25" s="89"/>
      <c r="NUP25" s="89"/>
      <c r="NUQ25" s="89"/>
      <c r="NUR25" s="89"/>
      <c r="NUS25" s="89"/>
      <c r="NUT25" s="89"/>
      <c r="NUU25" s="89"/>
      <c r="NUV25" s="89"/>
      <c r="NUW25" s="89"/>
      <c r="NUX25" s="89"/>
      <c r="NUY25" s="89"/>
      <c r="NUZ25" s="89"/>
      <c r="NVA25" s="89"/>
      <c r="NVB25" s="89"/>
      <c r="NVC25" s="89"/>
      <c r="NVD25" s="89"/>
      <c r="NVE25" s="89"/>
      <c r="NVF25" s="89"/>
      <c r="NVG25" s="89"/>
      <c r="NVH25" s="89"/>
      <c r="NVI25" s="89"/>
      <c r="NVJ25" s="89"/>
      <c r="NVK25" s="89"/>
      <c r="NVL25" s="89"/>
      <c r="NVM25" s="89"/>
      <c r="NVN25" s="89"/>
      <c r="NVO25" s="89"/>
      <c r="NVP25" s="89"/>
      <c r="NVQ25" s="89"/>
      <c r="NVR25" s="89"/>
      <c r="NVS25" s="89"/>
      <c r="NVT25" s="89"/>
      <c r="NVU25" s="89"/>
      <c r="NVV25" s="89"/>
      <c r="NVW25" s="89"/>
      <c r="NVX25" s="89"/>
      <c r="NVY25" s="89"/>
      <c r="NVZ25" s="89"/>
      <c r="NWA25" s="89"/>
      <c r="NWB25" s="89"/>
      <c r="NWC25" s="89"/>
      <c r="NWD25" s="89"/>
      <c r="NWE25" s="89"/>
      <c r="NWF25" s="89"/>
      <c r="NWG25" s="89"/>
      <c r="NWH25" s="89"/>
      <c r="NWI25" s="89"/>
      <c r="NWJ25" s="89"/>
      <c r="NWK25" s="89"/>
      <c r="NWL25" s="89"/>
      <c r="NWM25" s="89"/>
      <c r="NWN25" s="89"/>
      <c r="NWO25" s="89"/>
      <c r="NWP25" s="89"/>
      <c r="NWQ25" s="89"/>
      <c r="NWR25" s="89"/>
      <c r="NWS25" s="89"/>
      <c r="NWT25" s="89"/>
      <c r="NWU25" s="89"/>
      <c r="NWV25" s="89"/>
      <c r="NWW25" s="89"/>
      <c r="NWX25" s="89"/>
      <c r="NWY25" s="89"/>
      <c r="NWZ25" s="89"/>
      <c r="NXA25" s="89"/>
      <c r="NXB25" s="89"/>
      <c r="NXC25" s="89"/>
      <c r="NXD25" s="89"/>
      <c r="NXE25" s="89"/>
      <c r="NXF25" s="89"/>
      <c r="NXG25" s="89"/>
      <c r="NXH25" s="89"/>
      <c r="NXI25" s="89"/>
      <c r="NXJ25" s="89"/>
      <c r="NXK25" s="89"/>
      <c r="NXL25" s="89"/>
      <c r="NXM25" s="89"/>
      <c r="NXN25" s="89"/>
      <c r="NXO25" s="89"/>
      <c r="NXP25" s="89"/>
      <c r="NXQ25" s="89"/>
      <c r="NXR25" s="89"/>
      <c r="NXS25" s="89"/>
      <c r="NXT25" s="89"/>
      <c r="NXU25" s="89"/>
      <c r="NXV25" s="89"/>
      <c r="NXW25" s="89"/>
      <c r="NXX25" s="89"/>
      <c r="NXY25" s="89"/>
      <c r="NXZ25" s="89"/>
      <c r="NYA25" s="89"/>
      <c r="NYB25" s="89"/>
      <c r="NYC25" s="89"/>
      <c r="NYD25" s="89"/>
      <c r="NYE25" s="89"/>
      <c r="NYF25" s="89"/>
      <c r="NYG25" s="89"/>
      <c r="NYH25" s="89"/>
      <c r="NYI25" s="89"/>
      <c r="NYJ25" s="89"/>
      <c r="NYK25" s="89"/>
      <c r="NYL25" s="89"/>
      <c r="NYM25" s="89"/>
      <c r="NYN25" s="89"/>
      <c r="NYO25" s="89"/>
      <c r="NYP25" s="89"/>
      <c r="NYQ25" s="89"/>
      <c r="NYR25" s="89"/>
      <c r="NYS25" s="89"/>
      <c r="NYT25" s="89"/>
      <c r="NYU25" s="89"/>
      <c r="NYV25" s="89"/>
      <c r="NYW25" s="89"/>
      <c r="NYX25" s="89"/>
      <c r="NYY25" s="89"/>
      <c r="NYZ25" s="89"/>
      <c r="NZA25" s="89"/>
      <c r="NZB25" s="89"/>
      <c r="NZC25" s="89"/>
      <c r="NZD25" s="89"/>
      <c r="NZE25" s="89"/>
      <c r="NZF25" s="89"/>
      <c r="NZG25" s="89"/>
      <c r="NZH25" s="89"/>
      <c r="NZI25" s="89"/>
      <c r="NZJ25" s="89"/>
      <c r="NZK25" s="89"/>
      <c r="NZL25" s="89"/>
      <c r="NZM25" s="89"/>
      <c r="NZN25" s="89"/>
      <c r="NZO25" s="89"/>
      <c r="NZP25" s="89"/>
      <c r="NZQ25" s="89"/>
      <c r="NZR25" s="89"/>
      <c r="NZS25" s="89"/>
      <c r="NZT25" s="89"/>
      <c r="NZU25" s="89"/>
      <c r="NZV25" s="89"/>
      <c r="NZW25" s="89"/>
      <c r="NZX25" s="89"/>
      <c r="NZY25" s="89"/>
      <c r="NZZ25" s="89"/>
      <c r="OAA25" s="89"/>
      <c r="OAB25" s="89"/>
      <c r="OAC25" s="89"/>
      <c r="OAD25" s="89"/>
      <c r="OAE25" s="89"/>
      <c r="OAF25" s="89"/>
      <c r="OAG25" s="89"/>
      <c r="OAH25" s="89"/>
      <c r="OAI25" s="89"/>
      <c r="OAJ25" s="89"/>
      <c r="OAK25" s="89"/>
      <c r="OAL25" s="89"/>
      <c r="OAM25" s="89"/>
      <c r="OAN25" s="89"/>
      <c r="OAO25" s="89"/>
      <c r="OAP25" s="89"/>
      <c r="OAQ25" s="89"/>
      <c r="OAR25" s="89"/>
      <c r="OAS25" s="89"/>
      <c r="OAT25" s="89"/>
      <c r="OAU25" s="89"/>
      <c r="OAV25" s="89"/>
      <c r="OAW25" s="89"/>
      <c r="OAX25" s="89"/>
      <c r="OAY25" s="89"/>
      <c r="OAZ25" s="89"/>
      <c r="OBA25" s="89"/>
      <c r="OBB25" s="89"/>
      <c r="OBC25" s="89"/>
      <c r="OBD25" s="89"/>
      <c r="OBE25" s="89"/>
      <c r="OBF25" s="89"/>
      <c r="OBG25" s="89"/>
      <c r="OBH25" s="89"/>
      <c r="OBI25" s="89"/>
      <c r="OBJ25" s="89"/>
      <c r="OBK25" s="89"/>
      <c r="OBL25" s="89"/>
      <c r="OBM25" s="89"/>
      <c r="OBN25" s="89"/>
      <c r="OBO25" s="89"/>
      <c r="OBP25" s="89"/>
      <c r="OBQ25" s="89"/>
      <c r="OBR25" s="89"/>
      <c r="OBS25" s="89"/>
      <c r="OBT25" s="89"/>
      <c r="OBU25" s="89"/>
      <c r="OBV25" s="89"/>
      <c r="OBW25" s="89"/>
      <c r="OBX25" s="89"/>
      <c r="OBY25" s="89"/>
      <c r="OBZ25" s="89"/>
      <c r="OCA25" s="89"/>
      <c r="OCB25" s="89"/>
      <c r="OCC25" s="89"/>
      <c r="OCD25" s="89"/>
      <c r="OCE25" s="89"/>
      <c r="OCF25" s="89"/>
      <c r="OCG25" s="89"/>
      <c r="OCH25" s="89"/>
      <c r="OCI25" s="89"/>
      <c r="OCJ25" s="89"/>
      <c r="OCK25" s="89"/>
      <c r="OCL25" s="89"/>
      <c r="OCM25" s="89"/>
      <c r="OCN25" s="89"/>
      <c r="OCO25" s="89"/>
      <c r="OCP25" s="89"/>
      <c r="OCQ25" s="89"/>
      <c r="OCR25" s="89"/>
      <c r="OCS25" s="89"/>
      <c r="OCT25" s="89"/>
      <c r="OCU25" s="89"/>
      <c r="OCV25" s="89"/>
      <c r="OCW25" s="89"/>
      <c r="OCX25" s="89"/>
      <c r="OCY25" s="89"/>
      <c r="OCZ25" s="89"/>
      <c r="ODA25" s="89"/>
      <c r="ODB25" s="89"/>
      <c r="ODC25" s="89"/>
      <c r="ODD25" s="89"/>
      <c r="ODE25" s="89"/>
      <c r="ODF25" s="89"/>
      <c r="ODG25" s="89"/>
      <c r="ODH25" s="89"/>
      <c r="ODI25" s="89"/>
      <c r="ODJ25" s="89"/>
      <c r="ODK25" s="89"/>
      <c r="ODL25" s="89"/>
      <c r="ODM25" s="89"/>
      <c r="ODN25" s="89"/>
      <c r="ODO25" s="89"/>
      <c r="ODP25" s="89"/>
      <c r="ODQ25" s="89"/>
      <c r="ODR25" s="89"/>
      <c r="ODS25" s="89"/>
      <c r="ODT25" s="89"/>
      <c r="ODU25" s="89"/>
      <c r="ODV25" s="89"/>
      <c r="ODW25" s="89"/>
      <c r="ODX25" s="89"/>
      <c r="ODY25" s="89"/>
      <c r="ODZ25" s="89"/>
      <c r="OEA25" s="89"/>
      <c r="OEB25" s="89"/>
      <c r="OEC25" s="89"/>
      <c r="OED25" s="89"/>
      <c r="OEE25" s="89"/>
      <c r="OEF25" s="89"/>
      <c r="OEG25" s="89"/>
      <c r="OEH25" s="89"/>
      <c r="OEI25" s="89"/>
      <c r="OEJ25" s="89"/>
      <c r="OEK25" s="89"/>
      <c r="OEL25" s="89"/>
      <c r="OEM25" s="89"/>
      <c r="OEN25" s="89"/>
      <c r="OEO25" s="89"/>
      <c r="OEP25" s="89"/>
      <c r="OEQ25" s="89"/>
      <c r="OER25" s="89"/>
      <c r="OES25" s="89"/>
      <c r="OET25" s="89"/>
      <c r="OEU25" s="89"/>
      <c r="OEV25" s="89"/>
      <c r="OEW25" s="89"/>
      <c r="OEX25" s="89"/>
      <c r="OEY25" s="89"/>
      <c r="OEZ25" s="89"/>
      <c r="OFA25" s="89"/>
      <c r="OFB25" s="89"/>
      <c r="OFC25" s="89"/>
      <c r="OFD25" s="89"/>
      <c r="OFE25" s="89"/>
      <c r="OFF25" s="89"/>
      <c r="OFG25" s="89"/>
      <c r="OFH25" s="89"/>
      <c r="OFI25" s="89"/>
      <c r="OFJ25" s="89"/>
      <c r="OFK25" s="89"/>
      <c r="OFL25" s="89"/>
      <c r="OFM25" s="89"/>
      <c r="OFN25" s="89"/>
      <c r="OFO25" s="89"/>
      <c r="OFP25" s="89"/>
      <c r="OFQ25" s="89"/>
      <c r="OFR25" s="89"/>
      <c r="OFS25" s="89"/>
      <c r="OFT25" s="89"/>
      <c r="OFU25" s="89"/>
      <c r="OFV25" s="89"/>
      <c r="OFW25" s="89"/>
      <c r="OFX25" s="89"/>
      <c r="OFY25" s="89"/>
      <c r="OFZ25" s="89"/>
      <c r="OGA25" s="89"/>
      <c r="OGB25" s="89"/>
      <c r="OGC25" s="89"/>
      <c r="OGD25" s="89"/>
      <c r="OGE25" s="89"/>
      <c r="OGF25" s="89"/>
      <c r="OGG25" s="89"/>
      <c r="OGH25" s="89"/>
      <c r="OGI25" s="89"/>
      <c r="OGJ25" s="89"/>
      <c r="OGK25" s="89"/>
      <c r="OGL25" s="89"/>
      <c r="OGM25" s="89"/>
      <c r="OGN25" s="89"/>
      <c r="OGO25" s="89"/>
      <c r="OGP25" s="89"/>
      <c r="OGQ25" s="89"/>
      <c r="OGR25" s="89"/>
      <c r="OGS25" s="89"/>
      <c r="OGT25" s="89"/>
      <c r="OGU25" s="89"/>
      <c r="OGV25" s="89"/>
      <c r="OGW25" s="89"/>
      <c r="OGX25" s="89"/>
      <c r="OGY25" s="89"/>
      <c r="OGZ25" s="89"/>
      <c r="OHA25" s="89"/>
      <c r="OHB25" s="89"/>
      <c r="OHC25" s="89"/>
      <c r="OHD25" s="89"/>
      <c r="OHE25" s="89"/>
      <c r="OHF25" s="89"/>
      <c r="OHG25" s="89"/>
      <c r="OHH25" s="89"/>
      <c r="OHI25" s="89"/>
      <c r="OHJ25" s="89"/>
      <c r="OHK25" s="89"/>
      <c r="OHL25" s="89"/>
      <c r="OHM25" s="89"/>
      <c r="OHN25" s="89"/>
      <c r="OHO25" s="89"/>
      <c r="OHP25" s="89"/>
      <c r="OHQ25" s="89"/>
      <c r="OHR25" s="89"/>
      <c r="OHS25" s="89"/>
      <c r="OHT25" s="89"/>
      <c r="OHU25" s="89"/>
      <c r="OHV25" s="89"/>
      <c r="OHW25" s="89"/>
      <c r="OHX25" s="89"/>
      <c r="OHY25" s="89"/>
      <c r="OHZ25" s="89"/>
      <c r="OIA25" s="89"/>
      <c r="OIB25" s="89"/>
      <c r="OIC25" s="89"/>
      <c r="OID25" s="89"/>
      <c r="OIE25" s="89"/>
      <c r="OIF25" s="89"/>
      <c r="OIG25" s="89"/>
      <c r="OIH25" s="89"/>
      <c r="OII25" s="89"/>
      <c r="OIJ25" s="89"/>
      <c r="OIK25" s="89"/>
      <c r="OIL25" s="89"/>
      <c r="OIM25" s="89"/>
      <c r="OIN25" s="89"/>
      <c r="OIO25" s="89"/>
      <c r="OIP25" s="89"/>
      <c r="OIQ25" s="89"/>
      <c r="OIR25" s="89"/>
      <c r="OIS25" s="89"/>
      <c r="OIT25" s="89"/>
      <c r="OIU25" s="89"/>
      <c r="OIV25" s="89"/>
      <c r="OIW25" s="89"/>
      <c r="OIX25" s="89"/>
      <c r="OIY25" s="89"/>
      <c r="OIZ25" s="89"/>
      <c r="OJA25" s="89"/>
      <c r="OJB25" s="89"/>
      <c r="OJC25" s="89"/>
      <c r="OJD25" s="89"/>
      <c r="OJE25" s="89"/>
      <c r="OJF25" s="89"/>
      <c r="OJG25" s="89"/>
      <c r="OJH25" s="89"/>
      <c r="OJI25" s="89"/>
      <c r="OJJ25" s="89"/>
      <c r="OJK25" s="89"/>
      <c r="OJL25" s="89"/>
      <c r="OJM25" s="89"/>
      <c r="OJN25" s="89"/>
      <c r="OJO25" s="89"/>
      <c r="OJP25" s="89"/>
      <c r="OJQ25" s="89"/>
      <c r="OJR25" s="89"/>
      <c r="OJS25" s="89"/>
      <c r="OJT25" s="89"/>
      <c r="OJU25" s="89"/>
      <c r="OJV25" s="89"/>
      <c r="OJW25" s="89"/>
      <c r="OJX25" s="89"/>
      <c r="OJY25" s="89"/>
      <c r="OJZ25" s="89"/>
      <c r="OKA25" s="89"/>
      <c r="OKB25" s="89"/>
      <c r="OKC25" s="89"/>
      <c r="OKD25" s="89"/>
      <c r="OKE25" s="89"/>
      <c r="OKF25" s="89"/>
      <c r="OKG25" s="89"/>
      <c r="OKH25" s="89"/>
      <c r="OKI25" s="89"/>
      <c r="OKJ25" s="89"/>
      <c r="OKK25" s="89"/>
      <c r="OKL25" s="89"/>
      <c r="OKM25" s="89"/>
      <c r="OKN25" s="89"/>
      <c r="OKO25" s="89"/>
      <c r="OKP25" s="89"/>
      <c r="OKQ25" s="89"/>
      <c r="OKR25" s="89"/>
      <c r="OKS25" s="89"/>
      <c r="OKT25" s="89"/>
      <c r="OKU25" s="89"/>
      <c r="OKV25" s="89"/>
      <c r="OKW25" s="89"/>
      <c r="OKX25" s="89"/>
      <c r="OKY25" s="89"/>
      <c r="OKZ25" s="89"/>
      <c r="OLA25" s="89"/>
      <c r="OLB25" s="89"/>
      <c r="OLC25" s="89"/>
      <c r="OLD25" s="89"/>
      <c r="OLE25" s="89"/>
      <c r="OLF25" s="89"/>
      <c r="OLG25" s="89"/>
      <c r="OLH25" s="89"/>
      <c r="OLI25" s="89"/>
      <c r="OLJ25" s="89"/>
      <c r="OLK25" s="89"/>
      <c r="OLL25" s="89"/>
      <c r="OLM25" s="89"/>
      <c r="OLN25" s="89"/>
      <c r="OLO25" s="89"/>
      <c r="OLP25" s="89"/>
      <c r="OLQ25" s="89"/>
      <c r="OLR25" s="89"/>
      <c r="OLS25" s="89"/>
      <c r="OLT25" s="89"/>
      <c r="OLU25" s="89"/>
      <c r="OLV25" s="89"/>
      <c r="OLW25" s="89"/>
      <c r="OLX25" s="89"/>
      <c r="OLY25" s="89"/>
      <c r="OLZ25" s="89"/>
      <c r="OMA25" s="89"/>
      <c r="OMB25" s="89"/>
      <c r="OMC25" s="89"/>
      <c r="OMD25" s="89"/>
      <c r="OME25" s="89"/>
      <c r="OMF25" s="89"/>
      <c r="OMG25" s="89"/>
      <c r="OMH25" s="89"/>
      <c r="OMI25" s="89"/>
      <c r="OMJ25" s="89"/>
      <c r="OMK25" s="89"/>
      <c r="OML25" s="89"/>
      <c r="OMM25" s="89"/>
      <c r="OMN25" s="89"/>
      <c r="OMO25" s="89"/>
      <c r="OMP25" s="89"/>
      <c r="OMQ25" s="89"/>
      <c r="OMR25" s="89"/>
      <c r="OMS25" s="89"/>
      <c r="OMT25" s="89"/>
      <c r="OMU25" s="89"/>
      <c r="OMV25" s="89"/>
      <c r="OMW25" s="89"/>
      <c r="OMX25" s="89"/>
      <c r="OMY25" s="89"/>
      <c r="OMZ25" s="89"/>
      <c r="ONA25" s="89"/>
      <c r="ONB25" s="89"/>
      <c r="ONC25" s="89"/>
      <c r="OND25" s="89"/>
      <c r="ONE25" s="89"/>
      <c r="ONF25" s="89"/>
      <c r="ONG25" s="89"/>
      <c r="ONH25" s="89"/>
      <c r="ONI25" s="89"/>
      <c r="ONJ25" s="89"/>
      <c r="ONK25" s="89"/>
      <c r="ONL25" s="89"/>
      <c r="ONM25" s="89"/>
      <c r="ONN25" s="89"/>
      <c r="ONO25" s="89"/>
      <c r="ONP25" s="89"/>
      <c r="ONQ25" s="89"/>
      <c r="ONR25" s="89"/>
      <c r="ONS25" s="89"/>
      <c r="ONT25" s="89"/>
      <c r="ONU25" s="89"/>
      <c r="ONV25" s="89"/>
      <c r="ONW25" s="89"/>
      <c r="ONX25" s="89"/>
      <c r="ONY25" s="89"/>
      <c r="ONZ25" s="89"/>
      <c r="OOA25" s="89"/>
      <c r="OOB25" s="89"/>
      <c r="OOC25" s="89"/>
      <c r="OOD25" s="89"/>
      <c r="OOE25" s="89"/>
      <c r="OOF25" s="89"/>
      <c r="OOG25" s="89"/>
      <c r="OOH25" s="89"/>
      <c r="OOI25" s="89"/>
      <c r="OOJ25" s="89"/>
      <c r="OOK25" s="89"/>
      <c r="OOL25" s="89"/>
      <c r="OOM25" s="89"/>
      <c r="OON25" s="89"/>
      <c r="OOO25" s="89"/>
      <c r="OOP25" s="89"/>
      <c r="OOQ25" s="89"/>
      <c r="OOR25" s="89"/>
      <c r="OOS25" s="89"/>
      <c r="OOT25" s="89"/>
      <c r="OOU25" s="89"/>
      <c r="OOV25" s="89"/>
      <c r="OOW25" s="89"/>
      <c r="OOX25" s="89"/>
      <c r="OOY25" s="89"/>
      <c r="OOZ25" s="89"/>
      <c r="OPA25" s="89"/>
      <c r="OPB25" s="89"/>
      <c r="OPC25" s="89"/>
      <c r="OPD25" s="89"/>
      <c r="OPE25" s="89"/>
      <c r="OPF25" s="89"/>
      <c r="OPG25" s="89"/>
      <c r="OPH25" s="89"/>
      <c r="OPI25" s="89"/>
      <c r="OPJ25" s="89"/>
      <c r="OPK25" s="89"/>
      <c r="OPL25" s="89"/>
      <c r="OPM25" s="89"/>
      <c r="OPN25" s="89"/>
      <c r="OPO25" s="89"/>
      <c r="OPP25" s="89"/>
      <c r="OPQ25" s="89"/>
      <c r="OPR25" s="89"/>
      <c r="OPS25" s="89"/>
      <c r="OPT25" s="89"/>
      <c r="OPU25" s="89"/>
      <c r="OPV25" s="89"/>
      <c r="OPW25" s="89"/>
      <c r="OPX25" s="89"/>
      <c r="OPY25" s="89"/>
      <c r="OPZ25" s="89"/>
      <c r="OQA25" s="89"/>
      <c r="OQB25" s="89"/>
      <c r="OQC25" s="89"/>
      <c r="OQD25" s="89"/>
      <c r="OQE25" s="89"/>
      <c r="OQF25" s="89"/>
      <c r="OQG25" s="89"/>
      <c r="OQH25" s="89"/>
      <c r="OQI25" s="89"/>
      <c r="OQJ25" s="89"/>
      <c r="OQK25" s="89"/>
      <c r="OQL25" s="89"/>
      <c r="OQM25" s="89"/>
      <c r="OQN25" s="89"/>
      <c r="OQO25" s="89"/>
      <c r="OQP25" s="89"/>
      <c r="OQQ25" s="89"/>
      <c r="OQR25" s="89"/>
      <c r="OQS25" s="89"/>
      <c r="OQT25" s="89"/>
      <c r="OQU25" s="89"/>
      <c r="OQV25" s="89"/>
      <c r="OQW25" s="89"/>
      <c r="OQX25" s="89"/>
      <c r="OQY25" s="89"/>
      <c r="OQZ25" s="89"/>
      <c r="ORA25" s="89"/>
      <c r="ORB25" s="89"/>
      <c r="ORC25" s="89"/>
      <c r="ORD25" s="89"/>
      <c r="ORE25" s="89"/>
      <c r="ORF25" s="89"/>
      <c r="ORG25" s="89"/>
      <c r="ORH25" s="89"/>
      <c r="ORI25" s="89"/>
      <c r="ORJ25" s="89"/>
      <c r="ORK25" s="89"/>
      <c r="ORL25" s="89"/>
      <c r="ORM25" s="89"/>
      <c r="ORN25" s="89"/>
      <c r="ORO25" s="89"/>
      <c r="ORP25" s="89"/>
      <c r="ORQ25" s="89"/>
      <c r="ORR25" s="89"/>
      <c r="ORS25" s="89"/>
      <c r="ORT25" s="89"/>
      <c r="ORU25" s="89"/>
      <c r="ORV25" s="89"/>
      <c r="ORW25" s="89"/>
      <c r="ORX25" s="89"/>
      <c r="ORY25" s="89"/>
      <c r="ORZ25" s="89"/>
      <c r="OSA25" s="89"/>
      <c r="OSB25" s="89"/>
      <c r="OSC25" s="89"/>
      <c r="OSD25" s="89"/>
      <c r="OSE25" s="89"/>
      <c r="OSF25" s="89"/>
      <c r="OSG25" s="89"/>
      <c r="OSH25" s="89"/>
      <c r="OSI25" s="89"/>
      <c r="OSJ25" s="89"/>
      <c r="OSK25" s="89"/>
      <c r="OSL25" s="89"/>
      <c r="OSM25" s="89"/>
      <c r="OSN25" s="89"/>
      <c r="OSO25" s="89"/>
      <c r="OSP25" s="89"/>
      <c r="OSQ25" s="89"/>
      <c r="OSR25" s="89"/>
      <c r="OSS25" s="89"/>
      <c r="OST25" s="89"/>
      <c r="OSU25" s="89"/>
      <c r="OSV25" s="89"/>
      <c r="OSW25" s="89"/>
      <c r="OSX25" s="89"/>
      <c r="OSY25" s="89"/>
      <c r="OSZ25" s="89"/>
      <c r="OTA25" s="89"/>
      <c r="OTB25" s="89"/>
      <c r="OTC25" s="89"/>
      <c r="OTD25" s="89"/>
      <c r="OTE25" s="89"/>
      <c r="OTF25" s="89"/>
      <c r="OTG25" s="89"/>
      <c r="OTH25" s="89"/>
      <c r="OTI25" s="89"/>
      <c r="OTJ25" s="89"/>
      <c r="OTK25" s="89"/>
      <c r="OTL25" s="89"/>
      <c r="OTM25" s="89"/>
      <c r="OTN25" s="89"/>
      <c r="OTO25" s="89"/>
      <c r="OTP25" s="89"/>
      <c r="OTQ25" s="89"/>
      <c r="OTR25" s="89"/>
      <c r="OTS25" s="89"/>
      <c r="OTT25" s="89"/>
      <c r="OTU25" s="89"/>
      <c r="OTV25" s="89"/>
      <c r="OTW25" s="89"/>
      <c r="OTX25" s="89"/>
      <c r="OTY25" s="89"/>
      <c r="OTZ25" s="89"/>
      <c r="OUA25" s="89"/>
      <c r="OUB25" s="89"/>
      <c r="OUC25" s="89"/>
      <c r="OUD25" s="89"/>
      <c r="OUE25" s="89"/>
      <c r="OUF25" s="89"/>
      <c r="OUG25" s="89"/>
      <c r="OUH25" s="89"/>
      <c r="OUI25" s="89"/>
      <c r="OUJ25" s="89"/>
      <c r="OUK25" s="89"/>
      <c r="OUL25" s="89"/>
      <c r="OUM25" s="89"/>
      <c r="OUN25" s="89"/>
      <c r="OUO25" s="89"/>
      <c r="OUP25" s="89"/>
      <c r="OUQ25" s="89"/>
      <c r="OUR25" s="89"/>
      <c r="OUS25" s="89"/>
      <c r="OUT25" s="89"/>
      <c r="OUU25" s="89"/>
      <c r="OUV25" s="89"/>
      <c r="OUW25" s="89"/>
      <c r="OUX25" s="89"/>
      <c r="OUY25" s="89"/>
      <c r="OUZ25" s="89"/>
      <c r="OVA25" s="89"/>
      <c r="OVB25" s="89"/>
      <c r="OVC25" s="89"/>
      <c r="OVD25" s="89"/>
      <c r="OVE25" s="89"/>
      <c r="OVF25" s="89"/>
      <c r="OVG25" s="89"/>
      <c r="OVH25" s="89"/>
      <c r="OVI25" s="89"/>
      <c r="OVJ25" s="89"/>
      <c r="OVK25" s="89"/>
      <c r="OVL25" s="89"/>
      <c r="OVM25" s="89"/>
      <c r="OVN25" s="89"/>
      <c r="OVO25" s="89"/>
      <c r="OVP25" s="89"/>
      <c r="OVQ25" s="89"/>
      <c r="OVR25" s="89"/>
      <c r="OVS25" s="89"/>
      <c r="OVT25" s="89"/>
      <c r="OVU25" s="89"/>
      <c r="OVV25" s="89"/>
      <c r="OVW25" s="89"/>
      <c r="OVX25" s="89"/>
      <c r="OVY25" s="89"/>
      <c r="OVZ25" s="89"/>
      <c r="OWA25" s="89"/>
      <c r="OWB25" s="89"/>
      <c r="OWC25" s="89"/>
      <c r="OWD25" s="89"/>
      <c r="OWE25" s="89"/>
      <c r="OWF25" s="89"/>
      <c r="OWG25" s="89"/>
      <c r="OWH25" s="89"/>
      <c r="OWI25" s="89"/>
      <c r="OWJ25" s="89"/>
      <c r="OWK25" s="89"/>
      <c r="OWL25" s="89"/>
      <c r="OWM25" s="89"/>
      <c r="OWN25" s="89"/>
      <c r="OWO25" s="89"/>
      <c r="OWP25" s="89"/>
      <c r="OWQ25" s="89"/>
      <c r="OWR25" s="89"/>
      <c r="OWS25" s="89"/>
      <c r="OWT25" s="89"/>
      <c r="OWU25" s="89"/>
      <c r="OWV25" s="89"/>
      <c r="OWW25" s="89"/>
      <c r="OWX25" s="89"/>
      <c r="OWY25" s="89"/>
      <c r="OWZ25" s="89"/>
      <c r="OXA25" s="89"/>
      <c r="OXB25" s="89"/>
      <c r="OXC25" s="89"/>
      <c r="OXD25" s="89"/>
      <c r="OXE25" s="89"/>
      <c r="OXF25" s="89"/>
      <c r="OXG25" s="89"/>
      <c r="OXH25" s="89"/>
      <c r="OXI25" s="89"/>
      <c r="OXJ25" s="89"/>
      <c r="OXK25" s="89"/>
      <c r="OXL25" s="89"/>
      <c r="OXM25" s="89"/>
      <c r="OXN25" s="89"/>
      <c r="OXO25" s="89"/>
      <c r="OXP25" s="89"/>
      <c r="OXQ25" s="89"/>
      <c r="OXR25" s="89"/>
      <c r="OXS25" s="89"/>
      <c r="OXT25" s="89"/>
      <c r="OXU25" s="89"/>
      <c r="OXV25" s="89"/>
      <c r="OXW25" s="89"/>
      <c r="OXX25" s="89"/>
      <c r="OXY25" s="89"/>
      <c r="OXZ25" s="89"/>
      <c r="OYA25" s="89"/>
      <c r="OYB25" s="89"/>
      <c r="OYC25" s="89"/>
      <c r="OYD25" s="89"/>
      <c r="OYE25" s="89"/>
      <c r="OYF25" s="89"/>
      <c r="OYG25" s="89"/>
      <c r="OYH25" s="89"/>
      <c r="OYI25" s="89"/>
      <c r="OYJ25" s="89"/>
      <c r="OYK25" s="89"/>
      <c r="OYL25" s="89"/>
      <c r="OYM25" s="89"/>
      <c r="OYN25" s="89"/>
      <c r="OYO25" s="89"/>
      <c r="OYP25" s="89"/>
      <c r="OYQ25" s="89"/>
      <c r="OYR25" s="89"/>
      <c r="OYS25" s="89"/>
      <c r="OYT25" s="89"/>
      <c r="OYU25" s="89"/>
      <c r="OYV25" s="89"/>
      <c r="OYW25" s="89"/>
      <c r="OYX25" s="89"/>
      <c r="OYY25" s="89"/>
      <c r="OYZ25" s="89"/>
      <c r="OZA25" s="89"/>
      <c r="OZB25" s="89"/>
      <c r="OZC25" s="89"/>
      <c r="OZD25" s="89"/>
      <c r="OZE25" s="89"/>
      <c r="OZF25" s="89"/>
      <c r="OZG25" s="89"/>
      <c r="OZH25" s="89"/>
      <c r="OZI25" s="89"/>
      <c r="OZJ25" s="89"/>
      <c r="OZK25" s="89"/>
      <c r="OZL25" s="89"/>
      <c r="OZM25" s="89"/>
      <c r="OZN25" s="89"/>
      <c r="OZO25" s="89"/>
      <c r="OZP25" s="89"/>
      <c r="OZQ25" s="89"/>
      <c r="OZR25" s="89"/>
      <c r="OZS25" s="89"/>
      <c r="OZT25" s="89"/>
      <c r="OZU25" s="89"/>
      <c r="OZV25" s="89"/>
      <c r="OZW25" s="89"/>
      <c r="OZX25" s="89"/>
      <c r="OZY25" s="89"/>
      <c r="OZZ25" s="89"/>
      <c r="PAA25" s="89"/>
      <c r="PAB25" s="89"/>
      <c r="PAC25" s="89"/>
      <c r="PAD25" s="89"/>
      <c r="PAE25" s="89"/>
      <c r="PAF25" s="89"/>
      <c r="PAG25" s="89"/>
      <c r="PAH25" s="89"/>
      <c r="PAI25" s="89"/>
      <c r="PAJ25" s="89"/>
      <c r="PAK25" s="89"/>
      <c r="PAL25" s="89"/>
      <c r="PAM25" s="89"/>
      <c r="PAN25" s="89"/>
      <c r="PAO25" s="89"/>
      <c r="PAP25" s="89"/>
      <c r="PAQ25" s="89"/>
      <c r="PAR25" s="89"/>
      <c r="PAS25" s="89"/>
      <c r="PAT25" s="89"/>
      <c r="PAU25" s="89"/>
      <c r="PAV25" s="89"/>
      <c r="PAW25" s="89"/>
      <c r="PAX25" s="89"/>
      <c r="PAY25" s="89"/>
      <c r="PAZ25" s="89"/>
      <c r="PBA25" s="89"/>
      <c r="PBB25" s="89"/>
      <c r="PBC25" s="89"/>
      <c r="PBD25" s="89"/>
      <c r="PBE25" s="89"/>
      <c r="PBF25" s="89"/>
      <c r="PBG25" s="89"/>
      <c r="PBH25" s="89"/>
      <c r="PBI25" s="89"/>
      <c r="PBJ25" s="89"/>
      <c r="PBK25" s="89"/>
      <c r="PBL25" s="89"/>
      <c r="PBM25" s="89"/>
      <c r="PBN25" s="89"/>
      <c r="PBO25" s="89"/>
      <c r="PBP25" s="89"/>
      <c r="PBQ25" s="89"/>
      <c r="PBR25" s="89"/>
      <c r="PBS25" s="89"/>
      <c r="PBT25" s="89"/>
      <c r="PBU25" s="89"/>
      <c r="PBV25" s="89"/>
      <c r="PBW25" s="89"/>
      <c r="PBX25" s="89"/>
      <c r="PBY25" s="89"/>
      <c r="PBZ25" s="89"/>
      <c r="PCA25" s="89"/>
      <c r="PCB25" s="89"/>
      <c r="PCC25" s="89"/>
      <c r="PCD25" s="89"/>
      <c r="PCE25" s="89"/>
      <c r="PCF25" s="89"/>
      <c r="PCG25" s="89"/>
      <c r="PCH25" s="89"/>
      <c r="PCI25" s="89"/>
      <c r="PCJ25" s="89"/>
      <c r="PCK25" s="89"/>
      <c r="PCL25" s="89"/>
      <c r="PCM25" s="89"/>
      <c r="PCN25" s="89"/>
      <c r="PCO25" s="89"/>
      <c r="PCP25" s="89"/>
      <c r="PCQ25" s="89"/>
      <c r="PCR25" s="89"/>
      <c r="PCS25" s="89"/>
      <c r="PCT25" s="89"/>
      <c r="PCU25" s="89"/>
      <c r="PCV25" s="89"/>
      <c r="PCW25" s="89"/>
      <c r="PCX25" s="89"/>
      <c r="PCY25" s="89"/>
      <c r="PCZ25" s="89"/>
      <c r="PDA25" s="89"/>
      <c r="PDB25" s="89"/>
      <c r="PDC25" s="89"/>
      <c r="PDD25" s="89"/>
      <c r="PDE25" s="89"/>
      <c r="PDF25" s="89"/>
      <c r="PDG25" s="89"/>
      <c r="PDH25" s="89"/>
      <c r="PDI25" s="89"/>
      <c r="PDJ25" s="89"/>
      <c r="PDK25" s="89"/>
      <c r="PDL25" s="89"/>
      <c r="PDM25" s="89"/>
      <c r="PDN25" s="89"/>
      <c r="PDO25" s="89"/>
      <c r="PDP25" s="89"/>
      <c r="PDQ25" s="89"/>
      <c r="PDR25" s="89"/>
      <c r="PDS25" s="89"/>
      <c r="PDT25" s="89"/>
      <c r="PDU25" s="89"/>
      <c r="PDV25" s="89"/>
      <c r="PDW25" s="89"/>
      <c r="PDX25" s="89"/>
      <c r="PDY25" s="89"/>
      <c r="PDZ25" s="89"/>
      <c r="PEA25" s="89"/>
      <c r="PEB25" s="89"/>
      <c r="PEC25" s="89"/>
      <c r="PED25" s="89"/>
      <c r="PEE25" s="89"/>
      <c r="PEF25" s="89"/>
      <c r="PEG25" s="89"/>
      <c r="PEH25" s="89"/>
      <c r="PEI25" s="89"/>
      <c r="PEJ25" s="89"/>
      <c r="PEK25" s="89"/>
      <c r="PEL25" s="89"/>
      <c r="PEM25" s="89"/>
      <c r="PEN25" s="89"/>
      <c r="PEO25" s="89"/>
      <c r="PEP25" s="89"/>
      <c r="PEQ25" s="89"/>
      <c r="PER25" s="89"/>
      <c r="PES25" s="89"/>
      <c r="PET25" s="89"/>
      <c r="PEU25" s="89"/>
      <c r="PEV25" s="89"/>
      <c r="PEW25" s="89"/>
      <c r="PEX25" s="89"/>
      <c r="PEY25" s="89"/>
      <c r="PEZ25" s="89"/>
      <c r="PFA25" s="89"/>
      <c r="PFB25" s="89"/>
      <c r="PFC25" s="89"/>
      <c r="PFD25" s="89"/>
      <c r="PFE25" s="89"/>
      <c r="PFF25" s="89"/>
      <c r="PFG25" s="89"/>
      <c r="PFH25" s="89"/>
      <c r="PFI25" s="89"/>
      <c r="PFJ25" s="89"/>
      <c r="PFK25" s="89"/>
      <c r="PFL25" s="89"/>
      <c r="PFM25" s="89"/>
      <c r="PFN25" s="89"/>
      <c r="PFO25" s="89"/>
      <c r="PFP25" s="89"/>
      <c r="PFQ25" s="89"/>
      <c r="PFR25" s="89"/>
      <c r="PFS25" s="89"/>
      <c r="PFT25" s="89"/>
      <c r="PFU25" s="89"/>
      <c r="PFV25" s="89"/>
      <c r="PFW25" s="89"/>
      <c r="PFX25" s="89"/>
      <c r="PFY25" s="89"/>
      <c r="PFZ25" s="89"/>
      <c r="PGA25" s="89"/>
      <c r="PGB25" s="89"/>
      <c r="PGC25" s="89"/>
      <c r="PGD25" s="89"/>
      <c r="PGE25" s="89"/>
      <c r="PGF25" s="89"/>
      <c r="PGG25" s="89"/>
      <c r="PGH25" s="89"/>
      <c r="PGI25" s="89"/>
      <c r="PGJ25" s="89"/>
      <c r="PGK25" s="89"/>
      <c r="PGL25" s="89"/>
      <c r="PGM25" s="89"/>
      <c r="PGN25" s="89"/>
      <c r="PGO25" s="89"/>
      <c r="PGP25" s="89"/>
      <c r="PGQ25" s="89"/>
      <c r="PGR25" s="89"/>
      <c r="PGS25" s="89"/>
      <c r="PGT25" s="89"/>
      <c r="PGU25" s="89"/>
      <c r="PGV25" s="89"/>
      <c r="PGW25" s="89"/>
      <c r="PGX25" s="89"/>
      <c r="PGY25" s="89"/>
      <c r="PGZ25" s="89"/>
      <c r="PHA25" s="89"/>
      <c r="PHB25" s="89"/>
      <c r="PHC25" s="89"/>
      <c r="PHD25" s="89"/>
      <c r="PHE25" s="89"/>
      <c r="PHF25" s="89"/>
      <c r="PHG25" s="89"/>
      <c r="PHH25" s="89"/>
      <c r="PHI25" s="89"/>
      <c r="PHJ25" s="89"/>
      <c r="PHK25" s="89"/>
      <c r="PHL25" s="89"/>
      <c r="PHM25" s="89"/>
      <c r="PHN25" s="89"/>
      <c r="PHO25" s="89"/>
      <c r="PHP25" s="89"/>
      <c r="PHQ25" s="89"/>
      <c r="PHR25" s="89"/>
      <c r="PHS25" s="89"/>
      <c r="PHT25" s="89"/>
      <c r="PHU25" s="89"/>
      <c r="PHV25" s="89"/>
      <c r="PHW25" s="89"/>
      <c r="PHX25" s="89"/>
      <c r="PHY25" s="89"/>
      <c r="PHZ25" s="89"/>
      <c r="PIA25" s="89"/>
      <c r="PIB25" s="89"/>
      <c r="PIC25" s="89"/>
      <c r="PID25" s="89"/>
      <c r="PIE25" s="89"/>
      <c r="PIF25" s="89"/>
      <c r="PIG25" s="89"/>
      <c r="PIH25" s="89"/>
      <c r="PII25" s="89"/>
      <c r="PIJ25" s="89"/>
      <c r="PIK25" s="89"/>
      <c r="PIL25" s="89"/>
      <c r="PIM25" s="89"/>
      <c r="PIN25" s="89"/>
      <c r="PIO25" s="89"/>
      <c r="PIP25" s="89"/>
      <c r="PIQ25" s="89"/>
      <c r="PIR25" s="89"/>
      <c r="PIS25" s="89"/>
      <c r="PIT25" s="89"/>
      <c r="PIU25" s="89"/>
      <c r="PIV25" s="89"/>
      <c r="PIW25" s="89"/>
      <c r="PIX25" s="89"/>
      <c r="PIY25" s="89"/>
      <c r="PIZ25" s="89"/>
      <c r="PJA25" s="89"/>
      <c r="PJB25" s="89"/>
      <c r="PJC25" s="89"/>
      <c r="PJD25" s="89"/>
      <c r="PJE25" s="89"/>
      <c r="PJF25" s="89"/>
      <c r="PJG25" s="89"/>
      <c r="PJH25" s="89"/>
      <c r="PJI25" s="89"/>
      <c r="PJJ25" s="89"/>
      <c r="PJK25" s="89"/>
      <c r="PJL25" s="89"/>
      <c r="PJM25" s="89"/>
      <c r="PJN25" s="89"/>
      <c r="PJO25" s="89"/>
      <c r="PJP25" s="89"/>
      <c r="PJQ25" s="89"/>
      <c r="PJR25" s="89"/>
      <c r="PJS25" s="89"/>
      <c r="PJT25" s="89"/>
      <c r="PJU25" s="89"/>
      <c r="PJV25" s="89"/>
      <c r="PJW25" s="89"/>
      <c r="PJX25" s="89"/>
      <c r="PJY25" s="89"/>
      <c r="PJZ25" s="89"/>
      <c r="PKA25" s="89"/>
      <c r="PKB25" s="89"/>
      <c r="PKC25" s="89"/>
      <c r="PKD25" s="89"/>
      <c r="PKE25" s="89"/>
      <c r="PKF25" s="89"/>
      <c r="PKG25" s="89"/>
      <c r="PKH25" s="89"/>
      <c r="PKI25" s="89"/>
      <c r="PKJ25" s="89"/>
      <c r="PKK25" s="89"/>
      <c r="PKL25" s="89"/>
      <c r="PKM25" s="89"/>
      <c r="PKN25" s="89"/>
      <c r="PKO25" s="89"/>
      <c r="PKP25" s="89"/>
      <c r="PKQ25" s="89"/>
      <c r="PKR25" s="89"/>
      <c r="PKS25" s="89"/>
      <c r="PKT25" s="89"/>
      <c r="PKU25" s="89"/>
      <c r="PKV25" s="89"/>
      <c r="PKW25" s="89"/>
      <c r="PKX25" s="89"/>
      <c r="PKY25" s="89"/>
      <c r="PKZ25" s="89"/>
      <c r="PLA25" s="89"/>
      <c r="PLB25" s="89"/>
      <c r="PLC25" s="89"/>
      <c r="PLD25" s="89"/>
      <c r="PLE25" s="89"/>
      <c r="PLF25" s="89"/>
      <c r="PLG25" s="89"/>
      <c r="PLH25" s="89"/>
      <c r="PLI25" s="89"/>
      <c r="PLJ25" s="89"/>
      <c r="PLK25" s="89"/>
      <c r="PLL25" s="89"/>
      <c r="PLM25" s="89"/>
      <c r="PLN25" s="89"/>
      <c r="PLO25" s="89"/>
      <c r="PLP25" s="89"/>
      <c r="PLQ25" s="89"/>
      <c r="PLR25" s="89"/>
      <c r="PLS25" s="89"/>
      <c r="PLT25" s="89"/>
      <c r="PLU25" s="89"/>
      <c r="PLV25" s="89"/>
      <c r="PLW25" s="89"/>
      <c r="PLX25" s="89"/>
      <c r="PLY25" s="89"/>
      <c r="PLZ25" s="89"/>
      <c r="PMA25" s="89"/>
      <c r="PMB25" s="89"/>
      <c r="PMC25" s="89"/>
      <c r="PMD25" s="89"/>
      <c r="PME25" s="89"/>
      <c r="PMF25" s="89"/>
      <c r="PMG25" s="89"/>
      <c r="PMH25" s="89"/>
      <c r="PMI25" s="89"/>
      <c r="PMJ25" s="89"/>
      <c r="PMK25" s="89"/>
      <c r="PML25" s="89"/>
      <c r="PMM25" s="89"/>
      <c r="PMN25" s="89"/>
      <c r="PMO25" s="89"/>
      <c r="PMP25" s="89"/>
      <c r="PMQ25" s="89"/>
      <c r="PMR25" s="89"/>
      <c r="PMS25" s="89"/>
      <c r="PMT25" s="89"/>
      <c r="PMU25" s="89"/>
      <c r="PMV25" s="89"/>
      <c r="PMW25" s="89"/>
      <c r="PMX25" s="89"/>
      <c r="PMY25" s="89"/>
      <c r="PMZ25" s="89"/>
      <c r="PNA25" s="89"/>
      <c r="PNB25" s="89"/>
      <c r="PNC25" s="89"/>
      <c r="PND25" s="89"/>
      <c r="PNE25" s="89"/>
      <c r="PNF25" s="89"/>
      <c r="PNG25" s="89"/>
      <c r="PNH25" s="89"/>
      <c r="PNI25" s="89"/>
      <c r="PNJ25" s="89"/>
      <c r="PNK25" s="89"/>
      <c r="PNL25" s="89"/>
      <c r="PNM25" s="89"/>
      <c r="PNN25" s="89"/>
      <c r="PNO25" s="89"/>
      <c r="PNP25" s="89"/>
      <c r="PNQ25" s="89"/>
      <c r="PNR25" s="89"/>
      <c r="PNS25" s="89"/>
      <c r="PNT25" s="89"/>
      <c r="PNU25" s="89"/>
      <c r="PNV25" s="89"/>
      <c r="PNW25" s="89"/>
      <c r="PNX25" s="89"/>
      <c r="PNY25" s="89"/>
      <c r="PNZ25" s="89"/>
      <c r="POA25" s="89"/>
      <c r="POB25" s="89"/>
      <c r="POC25" s="89"/>
      <c r="POD25" s="89"/>
      <c r="POE25" s="89"/>
      <c r="POF25" s="89"/>
      <c r="POG25" s="89"/>
      <c r="POH25" s="89"/>
      <c r="POI25" s="89"/>
      <c r="POJ25" s="89"/>
      <c r="POK25" s="89"/>
      <c r="POL25" s="89"/>
      <c r="POM25" s="89"/>
      <c r="PON25" s="89"/>
      <c r="POO25" s="89"/>
      <c r="POP25" s="89"/>
      <c r="POQ25" s="89"/>
      <c r="POR25" s="89"/>
      <c r="POS25" s="89"/>
      <c r="POT25" s="89"/>
      <c r="POU25" s="89"/>
      <c r="POV25" s="89"/>
      <c r="POW25" s="89"/>
      <c r="POX25" s="89"/>
      <c r="POY25" s="89"/>
      <c r="POZ25" s="89"/>
      <c r="PPA25" s="89"/>
      <c r="PPB25" s="89"/>
      <c r="PPC25" s="89"/>
      <c r="PPD25" s="89"/>
      <c r="PPE25" s="89"/>
      <c r="PPF25" s="89"/>
      <c r="PPG25" s="89"/>
      <c r="PPH25" s="89"/>
      <c r="PPI25" s="89"/>
      <c r="PPJ25" s="89"/>
      <c r="PPK25" s="89"/>
      <c r="PPL25" s="89"/>
      <c r="PPM25" s="89"/>
      <c r="PPN25" s="89"/>
      <c r="PPO25" s="89"/>
      <c r="PPP25" s="89"/>
      <c r="PPQ25" s="89"/>
      <c r="PPR25" s="89"/>
      <c r="PPS25" s="89"/>
      <c r="PPT25" s="89"/>
      <c r="PPU25" s="89"/>
      <c r="PPV25" s="89"/>
      <c r="PPW25" s="89"/>
      <c r="PPX25" s="89"/>
      <c r="PPY25" s="89"/>
      <c r="PPZ25" s="89"/>
      <c r="PQA25" s="89"/>
      <c r="PQB25" s="89"/>
      <c r="PQC25" s="89"/>
      <c r="PQD25" s="89"/>
      <c r="PQE25" s="89"/>
      <c r="PQF25" s="89"/>
      <c r="PQG25" s="89"/>
      <c r="PQH25" s="89"/>
      <c r="PQI25" s="89"/>
      <c r="PQJ25" s="89"/>
      <c r="PQK25" s="89"/>
      <c r="PQL25" s="89"/>
      <c r="PQM25" s="89"/>
      <c r="PQN25" s="89"/>
      <c r="PQO25" s="89"/>
      <c r="PQP25" s="89"/>
      <c r="PQQ25" s="89"/>
      <c r="PQR25" s="89"/>
      <c r="PQS25" s="89"/>
      <c r="PQT25" s="89"/>
      <c r="PQU25" s="89"/>
      <c r="PQV25" s="89"/>
      <c r="PQW25" s="89"/>
      <c r="PQX25" s="89"/>
      <c r="PQY25" s="89"/>
      <c r="PQZ25" s="89"/>
      <c r="PRA25" s="89"/>
      <c r="PRB25" s="89"/>
      <c r="PRC25" s="89"/>
      <c r="PRD25" s="89"/>
      <c r="PRE25" s="89"/>
      <c r="PRF25" s="89"/>
      <c r="PRG25" s="89"/>
      <c r="PRH25" s="89"/>
      <c r="PRI25" s="89"/>
      <c r="PRJ25" s="89"/>
      <c r="PRK25" s="89"/>
      <c r="PRL25" s="89"/>
      <c r="PRM25" s="89"/>
      <c r="PRN25" s="89"/>
      <c r="PRO25" s="89"/>
      <c r="PRP25" s="89"/>
      <c r="PRQ25" s="89"/>
      <c r="PRR25" s="89"/>
      <c r="PRS25" s="89"/>
      <c r="PRT25" s="89"/>
      <c r="PRU25" s="89"/>
      <c r="PRV25" s="89"/>
      <c r="PRW25" s="89"/>
      <c r="PRX25" s="89"/>
      <c r="PRY25" s="89"/>
      <c r="PRZ25" s="89"/>
      <c r="PSA25" s="89"/>
      <c r="PSB25" s="89"/>
      <c r="PSC25" s="89"/>
      <c r="PSD25" s="89"/>
      <c r="PSE25" s="89"/>
      <c r="PSF25" s="89"/>
      <c r="PSG25" s="89"/>
      <c r="PSH25" s="89"/>
      <c r="PSI25" s="89"/>
      <c r="PSJ25" s="89"/>
      <c r="PSK25" s="89"/>
      <c r="PSL25" s="89"/>
      <c r="PSM25" s="89"/>
      <c r="PSN25" s="89"/>
      <c r="PSO25" s="89"/>
      <c r="PSP25" s="89"/>
      <c r="PSQ25" s="89"/>
      <c r="PSR25" s="89"/>
      <c r="PSS25" s="89"/>
      <c r="PST25" s="89"/>
      <c r="PSU25" s="89"/>
      <c r="PSV25" s="89"/>
      <c r="PSW25" s="89"/>
      <c r="PSX25" s="89"/>
      <c r="PSY25" s="89"/>
      <c r="PSZ25" s="89"/>
      <c r="PTA25" s="89"/>
      <c r="PTB25" s="89"/>
      <c r="PTC25" s="89"/>
      <c r="PTD25" s="89"/>
      <c r="PTE25" s="89"/>
      <c r="PTF25" s="89"/>
      <c r="PTG25" s="89"/>
      <c r="PTH25" s="89"/>
      <c r="PTI25" s="89"/>
      <c r="PTJ25" s="89"/>
      <c r="PTK25" s="89"/>
      <c r="PTL25" s="89"/>
      <c r="PTM25" s="89"/>
      <c r="PTN25" s="89"/>
      <c r="PTO25" s="89"/>
      <c r="PTP25" s="89"/>
      <c r="PTQ25" s="89"/>
      <c r="PTR25" s="89"/>
      <c r="PTS25" s="89"/>
      <c r="PTT25" s="89"/>
      <c r="PTU25" s="89"/>
      <c r="PTV25" s="89"/>
      <c r="PTW25" s="89"/>
      <c r="PTX25" s="89"/>
      <c r="PTY25" s="89"/>
      <c r="PTZ25" s="89"/>
      <c r="PUA25" s="89"/>
      <c r="PUB25" s="89"/>
      <c r="PUC25" s="89"/>
      <c r="PUD25" s="89"/>
      <c r="PUE25" s="89"/>
      <c r="PUF25" s="89"/>
      <c r="PUG25" s="89"/>
      <c r="PUH25" s="89"/>
      <c r="PUI25" s="89"/>
      <c r="PUJ25" s="89"/>
      <c r="PUK25" s="89"/>
      <c r="PUL25" s="89"/>
      <c r="PUM25" s="89"/>
      <c r="PUN25" s="89"/>
      <c r="PUO25" s="89"/>
      <c r="PUP25" s="89"/>
      <c r="PUQ25" s="89"/>
      <c r="PUR25" s="89"/>
      <c r="PUS25" s="89"/>
      <c r="PUT25" s="89"/>
      <c r="PUU25" s="89"/>
      <c r="PUV25" s="89"/>
      <c r="PUW25" s="89"/>
      <c r="PUX25" s="89"/>
      <c r="PUY25" s="89"/>
      <c r="PUZ25" s="89"/>
      <c r="PVA25" s="89"/>
      <c r="PVB25" s="89"/>
      <c r="PVC25" s="89"/>
      <c r="PVD25" s="89"/>
      <c r="PVE25" s="89"/>
      <c r="PVF25" s="89"/>
      <c r="PVG25" s="89"/>
      <c r="PVH25" s="89"/>
      <c r="PVI25" s="89"/>
      <c r="PVJ25" s="89"/>
      <c r="PVK25" s="89"/>
      <c r="PVL25" s="89"/>
      <c r="PVM25" s="89"/>
      <c r="PVN25" s="89"/>
      <c r="PVO25" s="89"/>
      <c r="PVP25" s="89"/>
      <c r="PVQ25" s="89"/>
      <c r="PVR25" s="89"/>
      <c r="PVS25" s="89"/>
      <c r="PVT25" s="89"/>
      <c r="PVU25" s="89"/>
      <c r="PVV25" s="89"/>
      <c r="PVW25" s="89"/>
      <c r="PVX25" s="89"/>
      <c r="PVY25" s="89"/>
      <c r="PVZ25" s="89"/>
      <c r="PWA25" s="89"/>
      <c r="PWB25" s="89"/>
      <c r="PWC25" s="89"/>
      <c r="PWD25" s="89"/>
      <c r="PWE25" s="89"/>
      <c r="PWF25" s="89"/>
      <c r="PWG25" s="89"/>
      <c r="PWH25" s="89"/>
      <c r="PWI25" s="89"/>
      <c r="PWJ25" s="89"/>
      <c r="PWK25" s="89"/>
      <c r="PWL25" s="89"/>
      <c r="PWM25" s="89"/>
      <c r="PWN25" s="89"/>
      <c r="PWO25" s="89"/>
      <c r="PWP25" s="89"/>
      <c r="PWQ25" s="89"/>
      <c r="PWR25" s="89"/>
      <c r="PWS25" s="89"/>
      <c r="PWT25" s="89"/>
      <c r="PWU25" s="89"/>
      <c r="PWV25" s="89"/>
      <c r="PWW25" s="89"/>
      <c r="PWX25" s="89"/>
      <c r="PWY25" s="89"/>
      <c r="PWZ25" s="89"/>
      <c r="PXA25" s="89"/>
      <c r="PXB25" s="89"/>
      <c r="PXC25" s="89"/>
      <c r="PXD25" s="89"/>
      <c r="PXE25" s="89"/>
      <c r="PXF25" s="89"/>
      <c r="PXG25" s="89"/>
      <c r="PXH25" s="89"/>
      <c r="PXI25" s="89"/>
      <c r="PXJ25" s="89"/>
      <c r="PXK25" s="89"/>
      <c r="PXL25" s="89"/>
      <c r="PXM25" s="89"/>
      <c r="PXN25" s="89"/>
      <c r="PXO25" s="89"/>
      <c r="PXP25" s="89"/>
      <c r="PXQ25" s="89"/>
      <c r="PXR25" s="89"/>
      <c r="PXS25" s="89"/>
      <c r="PXT25" s="89"/>
      <c r="PXU25" s="89"/>
      <c r="PXV25" s="89"/>
      <c r="PXW25" s="89"/>
      <c r="PXX25" s="89"/>
      <c r="PXY25" s="89"/>
      <c r="PXZ25" s="89"/>
      <c r="PYA25" s="89"/>
      <c r="PYB25" s="89"/>
      <c r="PYC25" s="89"/>
      <c r="PYD25" s="89"/>
      <c r="PYE25" s="89"/>
      <c r="PYF25" s="89"/>
      <c r="PYG25" s="89"/>
      <c r="PYH25" s="89"/>
      <c r="PYI25" s="89"/>
      <c r="PYJ25" s="89"/>
      <c r="PYK25" s="89"/>
      <c r="PYL25" s="89"/>
      <c r="PYM25" s="89"/>
      <c r="PYN25" s="89"/>
      <c r="PYO25" s="89"/>
      <c r="PYP25" s="89"/>
      <c r="PYQ25" s="89"/>
      <c r="PYR25" s="89"/>
      <c r="PYS25" s="89"/>
      <c r="PYT25" s="89"/>
      <c r="PYU25" s="89"/>
      <c r="PYV25" s="89"/>
      <c r="PYW25" s="89"/>
      <c r="PYX25" s="89"/>
      <c r="PYY25" s="89"/>
      <c r="PYZ25" s="89"/>
      <c r="PZA25" s="89"/>
      <c r="PZB25" s="89"/>
      <c r="PZC25" s="89"/>
      <c r="PZD25" s="89"/>
      <c r="PZE25" s="89"/>
      <c r="PZF25" s="89"/>
      <c r="PZG25" s="89"/>
      <c r="PZH25" s="89"/>
      <c r="PZI25" s="89"/>
      <c r="PZJ25" s="89"/>
      <c r="PZK25" s="89"/>
      <c r="PZL25" s="89"/>
      <c r="PZM25" s="89"/>
      <c r="PZN25" s="89"/>
      <c r="PZO25" s="89"/>
      <c r="PZP25" s="89"/>
      <c r="PZQ25" s="89"/>
      <c r="PZR25" s="89"/>
      <c r="PZS25" s="89"/>
      <c r="PZT25" s="89"/>
      <c r="PZU25" s="89"/>
      <c r="PZV25" s="89"/>
      <c r="PZW25" s="89"/>
      <c r="PZX25" s="89"/>
      <c r="PZY25" s="89"/>
      <c r="PZZ25" s="89"/>
      <c r="QAA25" s="89"/>
      <c r="QAB25" s="89"/>
      <c r="QAC25" s="89"/>
      <c r="QAD25" s="89"/>
      <c r="QAE25" s="89"/>
      <c r="QAF25" s="89"/>
      <c r="QAG25" s="89"/>
      <c r="QAH25" s="89"/>
      <c r="QAI25" s="89"/>
      <c r="QAJ25" s="89"/>
      <c r="QAK25" s="89"/>
      <c r="QAL25" s="89"/>
      <c r="QAM25" s="89"/>
      <c r="QAN25" s="89"/>
      <c r="QAO25" s="89"/>
      <c r="QAP25" s="89"/>
      <c r="QAQ25" s="89"/>
      <c r="QAR25" s="89"/>
      <c r="QAS25" s="89"/>
      <c r="QAT25" s="89"/>
      <c r="QAU25" s="89"/>
      <c r="QAV25" s="89"/>
      <c r="QAW25" s="89"/>
      <c r="QAX25" s="89"/>
      <c r="QAY25" s="89"/>
      <c r="QAZ25" s="89"/>
      <c r="QBA25" s="89"/>
      <c r="QBB25" s="89"/>
      <c r="QBC25" s="89"/>
      <c r="QBD25" s="89"/>
      <c r="QBE25" s="89"/>
      <c r="QBF25" s="89"/>
      <c r="QBG25" s="89"/>
      <c r="QBH25" s="89"/>
      <c r="QBI25" s="89"/>
      <c r="QBJ25" s="89"/>
      <c r="QBK25" s="89"/>
      <c r="QBL25" s="89"/>
      <c r="QBM25" s="89"/>
      <c r="QBN25" s="89"/>
      <c r="QBO25" s="89"/>
      <c r="QBP25" s="89"/>
      <c r="QBQ25" s="89"/>
      <c r="QBR25" s="89"/>
      <c r="QBS25" s="89"/>
      <c r="QBT25" s="89"/>
      <c r="QBU25" s="89"/>
      <c r="QBV25" s="89"/>
      <c r="QBW25" s="89"/>
      <c r="QBX25" s="89"/>
      <c r="QBY25" s="89"/>
      <c r="QBZ25" s="89"/>
      <c r="QCA25" s="89"/>
      <c r="QCB25" s="89"/>
      <c r="QCC25" s="89"/>
      <c r="QCD25" s="89"/>
      <c r="QCE25" s="89"/>
      <c r="QCF25" s="89"/>
      <c r="QCG25" s="89"/>
      <c r="QCH25" s="89"/>
      <c r="QCI25" s="89"/>
      <c r="QCJ25" s="89"/>
      <c r="QCK25" s="89"/>
      <c r="QCL25" s="89"/>
      <c r="QCM25" s="89"/>
      <c r="QCN25" s="89"/>
      <c r="QCO25" s="89"/>
      <c r="QCP25" s="89"/>
      <c r="QCQ25" s="89"/>
      <c r="QCR25" s="89"/>
      <c r="QCS25" s="89"/>
      <c r="QCT25" s="89"/>
      <c r="QCU25" s="89"/>
      <c r="QCV25" s="89"/>
      <c r="QCW25" s="89"/>
      <c r="QCX25" s="89"/>
      <c r="QCY25" s="89"/>
      <c r="QCZ25" s="89"/>
      <c r="QDA25" s="89"/>
      <c r="QDB25" s="89"/>
      <c r="QDC25" s="89"/>
      <c r="QDD25" s="89"/>
      <c r="QDE25" s="89"/>
      <c r="QDF25" s="89"/>
      <c r="QDG25" s="89"/>
      <c r="QDH25" s="89"/>
      <c r="QDI25" s="89"/>
      <c r="QDJ25" s="89"/>
      <c r="QDK25" s="89"/>
      <c r="QDL25" s="89"/>
      <c r="QDM25" s="89"/>
      <c r="QDN25" s="89"/>
      <c r="QDO25" s="89"/>
      <c r="QDP25" s="89"/>
      <c r="QDQ25" s="89"/>
      <c r="QDR25" s="89"/>
      <c r="QDS25" s="89"/>
      <c r="QDT25" s="89"/>
      <c r="QDU25" s="89"/>
      <c r="QDV25" s="89"/>
      <c r="QDW25" s="89"/>
      <c r="QDX25" s="89"/>
      <c r="QDY25" s="89"/>
      <c r="QDZ25" s="89"/>
      <c r="QEA25" s="89"/>
      <c r="QEB25" s="89"/>
      <c r="QEC25" s="89"/>
      <c r="QED25" s="89"/>
      <c r="QEE25" s="89"/>
      <c r="QEF25" s="89"/>
      <c r="QEG25" s="89"/>
      <c r="QEH25" s="89"/>
      <c r="QEI25" s="89"/>
      <c r="QEJ25" s="89"/>
      <c r="QEK25" s="89"/>
      <c r="QEL25" s="89"/>
      <c r="QEM25" s="89"/>
      <c r="QEN25" s="89"/>
      <c r="QEO25" s="89"/>
      <c r="QEP25" s="89"/>
      <c r="QEQ25" s="89"/>
      <c r="QER25" s="89"/>
      <c r="QES25" s="89"/>
      <c r="QET25" s="89"/>
      <c r="QEU25" s="89"/>
      <c r="QEV25" s="89"/>
      <c r="QEW25" s="89"/>
      <c r="QEX25" s="89"/>
      <c r="QEY25" s="89"/>
      <c r="QEZ25" s="89"/>
      <c r="QFA25" s="89"/>
      <c r="QFB25" s="89"/>
      <c r="QFC25" s="89"/>
      <c r="QFD25" s="89"/>
      <c r="QFE25" s="89"/>
      <c r="QFF25" s="89"/>
      <c r="QFG25" s="89"/>
      <c r="QFH25" s="89"/>
      <c r="QFI25" s="89"/>
      <c r="QFJ25" s="89"/>
      <c r="QFK25" s="89"/>
      <c r="QFL25" s="89"/>
      <c r="QFM25" s="89"/>
      <c r="QFN25" s="89"/>
      <c r="QFO25" s="89"/>
      <c r="QFP25" s="89"/>
      <c r="QFQ25" s="89"/>
      <c r="QFR25" s="89"/>
      <c r="QFS25" s="89"/>
      <c r="QFT25" s="89"/>
      <c r="QFU25" s="89"/>
      <c r="QFV25" s="89"/>
      <c r="QFW25" s="89"/>
      <c r="QFX25" s="89"/>
      <c r="QFY25" s="89"/>
      <c r="QFZ25" s="89"/>
      <c r="QGA25" s="89"/>
      <c r="QGB25" s="89"/>
      <c r="QGC25" s="89"/>
      <c r="QGD25" s="89"/>
      <c r="QGE25" s="89"/>
      <c r="QGF25" s="89"/>
      <c r="QGG25" s="89"/>
      <c r="QGH25" s="89"/>
      <c r="QGI25" s="89"/>
      <c r="QGJ25" s="89"/>
      <c r="QGK25" s="89"/>
      <c r="QGL25" s="89"/>
      <c r="QGM25" s="89"/>
      <c r="QGN25" s="89"/>
      <c r="QGO25" s="89"/>
      <c r="QGP25" s="89"/>
      <c r="QGQ25" s="89"/>
      <c r="QGR25" s="89"/>
      <c r="QGS25" s="89"/>
      <c r="QGT25" s="89"/>
      <c r="QGU25" s="89"/>
      <c r="QGV25" s="89"/>
      <c r="QGW25" s="89"/>
      <c r="QGX25" s="89"/>
      <c r="QGY25" s="89"/>
      <c r="QGZ25" s="89"/>
      <c r="QHA25" s="89"/>
      <c r="QHB25" s="89"/>
      <c r="QHC25" s="89"/>
      <c r="QHD25" s="89"/>
      <c r="QHE25" s="89"/>
      <c r="QHF25" s="89"/>
      <c r="QHG25" s="89"/>
      <c r="QHH25" s="89"/>
      <c r="QHI25" s="89"/>
      <c r="QHJ25" s="89"/>
      <c r="QHK25" s="89"/>
      <c r="QHL25" s="89"/>
      <c r="QHM25" s="89"/>
      <c r="QHN25" s="89"/>
      <c r="QHO25" s="89"/>
      <c r="QHP25" s="89"/>
      <c r="QHQ25" s="89"/>
      <c r="QHR25" s="89"/>
      <c r="QHS25" s="89"/>
      <c r="QHT25" s="89"/>
      <c r="QHU25" s="89"/>
      <c r="QHV25" s="89"/>
      <c r="QHW25" s="89"/>
      <c r="QHX25" s="89"/>
      <c r="QHY25" s="89"/>
      <c r="QHZ25" s="89"/>
      <c r="QIA25" s="89"/>
      <c r="QIB25" s="89"/>
      <c r="QIC25" s="89"/>
      <c r="QID25" s="89"/>
      <c r="QIE25" s="89"/>
      <c r="QIF25" s="89"/>
      <c r="QIG25" s="89"/>
      <c r="QIH25" s="89"/>
      <c r="QII25" s="89"/>
      <c r="QIJ25" s="89"/>
      <c r="QIK25" s="89"/>
      <c r="QIL25" s="89"/>
      <c r="QIM25" s="89"/>
      <c r="QIN25" s="89"/>
      <c r="QIO25" s="89"/>
      <c r="QIP25" s="89"/>
      <c r="QIQ25" s="89"/>
      <c r="QIR25" s="89"/>
      <c r="QIS25" s="89"/>
      <c r="QIT25" s="89"/>
      <c r="QIU25" s="89"/>
      <c r="QIV25" s="89"/>
      <c r="QIW25" s="89"/>
      <c r="QIX25" s="89"/>
      <c r="QIY25" s="89"/>
      <c r="QIZ25" s="89"/>
      <c r="QJA25" s="89"/>
      <c r="QJB25" s="89"/>
      <c r="QJC25" s="89"/>
      <c r="QJD25" s="89"/>
      <c r="QJE25" s="89"/>
      <c r="QJF25" s="89"/>
      <c r="QJG25" s="89"/>
      <c r="QJH25" s="89"/>
      <c r="QJI25" s="89"/>
      <c r="QJJ25" s="89"/>
      <c r="QJK25" s="89"/>
      <c r="QJL25" s="89"/>
      <c r="QJM25" s="89"/>
      <c r="QJN25" s="89"/>
      <c r="QJO25" s="89"/>
      <c r="QJP25" s="89"/>
      <c r="QJQ25" s="89"/>
      <c r="QJR25" s="89"/>
      <c r="QJS25" s="89"/>
      <c r="QJT25" s="89"/>
      <c r="QJU25" s="89"/>
      <c r="QJV25" s="89"/>
      <c r="QJW25" s="89"/>
      <c r="QJX25" s="89"/>
      <c r="QJY25" s="89"/>
      <c r="QJZ25" s="89"/>
      <c r="QKA25" s="89"/>
      <c r="QKB25" s="89"/>
      <c r="QKC25" s="89"/>
      <c r="QKD25" s="89"/>
      <c r="QKE25" s="89"/>
      <c r="QKF25" s="89"/>
      <c r="QKG25" s="89"/>
      <c r="QKH25" s="89"/>
      <c r="QKI25" s="89"/>
      <c r="QKJ25" s="89"/>
      <c r="QKK25" s="89"/>
      <c r="QKL25" s="89"/>
      <c r="QKM25" s="89"/>
      <c r="QKN25" s="89"/>
      <c r="QKO25" s="89"/>
      <c r="QKP25" s="89"/>
      <c r="QKQ25" s="89"/>
      <c r="QKR25" s="89"/>
      <c r="QKS25" s="89"/>
      <c r="QKT25" s="89"/>
      <c r="QKU25" s="89"/>
      <c r="QKV25" s="89"/>
      <c r="QKW25" s="89"/>
      <c r="QKX25" s="89"/>
      <c r="QKY25" s="89"/>
      <c r="QKZ25" s="89"/>
      <c r="QLA25" s="89"/>
      <c r="QLB25" s="89"/>
      <c r="QLC25" s="89"/>
      <c r="QLD25" s="89"/>
      <c r="QLE25" s="89"/>
      <c r="QLF25" s="89"/>
      <c r="QLG25" s="89"/>
      <c r="QLH25" s="89"/>
      <c r="QLI25" s="89"/>
      <c r="QLJ25" s="89"/>
      <c r="QLK25" s="89"/>
      <c r="QLL25" s="89"/>
      <c r="QLM25" s="89"/>
      <c r="QLN25" s="89"/>
      <c r="QLO25" s="89"/>
      <c r="QLP25" s="89"/>
      <c r="QLQ25" s="89"/>
      <c r="QLR25" s="89"/>
      <c r="QLS25" s="89"/>
      <c r="QLT25" s="89"/>
      <c r="QLU25" s="89"/>
      <c r="QLV25" s="89"/>
      <c r="QLW25" s="89"/>
      <c r="QLX25" s="89"/>
      <c r="QLY25" s="89"/>
      <c r="QLZ25" s="89"/>
      <c r="QMA25" s="89"/>
      <c r="QMB25" s="89"/>
      <c r="QMC25" s="89"/>
      <c r="QMD25" s="89"/>
      <c r="QME25" s="89"/>
      <c r="QMF25" s="89"/>
      <c r="QMG25" s="89"/>
      <c r="QMH25" s="89"/>
      <c r="QMI25" s="89"/>
      <c r="QMJ25" s="89"/>
      <c r="QMK25" s="89"/>
      <c r="QML25" s="89"/>
      <c r="QMM25" s="89"/>
      <c r="QMN25" s="89"/>
      <c r="QMO25" s="89"/>
      <c r="QMP25" s="89"/>
      <c r="QMQ25" s="89"/>
      <c r="QMR25" s="89"/>
      <c r="QMS25" s="89"/>
      <c r="QMT25" s="89"/>
      <c r="QMU25" s="89"/>
      <c r="QMV25" s="89"/>
      <c r="QMW25" s="89"/>
      <c r="QMX25" s="89"/>
      <c r="QMY25" s="89"/>
      <c r="QMZ25" s="89"/>
      <c r="QNA25" s="89"/>
      <c r="QNB25" s="89"/>
      <c r="QNC25" s="89"/>
      <c r="QND25" s="89"/>
      <c r="QNE25" s="89"/>
      <c r="QNF25" s="89"/>
      <c r="QNG25" s="89"/>
      <c r="QNH25" s="89"/>
      <c r="QNI25" s="89"/>
      <c r="QNJ25" s="89"/>
      <c r="QNK25" s="89"/>
      <c r="QNL25" s="89"/>
      <c r="QNM25" s="89"/>
      <c r="QNN25" s="89"/>
      <c r="QNO25" s="89"/>
      <c r="QNP25" s="89"/>
      <c r="QNQ25" s="89"/>
      <c r="QNR25" s="89"/>
      <c r="QNS25" s="89"/>
      <c r="QNT25" s="89"/>
      <c r="QNU25" s="89"/>
      <c r="QNV25" s="89"/>
      <c r="QNW25" s="89"/>
      <c r="QNX25" s="89"/>
      <c r="QNY25" s="89"/>
      <c r="QNZ25" s="89"/>
      <c r="QOA25" s="89"/>
      <c r="QOB25" s="89"/>
      <c r="QOC25" s="89"/>
      <c r="QOD25" s="89"/>
      <c r="QOE25" s="89"/>
      <c r="QOF25" s="89"/>
      <c r="QOG25" s="89"/>
      <c r="QOH25" s="89"/>
      <c r="QOI25" s="89"/>
      <c r="QOJ25" s="89"/>
      <c r="QOK25" s="89"/>
      <c r="QOL25" s="89"/>
      <c r="QOM25" s="89"/>
      <c r="QON25" s="89"/>
      <c r="QOO25" s="89"/>
      <c r="QOP25" s="89"/>
      <c r="QOQ25" s="89"/>
      <c r="QOR25" s="89"/>
      <c r="QOS25" s="89"/>
      <c r="QOT25" s="89"/>
      <c r="QOU25" s="89"/>
      <c r="QOV25" s="89"/>
      <c r="QOW25" s="89"/>
      <c r="QOX25" s="89"/>
      <c r="QOY25" s="89"/>
      <c r="QOZ25" s="89"/>
      <c r="QPA25" s="89"/>
      <c r="QPB25" s="89"/>
      <c r="QPC25" s="89"/>
      <c r="QPD25" s="89"/>
      <c r="QPE25" s="89"/>
      <c r="QPF25" s="89"/>
      <c r="QPG25" s="89"/>
      <c r="QPH25" s="89"/>
      <c r="QPI25" s="89"/>
      <c r="QPJ25" s="89"/>
      <c r="QPK25" s="89"/>
      <c r="QPL25" s="89"/>
      <c r="QPM25" s="89"/>
      <c r="QPN25" s="89"/>
      <c r="QPO25" s="89"/>
      <c r="QPP25" s="89"/>
      <c r="QPQ25" s="89"/>
      <c r="QPR25" s="89"/>
      <c r="QPS25" s="89"/>
      <c r="QPT25" s="89"/>
      <c r="QPU25" s="89"/>
      <c r="QPV25" s="89"/>
      <c r="QPW25" s="89"/>
      <c r="QPX25" s="89"/>
      <c r="QPY25" s="89"/>
      <c r="QPZ25" s="89"/>
      <c r="QQA25" s="89"/>
      <c r="QQB25" s="89"/>
      <c r="QQC25" s="89"/>
      <c r="QQD25" s="89"/>
      <c r="QQE25" s="89"/>
      <c r="QQF25" s="89"/>
      <c r="QQG25" s="89"/>
      <c r="QQH25" s="89"/>
      <c r="QQI25" s="89"/>
      <c r="QQJ25" s="89"/>
      <c r="QQK25" s="89"/>
      <c r="QQL25" s="89"/>
      <c r="QQM25" s="89"/>
      <c r="QQN25" s="89"/>
      <c r="QQO25" s="89"/>
      <c r="QQP25" s="89"/>
      <c r="QQQ25" s="89"/>
      <c r="QQR25" s="89"/>
      <c r="QQS25" s="89"/>
      <c r="QQT25" s="89"/>
      <c r="QQU25" s="89"/>
      <c r="QQV25" s="89"/>
      <c r="QQW25" s="89"/>
      <c r="QQX25" s="89"/>
      <c r="QQY25" s="89"/>
      <c r="QQZ25" s="89"/>
      <c r="QRA25" s="89"/>
      <c r="QRB25" s="89"/>
      <c r="QRC25" s="89"/>
      <c r="QRD25" s="89"/>
      <c r="QRE25" s="89"/>
      <c r="QRF25" s="89"/>
      <c r="QRG25" s="89"/>
      <c r="QRH25" s="89"/>
      <c r="QRI25" s="89"/>
      <c r="QRJ25" s="89"/>
      <c r="QRK25" s="89"/>
      <c r="QRL25" s="89"/>
      <c r="QRM25" s="89"/>
      <c r="QRN25" s="89"/>
      <c r="QRO25" s="89"/>
      <c r="QRP25" s="89"/>
      <c r="QRQ25" s="89"/>
      <c r="QRR25" s="89"/>
      <c r="QRS25" s="89"/>
      <c r="QRT25" s="89"/>
      <c r="QRU25" s="89"/>
      <c r="QRV25" s="89"/>
      <c r="QRW25" s="89"/>
      <c r="QRX25" s="89"/>
      <c r="QRY25" s="89"/>
      <c r="QRZ25" s="89"/>
      <c r="QSA25" s="89"/>
      <c r="QSB25" s="89"/>
      <c r="QSC25" s="89"/>
      <c r="QSD25" s="89"/>
      <c r="QSE25" s="89"/>
      <c r="QSF25" s="89"/>
      <c r="QSG25" s="89"/>
      <c r="QSH25" s="89"/>
      <c r="QSI25" s="89"/>
      <c r="QSJ25" s="89"/>
      <c r="QSK25" s="89"/>
      <c r="QSL25" s="89"/>
      <c r="QSM25" s="89"/>
      <c r="QSN25" s="89"/>
      <c r="QSO25" s="89"/>
      <c r="QSP25" s="89"/>
      <c r="QSQ25" s="89"/>
      <c r="QSR25" s="89"/>
      <c r="QSS25" s="89"/>
      <c r="QST25" s="89"/>
      <c r="QSU25" s="89"/>
      <c r="QSV25" s="89"/>
      <c r="QSW25" s="89"/>
      <c r="QSX25" s="89"/>
      <c r="QSY25" s="89"/>
      <c r="QSZ25" s="89"/>
      <c r="QTA25" s="89"/>
      <c r="QTB25" s="89"/>
      <c r="QTC25" s="89"/>
      <c r="QTD25" s="89"/>
      <c r="QTE25" s="89"/>
      <c r="QTF25" s="89"/>
      <c r="QTG25" s="89"/>
      <c r="QTH25" s="89"/>
      <c r="QTI25" s="89"/>
      <c r="QTJ25" s="89"/>
      <c r="QTK25" s="89"/>
      <c r="QTL25" s="89"/>
      <c r="QTM25" s="89"/>
      <c r="QTN25" s="89"/>
      <c r="QTO25" s="89"/>
      <c r="QTP25" s="89"/>
      <c r="QTQ25" s="89"/>
      <c r="QTR25" s="89"/>
      <c r="QTS25" s="89"/>
      <c r="QTT25" s="89"/>
      <c r="QTU25" s="89"/>
      <c r="QTV25" s="89"/>
      <c r="QTW25" s="89"/>
      <c r="QTX25" s="89"/>
      <c r="QTY25" s="89"/>
      <c r="QTZ25" s="89"/>
      <c r="QUA25" s="89"/>
      <c r="QUB25" s="89"/>
      <c r="QUC25" s="89"/>
      <c r="QUD25" s="89"/>
      <c r="QUE25" s="89"/>
      <c r="QUF25" s="89"/>
      <c r="QUG25" s="89"/>
      <c r="QUH25" s="89"/>
      <c r="QUI25" s="89"/>
      <c r="QUJ25" s="89"/>
      <c r="QUK25" s="89"/>
      <c r="QUL25" s="89"/>
      <c r="QUM25" s="89"/>
      <c r="QUN25" s="89"/>
      <c r="QUO25" s="89"/>
      <c r="QUP25" s="89"/>
      <c r="QUQ25" s="89"/>
      <c r="QUR25" s="89"/>
      <c r="QUS25" s="89"/>
      <c r="QUT25" s="89"/>
      <c r="QUU25" s="89"/>
      <c r="QUV25" s="89"/>
      <c r="QUW25" s="89"/>
      <c r="QUX25" s="89"/>
      <c r="QUY25" s="89"/>
      <c r="QUZ25" s="89"/>
      <c r="QVA25" s="89"/>
      <c r="QVB25" s="89"/>
      <c r="QVC25" s="89"/>
      <c r="QVD25" s="89"/>
      <c r="QVE25" s="89"/>
      <c r="QVF25" s="89"/>
      <c r="QVG25" s="89"/>
      <c r="QVH25" s="89"/>
      <c r="QVI25" s="89"/>
      <c r="QVJ25" s="89"/>
      <c r="QVK25" s="89"/>
      <c r="QVL25" s="89"/>
      <c r="QVM25" s="89"/>
      <c r="QVN25" s="89"/>
      <c r="QVO25" s="89"/>
      <c r="QVP25" s="89"/>
      <c r="QVQ25" s="89"/>
      <c r="QVR25" s="89"/>
      <c r="QVS25" s="89"/>
      <c r="QVT25" s="89"/>
      <c r="QVU25" s="89"/>
      <c r="QVV25" s="89"/>
      <c r="QVW25" s="89"/>
      <c r="QVX25" s="89"/>
      <c r="QVY25" s="89"/>
      <c r="QVZ25" s="89"/>
      <c r="QWA25" s="89"/>
      <c r="QWB25" s="89"/>
      <c r="QWC25" s="89"/>
      <c r="QWD25" s="89"/>
      <c r="QWE25" s="89"/>
      <c r="QWF25" s="89"/>
      <c r="QWG25" s="89"/>
      <c r="QWH25" s="89"/>
      <c r="QWI25" s="89"/>
      <c r="QWJ25" s="89"/>
      <c r="QWK25" s="89"/>
      <c r="QWL25" s="89"/>
      <c r="QWM25" s="89"/>
      <c r="QWN25" s="89"/>
      <c r="QWO25" s="89"/>
      <c r="QWP25" s="89"/>
      <c r="QWQ25" s="89"/>
      <c r="QWR25" s="89"/>
      <c r="QWS25" s="89"/>
      <c r="QWT25" s="89"/>
      <c r="QWU25" s="89"/>
      <c r="QWV25" s="89"/>
      <c r="QWW25" s="89"/>
      <c r="QWX25" s="89"/>
      <c r="QWY25" s="89"/>
      <c r="QWZ25" s="89"/>
      <c r="QXA25" s="89"/>
      <c r="QXB25" s="89"/>
      <c r="QXC25" s="89"/>
      <c r="QXD25" s="89"/>
      <c r="QXE25" s="89"/>
      <c r="QXF25" s="89"/>
      <c r="QXG25" s="89"/>
      <c r="QXH25" s="89"/>
      <c r="QXI25" s="89"/>
      <c r="QXJ25" s="89"/>
      <c r="QXK25" s="89"/>
      <c r="QXL25" s="89"/>
      <c r="QXM25" s="89"/>
      <c r="QXN25" s="89"/>
      <c r="QXO25" s="89"/>
      <c r="QXP25" s="89"/>
      <c r="QXQ25" s="89"/>
      <c r="QXR25" s="89"/>
      <c r="QXS25" s="89"/>
      <c r="QXT25" s="89"/>
      <c r="QXU25" s="89"/>
      <c r="QXV25" s="89"/>
      <c r="QXW25" s="89"/>
      <c r="QXX25" s="89"/>
      <c r="QXY25" s="89"/>
      <c r="QXZ25" s="89"/>
      <c r="QYA25" s="89"/>
      <c r="QYB25" s="89"/>
      <c r="QYC25" s="89"/>
      <c r="QYD25" s="89"/>
      <c r="QYE25" s="89"/>
      <c r="QYF25" s="89"/>
      <c r="QYG25" s="89"/>
      <c r="QYH25" s="89"/>
      <c r="QYI25" s="89"/>
      <c r="QYJ25" s="89"/>
      <c r="QYK25" s="89"/>
      <c r="QYL25" s="89"/>
      <c r="QYM25" s="89"/>
      <c r="QYN25" s="89"/>
      <c r="QYO25" s="89"/>
      <c r="QYP25" s="89"/>
      <c r="QYQ25" s="89"/>
      <c r="QYR25" s="89"/>
      <c r="QYS25" s="89"/>
      <c r="QYT25" s="89"/>
      <c r="QYU25" s="89"/>
      <c r="QYV25" s="89"/>
      <c r="QYW25" s="89"/>
      <c r="QYX25" s="89"/>
      <c r="QYY25" s="89"/>
      <c r="QYZ25" s="89"/>
      <c r="QZA25" s="89"/>
      <c r="QZB25" s="89"/>
      <c r="QZC25" s="89"/>
      <c r="QZD25" s="89"/>
      <c r="QZE25" s="89"/>
      <c r="QZF25" s="89"/>
      <c r="QZG25" s="89"/>
      <c r="QZH25" s="89"/>
      <c r="QZI25" s="89"/>
      <c r="QZJ25" s="89"/>
      <c r="QZK25" s="89"/>
      <c r="QZL25" s="89"/>
      <c r="QZM25" s="89"/>
      <c r="QZN25" s="89"/>
      <c r="QZO25" s="89"/>
      <c r="QZP25" s="89"/>
      <c r="QZQ25" s="89"/>
      <c r="QZR25" s="89"/>
      <c r="QZS25" s="89"/>
      <c r="QZT25" s="89"/>
      <c r="QZU25" s="89"/>
      <c r="QZV25" s="89"/>
      <c r="QZW25" s="89"/>
      <c r="QZX25" s="89"/>
      <c r="QZY25" s="89"/>
      <c r="QZZ25" s="89"/>
      <c r="RAA25" s="89"/>
      <c r="RAB25" s="89"/>
      <c r="RAC25" s="89"/>
      <c r="RAD25" s="89"/>
      <c r="RAE25" s="89"/>
      <c r="RAF25" s="89"/>
      <c r="RAG25" s="89"/>
      <c r="RAH25" s="89"/>
      <c r="RAI25" s="89"/>
      <c r="RAJ25" s="89"/>
      <c r="RAK25" s="89"/>
      <c r="RAL25" s="89"/>
      <c r="RAM25" s="89"/>
      <c r="RAN25" s="89"/>
      <c r="RAO25" s="89"/>
      <c r="RAP25" s="89"/>
      <c r="RAQ25" s="89"/>
      <c r="RAR25" s="89"/>
      <c r="RAS25" s="89"/>
      <c r="RAT25" s="89"/>
      <c r="RAU25" s="89"/>
      <c r="RAV25" s="89"/>
      <c r="RAW25" s="89"/>
      <c r="RAX25" s="89"/>
      <c r="RAY25" s="89"/>
      <c r="RAZ25" s="89"/>
      <c r="RBA25" s="89"/>
      <c r="RBB25" s="89"/>
      <c r="RBC25" s="89"/>
      <c r="RBD25" s="89"/>
      <c r="RBE25" s="89"/>
      <c r="RBF25" s="89"/>
      <c r="RBG25" s="89"/>
      <c r="RBH25" s="89"/>
      <c r="RBI25" s="89"/>
      <c r="RBJ25" s="89"/>
      <c r="RBK25" s="89"/>
      <c r="RBL25" s="89"/>
      <c r="RBM25" s="89"/>
      <c r="RBN25" s="89"/>
      <c r="RBO25" s="89"/>
      <c r="RBP25" s="89"/>
      <c r="RBQ25" s="89"/>
      <c r="RBR25" s="89"/>
      <c r="RBS25" s="89"/>
      <c r="RBT25" s="89"/>
      <c r="RBU25" s="89"/>
      <c r="RBV25" s="89"/>
      <c r="RBW25" s="89"/>
      <c r="RBX25" s="89"/>
      <c r="RBY25" s="89"/>
      <c r="RBZ25" s="89"/>
      <c r="RCA25" s="89"/>
      <c r="RCB25" s="89"/>
      <c r="RCC25" s="89"/>
      <c r="RCD25" s="89"/>
      <c r="RCE25" s="89"/>
      <c r="RCF25" s="89"/>
      <c r="RCG25" s="89"/>
      <c r="RCH25" s="89"/>
      <c r="RCI25" s="89"/>
      <c r="RCJ25" s="89"/>
      <c r="RCK25" s="89"/>
      <c r="RCL25" s="89"/>
      <c r="RCM25" s="89"/>
      <c r="RCN25" s="89"/>
      <c r="RCO25" s="89"/>
      <c r="RCP25" s="89"/>
      <c r="RCQ25" s="89"/>
      <c r="RCR25" s="89"/>
      <c r="RCS25" s="89"/>
      <c r="RCT25" s="89"/>
      <c r="RCU25" s="89"/>
      <c r="RCV25" s="89"/>
      <c r="RCW25" s="89"/>
      <c r="RCX25" s="89"/>
      <c r="RCY25" s="89"/>
      <c r="RCZ25" s="89"/>
      <c r="RDA25" s="89"/>
      <c r="RDB25" s="89"/>
      <c r="RDC25" s="89"/>
      <c r="RDD25" s="89"/>
      <c r="RDE25" s="89"/>
      <c r="RDF25" s="89"/>
      <c r="RDG25" s="89"/>
      <c r="RDH25" s="89"/>
      <c r="RDI25" s="89"/>
      <c r="RDJ25" s="89"/>
      <c r="RDK25" s="89"/>
      <c r="RDL25" s="89"/>
      <c r="RDM25" s="89"/>
      <c r="RDN25" s="89"/>
      <c r="RDO25" s="89"/>
      <c r="RDP25" s="89"/>
      <c r="RDQ25" s="89"/>
      <c r="RDR25" s="89"/>
      <c r="RDS25" s="89"/>
      <c r="RDT25" s="89"/>
      <c r="RDU25" s="89"/>
      <c r="RDV25" s="89"/>
      <c r="RDW25" s="89"/>
      <c r="RDX25" s="89"/>
      <c r="RDY25" s="89"/>
      <c r="RDZ25" s="89"/>
      <c r="REA25" s="89"/>
      <c r="REB25" s="89"/>
      <c r="REC25" s="89"/>
      <c r="RED25" s="89"/>
      <c r="REE25" s="89"/>
      <c r="REF25" s="89"/>
      <c r="REG25" s="89"/>
      <c r="REH25" s="89"/>
      <c r="REI25" s="89"/>
      <c r="REJ25" s="89"/>
      <c r="REK25" s="89"/>
      <c r="REL25" s="89"/>
      <c r="REM25" s="89"/>
      <c r="REN25" s="89"/>
      <c r="REO25" s="89"/>
      <c r="REP25" s="89"/>
      <c r="REQ25" s="89"/>
      <c r="RER25" s="89"/>
      <c r="RES25" s="89"/>
      <c r="RET25" s="89"/>
      <c r="REU25" s="89"/>
      <c r="REV25" s="89"/>
      <c r="REW25" s="89"/>
      <c r="REX25" s="89"/>
      <c r="REY25" s="89"/>
      <c r="REZ25" s="89"/>
      <c r="RFA25" s="89"/>
      <c r="RFB25" s="89"/>
      <c r="RFC25" s="89"/>
      <c r="RFD25" s="89"/>
      <c r="RFE25" s="89"/>
      <c r="RFF25" s="89"/>
      <c r="RFG25" s="89"/>
      <c r="RFH25" s="89"/>
      <c r="RFI25" s="89"/>
      <c r="RFJ25" s="89"/>
      <c r="RFK25" s="89"/>
      <c r="RFL25" s="89"/>
      <c r="RFM25" s="89"/>
      <c r="RFN25" s="89"/>
      <c r="RFO25" s="89"/>
      <c r="RFP25" s="89"/>
      <c r="RFQ25" s="89"/>
      <c r="RFR25" s="89"/>
      <c r="RFS25" s="89"/>
      <c r="RFT25" s="89"/>
      <c r="RFU25" s="89"/>
      <c r="RFV25" s="89"/>
      <c r="RFW25" s="89"/>
      <c r="RFX25" s="89"/>
      <c r="RFY25" s="89"/>
      <c r="RFZ25" s="89"/>
      <c r="RGA25" s="89"/>
      <c r="RGB25" s="89"/>
      <c r="RGC25" s="89"/>
      <c r="RGD25" s="89"/>
      <c r="RGE25" s="89"/>
      <c r="RGF25" s="89"/>
      <c r="RGG25" s="89"/>
      <c r="RGH25" s="89"/>
      <c r="RGI25" s="89"/>
      <c r="RGJ25" s="89"/>
      <c r="RGK25" s="89"/>
      <c r="RGL25" s="89"/>
      <c r="RGM25" s="89"/>
      <c r="RGN25" s="89"/>
      <c r="RGO25" s="89"/>
      <c r="RGP25" s="89"/>
      <c r="RGQ25" s="89"/>
      <c r="RGR25" s="89"/>
      <c r="RGS25" s="89"/>
      <c r="RGT25" s="89"/>
      <c r="RGU25" s="89"/>
      <c r="RGV25" s="89"/>
      <c r="RGW25" s="89"/>
      <c r="RGX25" s="89"/>
      <c r="RGY25" s="89"/>
      <c r="RGZ25" s="89"/>
      <c r="RHA25" s="89"/>
      <c r="RHB25" s="89"/>
      <c r="RHC25" s="89"/>
      <c r="RHD25" s="89"/>
      <c r="RHE25" s="89"/>
      <c r="RHF25" s="89"/>
      <c r="RHG25" s="89"/>
      <c r="RHH25" s="89"/>
      <c r="RHI25" s="89"/>
      <c r="RHJ25" s="89"/>
      <c r="RHK25" s="89"/>
      <c r="RHL25" s="89"/>
      <c r="RHM25" s="89"/>
      <c r="RHN25" s="89"/>
      <c r="RHO25" s="89"/>
      <c r="RHP25" s="89"/>
      <c r="RHQ25" s="89"/>
      <c r="RHR25" s="89"/>
      <c r="RHS25" s="89"/>
      <c r="RHT25" s="89"/>
      <c r="RHU25" s="89"/>
      <c r="RHV25" s="89"/>
      <c r="RHW25" s="89"/>
      <c r="RHX25" s="89"/>
      <c r="RHY25" s="89"/>
      <c r="RHZ25" s="89"/>
      <c r="RIA25" s="89"/>
      <c r="RIB25" s="89"/>
      <c r="RIC25" s="89"/>
      <c r="RID25" s="89"/>
      <c r="RIE25" s="89"/>
      <c r="RIF25" s="89"/>
      <c r="RIG25" s="89"/>
      <c r="RIH25" s="89"/>
      <c r="RII25" s="89"/>
      <c r="RIJ25" s="89"/>
      <c r="RIK25" s="89"/>
      <c r="RIL25" s="89"/>
      <c r="RIM25" s="89"/>
      <c r="RIN25" s="89"/>
      <c r="RIO25" s="89"/>
      <c r="RIP25" s="89"/>
      <c r="RIQ25" s="89"/>
      <c r="RIR25" s="89"/>
      <c r="RIS25" s="89"/>
      <c r="RIT25" s="89"/>
      <c r="RIU25" s="89"/>
      <c r="RIV25" s="89"/>
      <c r="RIW25" s="89"/>
      <c r="RIX25" s="89"/>
      <c r="RIY25" s="89"/>
      <c r="RIZ25" s="89"/>
      <c r="RJA25" s="89"/>
      <c r="RJB25" s="89"/>
      <c r="RJC25" s="89"/>
      <c r="RJD25" s="89"/>
      <c r="RJE25" s="89"/>
      <c r="RJF25" s="89"/>
      <c r="RJG25" s="89"/>
      <c r="RJH25" s="89"/>
      <c r="RJI25" s="89"/>
      <c r="RJJ25" s="89"/>
      <c r="RJK25" s="89"/>
      <c r="RJL25" s="89"/>
      <c r="RJM25" s="89"/>
      <c r="RJN25" s="89"/>
      <c r="RJO25" s="89"/>
      <c r="RJP25" s="89"/>
      <c r="RJQ25" s="89"/>
      <c r="RJR25" s="89"/>
      <c r="RJS25" s="89"/>
      <c r="RJT25" s="89"/>
      <c r="RJU25" s="89"/>
      <c r="RJV25" s="89"/>
      <c r="RJW25" s="89"/>
      <c r="RJX25" s="89"/>
      <c r="RJY25" s="89"/>
      <c r="RJZ25" s="89"/>
      <c r="RKA25" s="89"/>
      <c r="RKB25" s="89"/>
      <c r="RKC25" s="89"/>
      <c r="RKD25" s="89"/>
      <c r="RKE25" s="89"/>
      <c r="RKF25" s="89"/>
      <c r="RKG25" s="89"/>
      <c r="RKH25" s="89"/>
      <c r="RKI25" s="89"/>
      <c r="RKJ25" s="89"/>
      <c r="RKK25" s="89"/>
      <c r="RKL25" s="89"/>
      <c r="RKM25" s="89"/>
      <c r="RKN25" s="89"/>
      <c r="RKO25" s="89"/>
      <c r="RKP25" s="89"/>
      <c r="RKQ25" s="89"/>
      <c r="RKR25" s="89"/>
      <c r="RKS25" s="89"/>
      <c r="RKT25" s="89"/>
      <c r="RKU25" s="89"/>
      <c r="RKV25" s="89"/>
      <c r="RKW25" s="89"/>
      <c r="RKX25" s="89"/>
      <c r="RKY25" s="89"/>
      <c r="RKZ25" s="89"/>
      <c r="RLA25" s="89"/>
      <c r="RLB25" s="89"/>
      <c r="RLC25" s="89"/>
      <c r="RLD25" s="89"/>
      <c r="RLE25" s="89"/>
      <c r="RLF25" s="89"/>
      <c r="RLG25" s="89"/>
      <c r="RLH25" s="89"/>
      <c r="RLI25" s="89"/>
      <c r="RLJ25" s="89"/>
      <c r="RLK25" s="89"/>
      <c r="RLL25" s="89"/>
      <c r="RLM25" s="89"/>
      <c r="RLN25" s="89"/>
      <c r="RLO25" s="89"/>
      <c r="RLP25" s="89"/>
      <c r="RLQ25" s="89"/>
      <c r="RLR25" s="89"/>
      <c r="RLS25" s="89"/>
      <c r="RLT25" s="89"/>
      <c r="RLU25" s="89"/>
      <c r="RLV25" s="89"/>
      <c r="RLW25" s="89"/>
      <c r="RLX25" s="89"/>
      <c r="RLY25" s="89"/>
      <c r="RLZ25" s="89"/>
      <c r="RMA25" s="89"/>
      <c r="RMB25" s="89"/>
      <c r="RMC25" s="89"/>
      <c r="RMD25" s="89"/>
      <c r="RME25" s="89"/>
      <c r="RMF25" s="89"/>
      <c r="RMG25" s="89"/>
      <c r="RMH25" s="89"/>
      <c r="RMI25" s="89"/>
      <c r="RMJ25" s="89"/>
      <c r="RMK25" s="89"/>
      <c r="RML25" s="89"/>
      <c r="RMM25" s="89"/>
      <c r="RMN25" s="89"/>
      <c r="RMO25" s="89"/>
      <c r="RMP25" s="89"/>
      <c r="RMQ25" s="89"/>
      <c r="RMR25" s="89"/>
      <c r="RMS25" s="89"/>
      <c r="RMT25" s="89"/>
      <c r="RMU25" s="89"/>
      <c r="RMV25" s="89"/>
      <c r="RMW25" s="89"/>
      <c r="RMX25" s="89"/>
      <c r="RMY25" s="89"/>
      <c r="RMZ25" s="89"/>
      <c r="RNA25" s="89"/>
      <c r="RNB25" s="89"/>
      <c r="RNC25" s="89"/>
      <c r="RND25" s="89"/>
      <c r="RNE25" s="89"/>
      <c r="RNF25" s="89"/>
      <c r="RNG25" s="89"/>
      <c r="RNH25" s="89"/>
      <c r="RNI25" s="89"/>
      <c r="RNJ25" s="89"/>
      <c r="RNK25" s="89"/>
      <c r="RNL25" s="89"/>
      <c r="RNM25" s="89"/>
      <c r="RNN25" s="89"/>
      <c r="RNO25" s="89"/>
      <c r="RNP25" s="89"/>
      <c r="RNQ25" s="89"/>
      <c r="RNR25" s="89"/>
      <c r="RNS25" s="89"/>
      <c r="RNT25" s="89"/>
      <c r="RNU25" s="89"/>
      <c r="RNV25" s="89"/>
      <c r="RNW25" s="89"/>
      <c r="RNX25" s="89"/>
      <c r="RNY25" s="89"/>
      <c r="RNZ25" s="89"/>
      <c r="ROA25" s="89"/>
      <c r="ROB25" s="89"/>
      <c r="ROC25" s="89"/>
      <c r="ROD25" s="89"/>
      <c r="ROE25" s="89"/>
      <c r="ROF25" s="89"/>
      <c r="ROG25" s="89"/>
      <c r="ROH25" s="89"/>
      <c r="ROI25" s="89"/>
      <c r="ROJ25" s="89"/>
      <c r="ROK25" s="89"/>
      <c r="ROL25" s="89"/>
      <c r="ROM25" s="89"/>
      <c r="RON25" s="89"/>
      <c r="ROO25" s="89"/>
      <c r="ROP25" s="89"/>
      <c r="ROQ25" s="89"/>
      <c r="ROR25" s="89"/>
      <c r="ROS25" s="89"/>
      <c r="ROT25" s="89"/>
      <c r="ROU25" s="89"/>
      <c r="ROV25" s="89"/>
      <c r="ROW25" s="89"/>
      <c r="ROX25" s="89"/>
      <c r="ROY25" s="89"/>
      <c r="ROZ25" s="89"/>
      <c r="RPA25" s="89"/>
      <c r="RPB25" s="89"/>
      <c r="RPC25" s="89"/>
      <c r="RPD25" s="89"/>
      <c r="RPE25" s="89"/>
      <c r="RPF25" s="89"/>
      <c r="RPG25" s="89"/>
      <c r="RPH25" s="89"/>
      <c r="RPI25" s="89"/>
      <c r="RPJ25" s="89"/>
      <c r="RPK25" s="89"/>
      <c r="RPL25" s="89"/>
      <c r="RPM25" s="89"/>
      <c r="RPN25" s="89"/>
      <c r="RPO25" s="89"/>
      <c r="RPP25" s="89"/>
      <c r="RPQ25" s="89"/>
      <c r="RPR25" s="89"/>
      <c r="RPS25" s="89"/>
      <c r="RPT25" s="89"/>
      <c r="RPU25" s="89"/>
      <c r="RPV25" s="89"/>
      <c r="RPW25" s="89"/>
      <c r="RPX25" s="89"/>
      <c r="RPY25" s="89"/>
      <c r="RPZ25" s="89"/>
      <c r="RQA25" s="89"/>
      <c r="RQB25" s="89"/>
      <c r="RQC25" s="89"/>
      <c r="RQD25" s="89"/>
      <c r="RQE25" s="89"/>
      <c r="RQF25" s="89"/>
      <c r="RQG25" s="89"/>
      <c r="RQH25" s="89"/>
      <c r="RQI25" s="89"/>
      <c r="RQJ25" s="89"/>
      <c r="RQK25" s="89"/>
      <c r="RQL25" s="89"/>
      <c r="RQM25" s="89"/>
      <c r="RQN25" s="89"/>
      <c r="RQO25" s="89"/>
      <c r="RQP25" s="89"/>
      <c r="RQQ25" s="89"/>
      <c r="RQR25" s="89"/>
      <c r="RQS25" s="89"/>
      <c r="RQT25" s="89"/>
      <c r="RQU25" s="89"/>
      <c r="RQV25" s="89"/>
      <c r="RQW25" s="89"/>
      <c r="RQX25" s="89"/>
      <c r="RQY25" s="89"/>
      <c r="RQZ25" s="89"/>
      <c r="RRA25" s="89"/>
      <c r="RRB25" s="89"/>
      <c r="RRC25" s="89"/>
      <c r="RRD25" s="89"/>
      <c r="RRE25" s="89"/>
      <c r="RRF25" s="89"/>
      <c r="RRG25" s="89"/>
      <c r="RRH25" s="89"/>
      <c r="RRI25" s="89"/>
      <c r="RRJ25" s="89"/>
      <c r="RRK25" s="89"/>
      <c r="RRL25" s="89"/>
      <c r="RRM25" s="89"/>
      <c r="RRN25" s="89"/>
      <c r="RRO25" s="89"/>
      <c r="RRP25" s="89"/>
      <c r="RRQ25" s="89"/>
      <c r="RRR25" s="89"/>
      <c r="RRS25" s="89"/>
      <c r="RRT25" s="89"/>
      <c r="RRU25" s="89"/>
      <c r="RRV25" s="89"/>
      <c r="RRW25" s="89"/>
      <c r="RRX25" s="89"/>
      <c r="RRY25" s="89"/>
      <c r="RRZ25" s="89"/>
      <c r="RSA25" s="89"/>
      <c r="RSB25" s="89"/>
      <c r="RSC25" s="89"/>
      <c r="RSD25" s="89"/>
      <c r="RSE25" s="89"/>
      <c r="RSF25" s="89"/>
      <c r="RSG25" s="89"/>
      <c r="RSH25" s="89"/>
      <c r="RSI25" s="89"/>
      <c r="RSJ25" s="89"/>
      <c r="RSK25" s="89"/>
      <c r="RSL25" s="89"/>
      <c r="RSM25" s="89"/>
      <c r="RSN25" s="89"/>
      <c r="RSO25" s="89"/>
      <c r="RSP25" s="89"/>
      <c r="RSQ25" s="89"/>
      <c r="RSR25" s="89"/>
      <c r="RSS25" s="89"/>
      <c r="RST25" s="89"/>
      <c r="RSU25" s="89"/>
      <c r="RSV25" s="89"/>
      <c r="RSW25" s="89"/>
      <c r="RSX25" s="89"/>
      <c r="RSY25" s="89"/>
      <c r="RSZ25" s="89"/>
      <c r="RTA25" s="89"/>
      <c r="RTB25" s="89"/>
      <c r="RTC25" s="89"/>
      <c r="RTD25" s="89"/>
      <c r="RTE25" s="89"/>
      <c r="RTF25" s="89"/>
      <c r="RTG25" s="89"/>
      <c r="RTH25" s="89"/>
      <c r="RTI25" s="89"/>
      <c r="RTJ25" s="89"/>
      <c r="RTK25" s="89"/>
      <c r="RTL25" s="89"/>
      <c r="RTM25" s="89"/>
      <c r="RTN25" s="89"/>
      <c r="RTO25" s="89"/>
      <c r="RTP25" s="89"/>
      <c r="RTQ25" s="89"/>
      <c r="RTR25" s="89"/>
      <c r="RTS25" s="89"/>
      <c r="RTT25" s="89"/>
      <c r="RTU25" s="89"/>
      <c r="RTV25" s="89"/>
      <c r="RTW25" s="89"/>
      <c r="RTX25" s="89"/>
      <c r="RTY25" s="89"/>
      <c r="RTZ25" s="89"/>
      <c r="RUA25" s="89"/>
      <c r="RUB25" s="89"/>
      <c r="RUC25" s="89"/>
      <c r="RUD25" s="89"/>
      <c r="RUE25" s="89"/>
      <c r="RUF25" s="89"/>
      <c r="RUG25" s="89"/>
      <c r="RUH25" s="89"/>
      <c r="RUI25" s="89"/>
      <c r="RUJ25" s="89"/>
      <c r="RUK25" s="89"/>
      <c r="RUL25" s="89"/>
      <c r="RUM25" s="89"/>
      <c r="RUN25" s="89"/>
      <c r="RUO25" s="89"/>
      <c r="RUP25" s="89"/>
      <c r="RUQ25" s="89"/>
      <c r="RUR25" s="89"/>
      <c r="RUS25" s="89"/>
      <c r="RUT25" s="89"/>
      <c r="RUU25" s="89"/>
      <c r="RUV25" s="89"/>
      <c r="RUW25" s="89"/>
      <c r="RUX25" s="89"/>
      <c r="RUY25" s="89"/>
      <c r="RUZ25" s="89"/>
      <c r="RVA25" s="89"/>
      <c r="RVB25" s="89"/>
      <c r="RVC25" s="89"/>
      <c r="RVD25" s="89"/>
      <c r="RVE25" s="89"/>
      <c r="RVF25" s="89"/>
      <c r="RVG25" s="89"/>
      <c r="RVH25" s="89"/>
      <c r="RVI25" s="89"/>
      <c r="RVJ25" s="89"/>
      <c r="RVK25" s="89"/>
      <c r="RVL25" s="89"/>
      <c r="RVM25" s="89"/>
      <c r="RVN25" s="89"/>
      <c r="RVO25" s="89"/>
      <c r="RVP25" s="89"/>
      <c r="RVQ25" s="89"/>
      <c r="RVR25" s="89"/>
      <c r="RVS25" s="89"/>
      <c r="RVT25" s="89"/>
      <c r="RVU25" s="89"/>
      <c r="RVV25" s="89"/>
      <c r="RVW25" s="89"/>
      <c r="RVX25" s="89"/>
      <c r="RVY25" s="89"/>
      <c r="RVZ25" s="89"/>
      <c r="RWA25" s="89"/>
      <c r="RWB25" s="89"/>
      <c r="RWC25" s="89"/>
      <c r="RWD25" s="89"/>
      <c r="RWE25" s="89"/>
      <c r="RWF25" s="89"/>
      <c r="RWG25" s="89"/>
      <c r="RWH25" s="89"/>
      <c r="RWI25" s="89"/>
      <c r="RWJ25" s="89"/>
      <c r="RWK25" s="89"/>
      <c r="RWL25" s="89"/>
      <c r="RWM25" s="89"/>
      <c r="RWN25" s="89"/>
      <c r="RWO25" s="89"/>
      <c r="RWP25" s="89"/>
      <c r="RWQ25" s="89"/>
      <c r="RWR25" s="89"/>
      <c r="RWS25" s="89"/>
      <c r="RWT25" s="89"/>
      <c r="RWU25" s="89"/>
      <c r="RWV25" s="89"/>
      <c r="RWW25" s="89"/>
      <c r="RWX25" s="89"/>
      <c r="RWY25" s="89"/>
      <c r="RWZ25" s="89"/>
      <c r="RXA25" s="89"/>
      <c r="RXB25" s="89"/>
      <c r="RXC25" s="89"/>
      <c r="RXD25" s="89"/>
      <c r="RXE25" s="89"/>
      <c r="RXF25" s="89"/>
      <c r="RXG25" s="89"/>
      <c r="RXH25" s="89"/>
      <c r="RXI25" s="89"/>
      <c r="RXJ25" s="89"/>
      <c r="RXK25" s="89"/>
      <c r="RXL25" s="89"/>
      <c r="RXM25" s="89"/>
      <c r="RXN25" s="89"/>
      <c r="RXO25" s="89"/>
      <c r="RXP25" s="89"/>
      <c r="RXQ25" s="89"/>
      <c r="RXR25" s="89"/>
      <c r="RXS25" s="89"/>
      <c r="RXT25" s="89"/>
      <c r="RXU25" s="89"/>
      <c r="RXV25" s="89"/>
      <c r="RXW25" s="89"/>
      <c r="RXX25" s="89"/>
      <c r="RXY25" s="89"/>
      <c r="RXZ25" s="89"/>
      <c r="RYA25" s="89"/>
      <c r="RYB25" s="89"/>
      <c r="RYC25" s="89"/>
      <c r="RYD25" s="89"/>
      <c r="RYE25" s="89"/>
      <c r="RYF25" s="89"/>
      <c r="RYG25" s="89"/>
      <c r="RYH25" s="89"/>
      <c r="RYI25" s="89"/>
      <c r="RYJ25" s="89"/>
      <c r="RYK25" s="89"/>
      <c r="RYL25" s="89"/>
      <c r="RYM25" s="89"/>
      <c r="RYN25" s="89"/>
      <c r="RYO25" s="89"/>
      <c r="RYP25" s="89"/>
      <c r="RYQ25" s="89"/>
      <c r="RYR25" s="89"/>
      <c r="RYS25" s="89"/>
      <c r="RYT25" s="89"/>
      <c r="RYU25" s="89"/>
      <c r="RYV25" s="89"/>
      <c r="RYW25" s="89"/>
      <c r="RYX25" s="89"/>
      <c r="RYY25" s="89"/>
      <c r="RYZ25" s="89"/>
      <c r="RZA25" s="89"/>
      <c r="RZB25" s="89"/>
      <c r="RZC25" s="89"/>
      <c r="RZD25" s="89"/>
      <c r="RZE25" s="89"/>
      <c r="RZF25" s="89"/>
      <c r="RZG25" s="89"/>
      <c r="RZH25" s="89"/>
      <c r="RZI25" s="89"/>
      <c r="RZJ25" s="89"/>
      <c r="RZK25" s="89"/>
      <c r="RZL25" s="89"/>
      <c r="RZM25" s="89"/>
      <c r="RZN25" s="89"/>
      <c r="RZO25" s="89"/>
      <c r="RZP25" s="89"/>
      <c r="RZQ25" s="89"/>
      <c r="RZR25" s="89"/>
      <c r="RZS25" s="89"/>
      <c r="RZT25" s="89"/>
      <c r="RZU25" s="89"/>
      <c r="RZV25" s="89"/>
      <c r="RZW25" s="89"/>
      <c r="RZX25" s="89"/>
      <c r="RZY25" s="89"/>
      <c r="RZZ25" s="89"/>
      <c r="SAA25" s="89"/>
      <c r="SAB25" s="89"/>
      <c r="SAC25" s="89"/>
      <c r="SAD25" s="89"/>
      <c r="SAE25" s="89"/>
      <c r="SAF25" s="89"/>
      <c r="SAG25" s="89"/>
      <c r="SAH25" s="89"/>
      <c r="SAI25" s="89"/>
      <c r="SAJ25" s="89"/>
      <c r="SAK25" s="89"/>
      <c r="SAL25" s="89"/>
      <c r="SAM25" s="89"/>
      <c r="SAN25" s="89"/>
      <c r="SAO25" s="89"/>
      <c r="SAP25" s="89"/>
      <c r="SAQ25" s="89"/>
      <c r="SAR25" s="89"/>
      <c r="SAS25" s="89"/>
      <c r="SAT25" s="89"/>
      <c r="SAU25" s="89"/>
      <c r="SAV25" s="89"/>
      <c r="SAW25" s="89"/>
      <c r="SAX25" s="89"/>
      <c r="SAY25" s="89"/>
      <c r="SAZ25" s="89"/>
      <c r="SBA25" s="89"/>
      <c r="SBB25" s="89"/>
      <c r="SBC25" s="89"/>
      <c r="SBD25" s="89"/>
      <c r="SBE25" s="89"/>
      <c r="SBF25" s="89"/>
      <c r="SBG25" s="89"/>
      <c r="SBH25" s="89"/>
      <c r="SBI25" s="89"/>
      <c r="SBJ25" s="89"/>
      <c r="SBK25" s="89"/>
      <c r="SBL25" s="89"/>
      <c r="SBM25" s="89"/>
      <c r="SBN25" s="89"/>
      <c r="SBO25" s="89"/>
      <c r="SBP25" s="89"/>
      <c r="SBQ25" s="89"/>
      <c r="SBR25" s="89"/>
      <c r="SBS25" s="89"/>
      <c r="SBT25" s="89"/>
      <c r="SBU25" s="89"/>
      <c r="SBV25" s="89"/>
      <c r="SBW25" s="89"/>
      <c r="SBX25" s="89"/>
      <c r="SBY25" s="89"/>
      <c r="SBZ25" s="89"/>
      <c r="SCA25" s="89"/>
      <c r="SCB25" s="89"/>
      <c r="SCC25" s="89"/>
      <c r="SCD25" s="89"/>
      <c r="SCE25" s="89"/>
      <c r="SCF25" s="89"/>
      <c r="SCG25" s="89"/>
      <c r="SCH25" s="89"/>
      <c r="SCI25" s="89"/>
      <c r="SCJ25" s="89"/>
      <c r="SCK25" s="89"/>
      <c r="SCL25" s="89"/>
      <c r="SCM25" s="89"/>
      <c r="SCN25" s="89"/>
      <c r="SCO25" s="89"/>
      <c r="SCP25" s="89"/>
      <c r="SCQ25" s="89"/>
      <c r="SCR25" s="89"/>
      <c r="SCS25" s="89"/>
      <c r="SCT25" s="89"/>
      <c r="SCU25" s="89"/>
      <c r="SCV25" s="89"/>
      <c r="SCW25" s="89"/>
      <c r="SCX25" s="89"/>
      <c r="SCY25" s="89"/>
      <c r="SCZ25" s="89"/>
      <c r="SDA25" s="89"/>
      <c r="SDB25" s="89"/>
      <c r="SDC25" s="89"/>
      <c r="SDD25" s="89"/>
      <c r="SDE25" s="89"/>
      <c r="SDF25" s="89"/>
      <c r="SDG25" s="89"/>
      <c r="SDH25" s="89"/>
      <c r="SDI25" s="89"/>
      <c r="SDJ25" s="89"/>
      <c r="SDK25" s="89"/>
      <c r="SDL25" s="89"/>
      <c r="SDM25" s="89"/>
      <c r="SDN25" s="89"/>
      <c r="SDO25" s="89"/>
      <c r="SDP25" s="89"/>
      <c r="SDQ25" s="89"/>
      <c r="SDR25" s="89"/>
      <c r="SDS25" s="89"/>
      <c r="SDT25" s="89"/>
      <c r="SDU25" s="89"/>
      <c r="SDV25" s="89"/>
      <c r="SDW25" s="89"/>
      <c r="SDX25" s="89"/>
      <c r="SDY25" s="89"/>
      <c r="SDZ25" s="89"/>
      <c r="SEA25" s="89"/>
      <c r="SEB25" s="89"/>
      <c r="SEC25" s="89"/>
      <c r="SED25" s="89"/>
      <c r="SEE25" s="89"/>
      <c r="SEF25" s="89"/>
      <c r="SEG25" s="89"/>
      <c r="SEH25" s="89"/>
      <c r="SEI25" s="89"/>
      <c r="SEJ25" s="89"/>
      <c r="SEK25" s="89"/>
      <c r="SEL25" s="89"/>
      <c r="SEM25" s="89"/>
      <c r="SEN25" s="89"/>
      <c r="SEO25" s="89"/>
      <c r="SEP25" s="89"/>
      <c r="SEQ25" s="89"/>
      <c r="SER25" s="89"/>
      <c r="SES25" s="89"/>
      <c r="SET25" s="89"/>
      <c r="SEU25" s="89"/>
      <c r="SEV25" s="89"/>
      <c r="SEW25" s="89"/>
      <c r="SEX25" s="89"/>
      <c r="SEY25" s="89"/>
      <c r="SEZ25" s="89"/>
      <c r="SFA25" s="89"/>
      <c r="SFB25" s="89"/>
      <c r="SFC25" s="89"/>
      <c r="SFD25" s="89"/>
      <c r="SFE25" s="89"/>
      <c r="SFF25" s="89"/>
      <c r="SFG25" s="89"/>
      <c r="SFH25" s="89"/>
      <c r="SFI25" s="89"/>
      <c r="SFJ25" s="89"/>
      <c r="SFK25" s="89"/>
      <c r="SFL25" s="89"/>
      <c r="SFM25" s="89"/>
      <c r="SFN25" s="89"/>
      <c r="SFO25" s="89"/>
      <c r="SFP25" s="89"/>
      <c r="SFQ25" s="89"/>
      <c r="SFR25" s="89"/>
      <c r="SFS25" s="89"/>
      <c r="SFT25" s="89"/>
      <c r="SFU25" s="89"/>
      <c r="SFV25" s="89"/>
      <c r="SFW25" s="89"/>
      <c r="SFX25" s="89"/>
      <c r="SFY25" s="89"/>
      <c r="SFZ25" s="89"/>
      <c r="SGA25" s="89"/>
      <c r="SGB25" s="89"/>
      <c r="SGC25" s="89"/>
      <c r="SGD25" s="89"/>
      <c r="SGE25" s="89"/>
      <c r="SGF25" s="89"/>
      <c r="SGG25" s="89"/>
      <c r="SGH25" s="89"/>
      <c r="SGI25" s="89"/>
      <c r="SGJ25" s="89"/>
      <c r="SGK25" s="89"/>
      <c r="SGL25" s="89"/>
      <c r="SGM25" s="89"/>
      <c r="SGN25" s="89"/>
      <c r="SGO25" s="89"/>
      <c r="SGP25" s="89"/>
      <c r="SGQ25" s="89"/>
      <c r="SGR25" s="89"/>
      <c r="SGS25" s="89"/>
      <c r="SGT25" s="89"/>
      <c r="SGU25" s="89"/>
      <c r="SGV25" s="89"/>
      <c r="SGW25" s="89"/>
      <c r="SGX25" s="89"/>
      <c r="SGY25" s="89"/>
      <c r="SGZ25" s="89"/>
      <c r="SHA25" s="89"/>
      <c r="SHB25" s="89"/>
      <c r="SHC25" s="89"/>
      <c r="SHD25" s="89"/>
      <c r="SHE25" s="89"/>
      <c r="SHF25" s="89"/>
      <c r="SHG25" s="89"/>
      <c r="SHH25" s="89"/>
      <c r="SHI25" s="89"/>
      <c r="SHJ25" s="89"/>
      <c r="SHK25" s="89"/>
      <c r="SHL25" s="89"/>
      <c r="SHM25" s="89"/>
      <c r="SHN25" s="89"/>
      <c r="SHO25" s="89"/>
      <c r="SHP25" s="89"/>
      <c r="SHQ25" s="89"/>
      <c r="SHR25" s="89"/>
      <c r="SHS25" s="89"/>
      <c r="SHT25" s="89"/>
      <c r="SHU25" s="89"/>
      <c r="SHV25" s="89"/>
      <c r="SHW25" s="89"/>
      <c r="SHX25" s="89"/>
      <c r="SHY25" s="89"/>
      <c r="SHZ25" s="89"/>
      <c r="SIA25" s="89"/>
      <c r="SIB25" s="89"/>
      <c r="SIC25" s="89"/>
      <c r="SID25" s="89"/>
      <c r="SIE25" s="89"/>
      <c r="SIF25" s="89"/>
      <c r="SIG25" s="89"/>
      <c r="SIH25" s="89"/>
      <c r="SII25" s="89"/>
      <c r="SIJ25" s="89"/>
      <c r="SIK25" s="89"/>
      <c r="SIL25" s="89"/>
      <c r="SIM25" s="89"/>
      <c r="SIN25" s="89"/>
      <c r="SIO25" s="89"/>
      <c r="SIP25" s="89"/>
      <c r="SIQ25" s="89"/>
      <c r="SIR25" s="89"/>
      <c r="SIS25" s="89"/>
      <c r="SIT25" s="89"/>
      <c r="SIU25" s="89"/>
      <c r="SIV25" s="89"/>
      <c r="SIW25" s="89"/>
      <c r="SIX25" s="89"/>
      <c r="SIY25" s="89"/>
      <c r="SIZ25" s="89"/>
      <c r="SJA25" s="89"/>
      <c r="SJB25" s="89"/>
      <c r="SJC25" s="89"/>
      <c r="SJD25" s="89"/>
      <c r="SJE25" s="89"/>
      <c r="SJF25" s="89"/>
      <c r="SJG25" s="89"/>
      <c r="SJH25" s="89"/>
      <c r="SJI25" s="89"/>
      <c r="SJJ25" s="89"/>
      <c r="SJK25" s="89"/>
      <c r="SJL25" s="89"/>
      <c r="SJM25" s="89"/>
      <c r="SJN25" s="89"/>
      <c r="SJO25" s="89"/>
      <c r="SJP25" s="89"/>
      <c r="SJQ25" s="89"/>
      <c r="SJR25" s="89"/>
      <c r="SJS25" s="89"/>
      <c r="SJT25" s="89"/>
      <c r="SJU25" s="89"/>
      <c r="SJV25" s="89"/>
      <c r="SJW25" s="89"/>
      <c r="SJX25" s="89"/>
      <c r="SJY25" s="89"/>
      <c r="SJZ25" s="89"/>
      <c r="SKA25" s="89"/>
      <c r="SKB25" s="89"/>
      <c r="SKC25" s="89"/>
      <c r="SKD25" s="89"/>
      <c r="SKE25" s="89"/>
      <c r="SKF25" s="89"/>
      <c r="SKG25" s="89"/>
      <c r="SKH25" s="89"/>
      <c r="SKI25" s="89"/>
      <c r="SKJ25" s="89"/>
      <c r="SKK25" s="89"/>
      <c r="SKL25" s="89"/>
      <c r="SKM25" s="89"/>
      <c r="SKN25" s="89"/>
      <c r="SKO25" s="89"/>
      <c r="SKP25" s="89"/>
      <c r="SKQ25" s="89"/>
      <c r="SKR25" s="89"/>
      <c r="SKS25" s="89"/>
      <c r="SKT25" s="89"/>
      <c r="SKU25" s="89"/>
      <c r="SKV25" s="89"/>
      <c r="SKW25" s="89"/>
      <c r="SKX25" s="89"/>
      <c r="SKY25" s="89"/>
      <c r="SKZ25" s="89"/>
      <c r="SLA25" s="89"/>
      <c r="SLB25" s="89"/>
      <c r="SLC25" s="89"/>
      <c r="SLD25" s="89"/>
      <c r="SLE25" s="89"/>
      <c r="SLF25" s="89"/>
      <c r="SLG25" s="89"/>
      <c r="SLH25" s="89"/>
      <c r="SLI25" s="89"/>
      <c r="SLJ25" s="89"/>
      <c r="SLK25" s="89"/>
      <c r="SLL25" s="89"/>
      <c r="SLM25" s="89"/>
      <c r="SLN25" s="89"/>
      <c r="SLO25" s="89"/>
      <c r="SLP25" s="89"/>
      <c r="SLQ25" s="89"/>
      <c r="SLR25" s="89"/>
      <c r="SLS25" s="89"/>
      <c r="SLT25" s="89"/>
      <c r="SLU25" s="89"/>
      <c r="SLV25" s="89"/>
      <c r="SLW25" s="89"/>
      <c r="SLX25" s="89"/>
      <c r="SLY25" s="89"/>
      <c r="SLZ25" s="89"/>
      <c r="SMA25" s="89"/>
      <c r="SMB25" s="89"/>
      <c r="SMC25" s="89"/>
      <c r="SMD25" s="89"/>
      <c r="SME25" s="89"/>
      <c r="SMF25" s="89"/>
      <c r="SMG25" s="89"/>
      <c r="SMH25" s="89"/>
      <c r="SMI25" s="89"/>
      <c r="SMJ25" s="89"/>
      <c r="SMK25" s="89"/>
      <c r="SML25" s="89"/>
      <c r="SMM25" s="89"/>
      <c r="SMN25" s="89"/>
      <c r="SMO25" s="89"/>
      <c r="SMP25" s="89"/>
      <c r="SMQ25" s="89"/>
      <c r="SMR25" s="89"/>
      <c r="SMS25" s="89"/>
      <c r="SMT25" s="89"/>
      <c r="SMU25" s="89"/>
      <c r="SMV25" s="89"/>
      <c r="SMW25" s="89"/>
      <c r="SMX25" s="89"/>
      <c r="SMY25" s="89"/>
      <c r="SMZ25" s="89"/>
      <c r="SNA25" s="89"/>
      <c r="SNB25" s="89"/>
      <c r="SNC25" s="89"/>
      <c r="SND25" s="89"/>
      <c r="SNE25" s="89"/>
      <c r="SNF25" s="89"/>
      <c r="SNG25" s="89"/>
      <c r="SNH25" s="89"/>
      <c r="SNI25" s="89"/>
      <c r="SNJ25" s="89"/>
      <c r="SNK25" s="89"/>
      <c r="SNL25" s="89"/>
      <c r="SNM25" s="89"/>
      <c r="SNN25" s="89"/>
      <c r="SNO25" s="89"/>
      <c r="SNP25" s="89"/>
      <c r="SNQ25" s="89"/>
      <c r="SNR25" s="89"/>
      <c r="SNS25" s="89"/>
      <c r="SNT25" s="89"/>
      <c r="SNU25" s="89"/>
      <c r="SNV25" s="89"/>
      <c r="SNW25" s="89"/>
      <c r="SNX25" s="89"/>
      <c r="SNY25" s="89"/>
      <c r="SNZ25" s="89"/>
      <c r="SOA25" s="89"/>
      <c r="SOB25" s="89"/>
      <c r="SOC25" s="89"/>
      <c r="SOD25" s="89"/>
      <c r="SOE25" s="89"/>
      <c r="SOF25" s="89"/>
      <c r="SOG25" s="89"/>
      <c r="SOH25" s="89"/>
      <c r="SOI25" s="89"/>
      <c r="SOJ25" s="89"/>
      <c r="SOK25" s="89"/>
      <c r="SOL25" s="89"/>
      <c r="SOM25" s="89"/>
      <c r="SON25" s="89"/>
      <c r="SOO25" s="89"/>
      <c r="SOP25" s="89"/>
      <c r="SOQ25" s="89"/>
      <c r="SOR25" s="89"/>
      <c r="SOS25" s="89"/>
      <c r="SOT25" s="89"/>
      <c r="SOU25" s="89"/>
      <c r="SOV25" s="89"/>
      <c r="SOW25" s="89"/>
      <c r="SOX25" s="89"/>
      <c r="SOY25" s="89"/>
      <c r="SOZ25" s="89"/>
      <c r="SPA25" s="89"/>
      <c r="SPB25" s="89"/>
      <c r="SPC25" s="89"/>
      <c r="SPD25" s="89"/>
      <c r="SPE25" s="89"/>
      <c r="SPF25" s="89"/>
      <c r="SPG25" s="89"/>
      <c r="SPH25" s="89"/>
      <c r="SPI25" s="89"/>
      <c r="SPJ25" s="89"/>
      <c r="SPK25" s="89"/>
      <c r="SPL25" s="89"/>
      <c r="SPM25" s="89"/>
      <c r="SPN25" s="89"/>
      <c r="SPO25" s="89"/>
      <c r="SPP25" s="89"/>
      <c r="SPQ25" s="89"/>
      <c r="SPR25" s="89"/>
      <c r="SPS25" s="89"/>
      <c r="SPT25" s="89"/>
      <c r="SPU25" s="89"/>
      <c r="SPV25" s="89"/>
      <c r="SPW25" s="89"/>
      <c r="SPX25" s="89"/>
      <c r="SPY25" s="89"/>
      <c r="SPZ25" s="89"/>
      <c r="SQA25" s="89"/>
      <c r="SQB25" s="89"/>
      <c r="SQC25" s="89"/>
      <c r="SQD25" s="89"/>
      <c r="SQE25" s="89"/>
      <c r="SQF25" s="89"/>
      <c r="SQG25" s="89"/>
      <c r="SQH25" s="89"/>
      <c r="SQI25" s="89"/>
      <c r="SQJ25" s="89"/>
      <c r="SQK25" s="89"/>
      <c r="SQL25" s="89"/>
      <c r="SQM25" s="89"/>
      <c r="SQN25" s="89"/>
      <c r="SQO25" s="89"/>
      <c r="SQP25" s="89"/>
      <c r="SQQ25" s="89"/>
      <c r="SQR25" s="89"/>
      <c r="SQS25" s="89"/>
      <c r="SQT25" s="89"/>
      <c r="SQU25" s="89"/>
      <c r="SQV25" s="89"/>
      <c r="SQW25" s="89"/>
      <c r="SQX25" s="89"/>
      <c r="SQY25" s="89"/>
      <c r="SQZ25" s="89"/>
      <c r="SRA25" s="89"/>
      <c r="SRB25" s="89"/>
      <c r="SRC25" s="89"/>
      <c r="SRD25" s="89"/>
      <c r="SRE25" s="89"/>
      <c r="SRF25" s="89"/>
      <c r="SRG25" s="89"/>
      <c r="SRH25" s="89"/>
      <c r="SRI25" s="89"/>
      <c r="SRJ25" s="89"/>
      <c r="SRK25" s="89"/>
      <c r="SRL25" s="89"/>
      <c r="SRM25" s="89"/>
      <c r="SRN25" s="89"/>
      <c r="SRO25" s="89"/>
      <c r="SRP25" s="89"/>
      <c r="SRQ25" s="89"/>
      <c r="SRR25" s="89"/>
      <c r="SRS25" s="89"/>
      <c r="SRT25" s="89"/>
      <c r="SRU25" s="89"/>
      <c r="SRV25" s="89"/>
      <c r="SRW25" s="89"/>
      <c r="SRX25" s="89"/>
      <c r="SRY25" s="89"/>
      <c r="SRZ25" s="89"/>
      <c r="SSA25" s="89"/>
      <c r="SSB25" s="89"/>
      <c r="SSC25" s="89"/>
      <c r="SSD25" s="89"/>
      <c r="SSE25" s="89"/>
      <c r="SSF25" s="89"/>
      <c r="SSG25" s="89"/>
      <c r="SSH25" s="89"/>
      <c r="SSI25" s="89"/>
      <c r="SSJ25" s="89"/>
      <c r="SSK25" s="89"/>
      <c r="SSL25" s="89"/>
      <c r="SSM25" s="89"/>
      <c r="SSN25" s="89"/>
      <c r="SSO25" s="89"/>
      <c r="SSP25" s="89"/>
      <c r="SSQ25" s="89"/>
      <c r="SSR25" s="89"/>
      <c r="SSS25" s="89"/>
      <c r="SST25" s="89"/>
      <c r="SSU25" s="89"/>
      <c r="SSV25" s="89"/>
      <c r="SSW25" s="89"/>
      <c r="SSX25" s="89"/>
      <c r="SSY25" s="89"/>
      <c r="SSZ25" s="89"/>
      <c r="STA25" s="89"/>
      <c r="STB25" s="89"/>
      <c r="STC25" s="89"/>
      <c r="STD25" s="89"/>
      <c r="STE25" s="89"/>
      <c r="STF25" s="89"/>
      <c r="STG25" s="89"/>
      <c r="STH25" s="89"/>
      <c r="STI25" s="89"/>
      <c r="STJ25" s="89"/>
      <c r="STK25" s="89"/>
      <c r="STL25" s="89"/>
      <c r="STM25" s="89"/>
      <c r="STN25" s="89"/>
      <c r="STO25" s="89"/>
      <c r="STP25" s="89"/>
      <c r="STQ25" s="89"/>
      <c r="STR25" s="89"/>
      <c r="STS25" s="89"/>
      <c r="STT25" s="89"/>
      <c r="STU25" s="89"/>
      <c r="STV25" s="89"/>
      <c r="STW25" s="89"/>
      <c r="STX25" s="89"/>
      <c r="STY25" s="89"/>
      <c r="STZ25" s="89"/>
      <c r="SUA25" s="89"/>
      <c r="SUB25" s="89"/>
      <c r="SUC25" s="89"/>
      <c r="SUD25" s="89"/>
      <c r="SUE25" s="89"/>
      <c r="SUF25" s="89"/>
      <c r="SUG25" s="89"/>
      <c r="SUH25" s="89"/>
      <c r="SUI25" s="89"/>
      <c r="SUJ25" s="89"/>
      <c r="SUK25" s="89"/>
      <c r="SUL25" s="89"/>
      <c r="SUM25" s="89"/>
      <c r="SUN25" s="89"/>
      <c r="SUO25" s="89"/>
      <c r="SUP25" s="89"/>
      <c r="SUQ25" s="89"/>
      <c r="SUR25" s="89"/>
      <c r="SUS25" s="89"/>
      <c r="SUT25" s="89"/>
      <c r="SUU25" s="89"/>
      <c r="SUV25" s="89"/>
      <c r="SUW25" s="89"/>
      <c r="SUX25" s="89"/>
      <c r="SUY25" s="89"/>
      <c r="SUZ25" s="89"/>
      <c r="SVA25" s="89"/>
      <c r="SVB25" s="89"/>
      <c r="SVC25" s="89"/>
      <c r="SVD25" s="89"/>
      <c r="SVE25" s="89"/>
      <c r="SVF25" s="89"/>
      <c r="SVG25" s="89"/>
      <c r="SVH25" s="89"/>
      <c r="SVI25" s="89"/>
      <c r="SVJ25" s="89"/>
      <c r="SVK25" s="89"/>
      <c r="SVL25" s="89"/>
      <c r="SVM25" s="89"/>
      <c r="SVN25" s="89"/>
      <c r="SVO25" s="89"/>
      <c r="SVP25" s="89"/>
      <c r="SVQ25" s="89"/>
      <c r="SVR25" s="89"/>
      <c r="SVS25" s="89"/>
      <c r="SVT25" s="89"/>
      <c r="SVU25" s="89"/>
      <c r="SVV25" s="89"/>
      <c r="SVW25" s="89"/>
      <c r="SVX25" s="89"/>
      <c r="SVY25" s="89"/>
      <c r="SVZ25" s="89"/>
      <c r="SWA25" s="89"/>
      <c r="SWB25" s="89"/>
      <c r="SWC25" s="89"/>
      <c r="SWD25" s="89"/>
      <c r="SWE25" s="89"/>
      <c r="SWF25" s="89"/>
      <c r="SWG25" s="89"/>
      <c r="SWH25" s="89"/>
      <c r="SWI25" s="89"/>
      <c r="SWJ25" s="89"/>
      <c r="SWK25" s="89"/>
      <c r="SWL25" s="89"/>
      <c r="SWM25" s="89"/>
      <c r="SWN25" s="89"/>
      <c r="SWO25" s="89"/>
      <c r="SWP25" s="89"/>
      <c r="SWQ25" s="89"/>
      <c r="SWR25" s="89"/>
      <c r="SWS25" s="89"/>
      <c r="SWT25" s="89"/>
      <c r="SWU25" s="89"/>
      <c r="SWV25" s="89"/>
      <c r="SWW25" s="89"/>
      <c r="SWX25" s="89"/>
      <c r="SWY25" s="89"/>
      <c r="SWZ25" s="89"/>
      <c r="SXA25" s="89"/>
      <c r="SXB25" s="89"/>
      <c r="SXC25" s="89"/>
      <c r="SXD25" s="89"/>
      <c r="SXE25" s="89"/>
      <c r="SXF25" s="89"/>
      <c r="SXG25" s="89"/>
      <c r="SXH25" s="89"/>
      <c r="SXI25" s="89"/>
      <c r="SXJ25" s="89"/>
      <c r="SXK25" s="89"/>
      <c r="SXL25" s="89"/>
      <c r="SXM25" s="89"/>
      <c r="SXN25" s="89"/>
      <c r="SXO25" s="89"/>
      <c r="SXP25" s="89"/>
      <c r="SXQ25" s="89"/>
      <c r="SXR25" s="89"/>
      <c r="SXS25" s="89"/>
      <c r="SXT25" s="89"/>
      <c r="SXU25" s="89"/>
      <c r="SXV25" s="89"/>
      <c r="SXW25" s="89"/>
      <c r="SXX25" s="89"/>
      <c r="SXY25" s="89"/>
      <c r="SXZ25" s="89"/>
      <c r="SYA25" s="89"/>
      <c r="SYB25" s="89"/>
      <c r="SYC25" s="89"/>
      <c r="SYD25" s="89"/>
      <c r="SYE25" s="89"/>
      <c r="SYF25" s="89"/>
      <c r="SYG25" s="89"/>
      <c r="SYH25" s="89"/>
      <c r="SYI25" s="89"/>
      <c r="SYJ25" s="89"/>
      <c r="SYK25" s="89"/>
      <c r="SYL25" s="89"/>
      <c r="SYM25" s="89"/>
      <c r="SYN25" s="89"/>
      <c r="SYO25" s="89"/>
      <c r="SYP25" s="89"/>
      <c r="SYQ25" s="89"/>
      <c r="SYR25" s="89"/>
      <c r="SYS25" s="89"/>
      <c r="SYT25" s="89"/>
      <c r="SYU25" s="89"/>
      <c r="SYV25" s="89"/>
      <c r="SYW25" s="89"/>
      <c r="SYX25" s="89"/>
      <c r="SYY25" s="89"/>
      <c r="SYZ25" s="89"/>
      <c r="SZA25" s="89"/>
      <c r="SZB25" s="89"/>
      <c r="SZC25" s="89"/>
      <c r="SZD25" s="89"/>
      <c r="SZE25" s="89"/>
      <c r="SZF25" s="89"/>
      <c r="SZG25" s="89"/>
      <c r="SZH25" s="89"/>
      <c r="SZI25" s="89"/>
      <c r="SZJ25" s="89"/>
      <c r="SZK25" s="89"/>
      <c r="SZL25" s="89"/>
      <c r="SZM25" s="89"/>
      <c r="SZN25" s="89"/>
      <c r="SZO25" s="89"/>
      <c r="SZP25" s="89"/>
      <c r="SZQ25" s="89"/>
      <c r="SZR25" s="89"/>
      <c r="SZS25" s="89"/>
      <c r="SZT25" s="89"/>
      <c r="SZU25" s="89"/>
      <c r="SZV25" s="89"/>
      <c r="SZW25" s="89"/>
      <c r="SZX25" s="89"/>
      <c r="SZY25" s="89"/>
      <c r="SZZ25" s="89"/>
      <c r="TAA25" s="89"/>
      <c r="TAB25" s="89"/>
      <c r="TAC25" s="89"/>
      <c r="TAD25" s="89"/>
      <c r="TAE25" s="89"/>
      <c r="TAF25" s="89"/>
      <c r="TAG25" s="89"/>
      <c r="TAH25" s="89"/>
      <c r="TAI25" s="89"/>
      <c r="TAJ25" s="89"/>
      <c r="TAK25" s="89"/>
      <c r="TAL25" s="89"/>
      <c r="TAM25" s="89"/>
      <c r="TAN25" s="89"/>
      <c r="TAO25" s="89"/>
      <c r="TAP25" s="89"/>
      <c r="TAQ25" s="89"/>
      <c r="TAR25" s="89"/>
      <c r="TAS25" s="89"/>
      <c r="TAT25" s="89"/>
      <c r="TAU25" s="89"/>
      <c r="TAV25" s="89"/>
      <c r="TAW25" s="89"/>
      <c r="TAX25" s="89"/>
      <c r="TAY25" s="89"/>
      <c r="TAZ25" s="89"/>
      <c r="TBA25" s="89"/>
      <c r="TBB25" s="89"/>
      <c r="TBC25" s="89"/>
      <c r="TBD25" s="89"/>
      <c r="TBE25" s="89"/>
      <c r="TBF25" s="89"/>
      <c r="TBG25" s="89"/>
      <c r="TBH25" s="89"/>
      <c r="TBI25" s="89"/>
      <c r="TBJ25" s="89"/>
      <c r="TBK25" s="89"/>
      <c r="TBL25" s="89"/>
      <c r="TBM25" s="89"/>
      <c r="TBN25" s="89"/>
      <c r="TBO25" s="89"/>
      <c r="TBP25" s="89"/>
      <c r="TBQ25" s="89"/>
      <c r="TBR25" s="89"/>
      <c r="TBS25" s="89"/>
      <c r="TBT25" s="89"/>
      <c r="TBU25" s="89"/>
      <c r="TBV25" s="89"/>
      <c r="TBW25" s="89"/>
      <c r="TBX25" s="89"/>
      <c r="TBY25" s="89"/>
      <c r="TBZ25" s="89"/>
      <c r="TCA25" s="89"/>
      <c r="TCB25" s="89"/>
      <c r="TCC25" s="89"/>
      <c r="TCD25" s="89"/>
      <c r="TCE25" s="89"/>
      <c r="TCF25" s="89"/>
      <c r="TCG25" s="89"/>
      <c r="TCH25" s="89"/>
      <c r="TCI25" s="89"/>
      <c r="TCJ25" s="89"/>
      <c r="TCK25" s="89"/>
      <c r="TCL25" s="89"/>
      <c r="TCM25" s="89"/>
      <c r="TCN25" s="89"/>
      <c r="TCO25" s="89"/>
      <c r="TCP25" s="89"/>
      <c r="TCQ25" s="89"/>
      <c r="TCR25" s="89"/>
      <c r="TCS25" s="89"/>
      <c r="TCT25" s="89"/>
      <c r="TCU25" s="89"/>
      <c r="TCV25" s="89"/>
      <c r="TCW25" s="89"/>
      <c r="TCX25" s="89"/>
      <c r="TCY25" s="89"/>
      <c r="TCZ25" s="89"/>
      <c r="TDA25" s="89"/>
      <c r="TDB25" s="89"/>
      <c r="TDC25" s="89"/>
      <c r="TDD25" s="89"/>
      <c r="TDE25" s="89"/>
      <c r="TDF25" s="89"/>
      <c r="TDG25" s="89"/>
      <c r="TDH25" s="89"/>
      <c r="TDI25" s="89"/>
      <c r="TDJ25" s="89"/>
      <c r="TDK25" s="89"/>
      <c r="TDL25" s="89"/>
      <c r="TDM25" s="89"/>
      <c r="TDN25" s="89"/>
      <c r="TDO25" s="89"/>
      <c r="TDP25" s="89"/>
      <c r="TDQ25" s="89"/>
      <c r="TDR25" s="89"/>
      <c r="TDS25" s="89"/>
      <c r="TDT25" s="89"/>
      <c r="TDU25" s="89"/>
      <c r="TDV25" s="89"/>
      <c r="TDW25" s="89"/>
      <c r="TDX25" s="89"/>
      <c r="TDY25" s="89"/>
      <c r="TDZ25" s="89"/>
      <c r="TEA25" s="89"/>
      <c r="TEB25" s="89"/>
      <c r="TEC25" s="89"/>
      <c r="TED25" s="89"/>
      <c r="TEE25" s="89"/>
      <c r="TEF25" s="89"/>
      <c r="TEG25" s="89"/>
      <c r="TEH25" s="89"/>
      <c r="TEI25" s="89"/>
      <c r="TEJ25" s="89"/>
      <c r="TEK25" s="89"/>
      <c r="TEL25" s="89"/>
      <c r="TEM25" s="89"/>
      <c r="TEN25" s="89"/>
      <c r="TEO25" s="89"/>
      <c r="TEP25" s="89"/>
      <c r="TEQ25" s="89"/>
      <c r="TER25" s="89"/>
      <c r="TES25" s="89"/>
      <c r="TET25" s="89"/>
      <c r="TEU25" s="89"/>
      <c r="TEV25" s="89"/>
      <c r="TEW25" s="89"/>
      <c r="TEX25" s="89"/>
      <c r="TEY25" s="89"/>
      <c r="TEZ25" s="89"/>
      <c r="TFA25" s="89"/>
      <c r="TFB25" s="89"/>
      <c r="TFC25" s="89"/>
      <c r="TFD25" s="89"/>
      <c r="TFE25" s="89"/>
      <c r="TFF25" s="89"/>
      <c r="TFG25" s="89"/>
      <c r="TFH25" s="89"/>
      <c r="TFI25" s="89"/>
      <c r="TFJ25" s="89"/>
      <c r="TFK25" s="89"/>
      <c r="TFL25" s="89"/>
      <c r="TFM25" s="89"/>
      <c r="TFN25" s="89"/>
      <c r="TFO25" s="89"/>
      <c r="TFP25" s="89"/>
      <c r="TFQ25" s="89"/>
      <c r="TFR25" s="89"/>
      <c r="TFS25" s="89"/>
      <c r="TFT25" s="89"/>
      <c r="TFU25" s="89"/>
      <c r="TFV25" s="89"/>
      <c r="TFW25" s="89"/>
      <c r="TFX25" s="89"/>
      <c r="TFY25" s="89"/>
      <c r="TFZ25" s="89"/>
      <c r="TGA25" s="89"/>
      <c r="TGB25" s="89"/>
      <c r="TGC25" s="89"/>
      <c r="TGD25" s="89"/>
      <c r="TGE25" s="89"/>
      <c r="TGF25" s="89"/>
      <c r="TGG25" s="89"/>
      <c r="TGH25" s="89"/>
      <c r="TGI25" s="89"/>
      <c r="TGJ25" s="89"/>
      <c r="TGK25" s="89"/>
      <c r="TGL25" s="89"/>
      <c r="TGM25" s="89"/>
      <c r="TGN25" s="89"/>
      <c r="TGO25" s="89"/>
      <c r="TGP25" s="89"/>
      <c r="TGQ25" s="89"/>
      <c r="TGR25" s="89"/>
      <c r="TGS25" s="89"/>
      <c r="TGT25" s="89"/>
      <c r="TGU25" s="89"/>
      <c r="TGV25" s="89"/>
      <c r="TGW25" s="89"/>
      <c r="TGX25" s="89"/>
      <c r="TGY25" s="89"/>
      <c r="TGZ25" s="89"/>
      <c r="THA25" s="89"/>
      <c r="THB25" s="89"/>
      <c r="THC25" s="89"/>
      <c r="THD25" s="89"/>
      <c r="THE25" s="89"/>
      <c r="THF25" s="89"/>
      <c r="THG25" s="89"/>
      <c r="THH25" s="89"/>
      <c r="THI25" s="89"/>
      <c r="THJ25" s="89"/>
      <c r="THK25" s="89"/>
      <c r="THL25" s="89"/>
      <c r="THM25" s="89"/>
      <c r="THN25" s="89"/>
      <c r="THO25" s="89"/>
      <c r="THP25" s="89"/>
      <c r="THQ25" s="89"/>
      <c r="THR25" s="89"/>
      <c r="THS25" s="89"/>
      <c r="THT25" s="89"/>
      <c r="THU25" s="89"/>
      <c r="THV25" s="89"/>
      <c r="THW25" s="89"/>
      <c r="THX25" s="89"/>
      <c r="THY25" s="89"/>
      <c r="THZ25" s="89"/>
      <c r="TIA25" s="89"/>
      <c r="TIB25" s="89"/>
      <c r="TIC25" s="89"/>
      <c r="TID25" s="89"/>
      <c r="TIE25" s="89"/>
      <c r="TIF25" s="89"/>
      <c r="TIG25" s="89"/>
      <c r="TIH25" s="89"/>
      <c r="TII25" s="89"/>
      <c r="TIJ25" s="89"/>
      <c r="TIK25" s="89"/>
      <c r="TIL25" s="89"/>
      <c r="TIM25" s="89"/>
      <c r="TIN25" s="89"/>
      <c r="TIO25" s="89"/>
      <c r="TIP25" s="89"/>
      <c r="TIQ25" s="89"/>
      <c r="TIR25" s="89"/>
      <c r="TIS25" s="89"/>
      <c r="TIT25" s="89"/>
      <c r="TIU25" s="89"/>
      <c r="TIV25" s="89"/>
      <c r="TIW25" s="89"/>
      <c r="TIX25" s="89"/>
      <c r="TIY25" s="89"/>
      <c r="TIZ25" s="89"/>
      <c r="TJA25" s="89"/>
      <c r="TJB25" s="89"/>
      <c r="TJC25" s="89"/>
      <c r="TJD25" s="89"/>
      <c r="TJE25" s="89"/>
      <c r="TJF25" s="89"/>
      <c r="TJG25" s="89"/>
      <c r="TJH25" s="89"/>
      <c r="TJI25" s="89"/>
      <c r="TJJ25" s="89"/>
      <c r="TJK25" s="89"/>
      <c r="TJL25" s="89"/>
      <c r="TJM25" s="89"/>
      <c r="TJN25" s="89"/>
      <c r="TJO25" s="89"/>
      <c r="TJP25" s="89"/>
      <c r="TJQ25" s="89"/>
      <c r="TJR25" s="89"/>
      <c r="TJS25" s="89"/>
      <c r="TJT25" s="89"/>
      <c r="TJU25" s="89"/>
      <c r="TJV25" s="89"/>
      <c r="TJW25" s="89"/>
      <c r="TJX25" s="89"/>
      <c r="TJY25" s="89"/>
      <c r="TJZ25" s="89"/>
      <c r="TKA25" s="89"/>
      <c r="TKB25" s="89"/>
      <c r="TKC25" s="89"/>
      <c r="TKD25" s="89"/>
      <c r="TKE25" s="89"/>
      <c r="TKF25" s="89"/>
      <c r="TKG25" s="89"/>
      <c r="TKH25" s="89"/>
      <c r="TKI25" s="89"/>
      <c r="TKJ25" s="89"/>
      <c r="TKK25" s="89"/>
      <c r="TKL25" s="89"/>
      <c r="TKM25" s="89"/>
      <c r="TKN25" s="89"/>
      <c r="TKO25" s="89"/>
      <c r="TKP25" s="89"/>
      <c r="TKQ25" s="89"/>
      <c r="TKR25" s="89"/>
      <c r="TKS25" s="89"/>
      <c r="TKT25" s="89"/>
      <c r="TKU25" s="89"/>
      <c r="TKV25" s="89"/>
      <c r="TKW25" s="89"/>
      <c r="TKX25" s="89"/>
      <c r="TKY25" s="89"/>
      <c r="TKZ25" s="89"/>
      <c r="TLA25" s="89"/>
      <c r="TLB25" s="89"/>
      <c r="TLC25" s="89"/>
      <c r="TLD25" s="89"/>
      <c r="TLE25" s="89"/>
      <c r="TLF25" s="89"/>
      <c r="TLG25" s="89"/>
      <c r="TLH25" s="89"/>
      <c r="TLI25" s="89"/>
      <c r="TLJ25" s="89"/>
      <c r="TLK25" s="89"/>
      <c r="TLL25" s="89"/>
      <c r="TLM25" s="89"/>
      <c r="TLN25" s="89"/>
      <c r="TLO25" s="89"/>
      <c r="TLP25" s="89"/>
      <c r="TLQ25" s="89"/>
      <c r="TLR25" s="89"/>
      <c r="TLS25" s="89"/>
      <c r="TLT25" s="89"/>
      <c r="TLU25" s="89"/>
      <c r="TLV25" s="89"/>
      <c r="TLW25" s="89"/>
      <c r="TLX25" s="89"/>
      <c r="TLY25" s="89"/>
      <c r="TLZ25" s="89"/>
      <c r="TMA25" s="89"/>
      <c r="TMB25" s="89"/>
      <c r="TMC25" s="89"/>
      <c r="TMD25" s="89"/>
      <c r="TME25" s="89"/>
      <c r="TMF25" s="89"/>
      <c r="TMG25" s="89"/>
      <c r="TMH25" s="89"/>
      <c r="TMI25" s="89"/>
      <c r="TMJ25" s="89"/>
      <c r="TMK25" s="89"/>
      <c r="TML25" s="89"/>
      <c r="TMM25" s="89"/>
      <c r="TMN25" s="89"/>
      <c r="TMO25" s="89"/>
      <c r="TMP25" s="89"/>
      <c r="TMQ25" s="89"/>
      <c r="TMR25" s="89"/>
      <c r="TMS25" s="89"/>
      <c r="TMT25" s="89"/>
      <c r="TMU25" s="89"/>
      <c r="TMV25" s="89"/>
      <c r="TMW25" s="89"/>
      <c r="TMX25" s="89"/>
      <c r="TMY25" s="89"/>
      <c r="TMZ25" s="89"/>
      <c r="TNA25" s="89"/>
      <c r="TNB25" s="89"/>
      <c r="TNC25" s="89"/>
      <c r="TND25" s="89"/>
      <c r="TNE25" s="89"/>
      <c r="TNF25" s="89"/>
      <c r="TNG25" s="89"/>
      <c r="TNH25" s="89"/>
      <c r="TNI25" s="89"/>
      <c r="TNJ25" s="89"/>
      <c r="TNK25" s="89"/>
      <c r="TNL25" s="89"/>
      <c r="TNM25" s="89"/>
      <c r="TNN25" s="89"/>
      <c r="TNO25" s="89"/>
      <c r="TNP25" s="89"/>
      <c r="TNQ25" s="89"/>
      <c r="TNR25" s="89"/>
      <c r="TNS25" s="89"/>
      <c r="TNT25" s="89"/>
      <c r="TNU25" s="89"/>
      <c r="TNV25" s="89"/>
      <c r="TNW25" s="89"/>
      <c r="TNX25" s="89"/>
      <c r="TNY25" s="89"/>
      <c r="TNZ25" s="89"/>
      <c r="TOA25" s="89"/>
      <c r="TOB25" s="89"/>
      <c r="TOC25" s="89"/>
      <c r="TOD25" s="89"/>
      <c r="TOE25" s="89"/>
      <c r="TOF25" s="89"/>
      <c r="TOG25" s="89"/>
      <c r="TOH25" s="89"/>
      <c r="TOI25" s="89"/>
      <c r="TOJ25" s="89"/>
      <c r="TOK25" s="89"/>
      <c r="TOL25" s="89"/>
      <c r="TOM25" s="89"/>
      <c r="TON25" s="89"/>
      <c r="TOO25" s="89"/>
      <c r="TOP25" s="89"/>
      <c r="TOQ25" s="89"/>
      <c r="TOR25" s="89"/>
      <c r="TOS25" s="89"/>
      <c r="TOT25" s="89"/>
      <c r="TOU25" s="89"/>
      <c r="TOV25" s="89"/>
      <c r="TOW25" s="89"/>
      <c r="TOX25" s="89"/>
      <c r="TOY25" s="89"/>
      <c r="TOZ25" s="89"/>
      <c r="TPA25" s="89"/>
      <c r="TPB25" s="89"/>
      <c r="TPC25" s="89"/>
      <c r="TPD25" s="89"/>
      <c r="TPE25" s="89"/>
      <c r="TPF25" s="89"/>
      <c r="TPG25" s="89"/>
      <c r="TPH25" s="89"/>
      <c r="TPI25" s="89"/>
      <c r="TPJ25" s="89"/>
      <c r="TPK25" s="89"/>
      <c r="TPL25" s="89"/>
      <c r="TPM25" s="89"/>
      <c r="TPN25" s="89"/>
      <c r="TPO25" s="89"/>
      <c r="TPP25" s="89"/>
      <c r="TPQ25" s="89"/>
      <c r="TPR25" s="89"/>
      <c r="TPS25" s="89"/>
      <c r="TPT25" s="89"/>
      <c r="TPU25" s="89"/>
      <c r="TPV25" s="89"/>
      <c r="TPW25" s="89"/>
      <c r="TPX25" s="89"/>
      <c r="TPY25" s="89"/>
      <c r="TPZ25" s="89"/>
      <c r="TQA25" s="89"/>
      <c r="TQB25" s="89"/>
      <c r="TQC25" s="89"/>
      <c r="TQD25" s="89"/>
      <c r="TQE25" s="89"/>
      <c r="TQF25" s="89"/>
      <c r="TQG25" s="89"/>
      <c r="TQH25" s="89"/>
      <c r="TQI25" s="89"/>
      <c r="TQJ25" s="89"/>
      <c r="TQK25" s="89"/>
      <c r="TQL25" s="89"/>
      <c r="TQM25" s="89"/>
      <c r="TQN25" s="89"/>
      <c r="TQO25" s="89"/>
      <c r="TQP25" s="89"/>
      <c r="TQQ25" s="89"/>
      <c r="TQR25" s="89"/>
      <c r="TQS25" s="89"/>
      <c r="TQT25" s="89"/>
      <c r="TQU25" s="89"/>
      <c r="TQV25" s="89"/>
      <c r="TQW25" s="89"/>
      <c r="TQX25" s="89"/>
      <c r="TQY25" s="89"/>
      <c r="TQZ25" s="89"/>
      <c r="TRA25" s="89"/>
      <c r="TRB25" s="89"/>
      <c r="TRC25" s="89"/>
      <c r="TRD25" s="89"/>
      <c r="TRE25" s="89"/>
      <c r="TRF25" s="89"/>
      <c r="TRG25" s="89"/>
      <c r="TRH25" s="89"/>
      <c r="TRI25" s="89"/>
      <c r="TRJ25" s="89"/>
      <c r="TRK25" s="89"/>
      <c r="TRL25" s="89"/>
      <c r="TRM25" s="89"/>
      <c r="TRN25" s="89"/>
      <c r="TRO25" s="89"/>
      <c r="TRP25" s="89"/>
      <c r="TRQ25" s="89"/>
      <c r="TRR25" s="89"/>
      <c r="TRS25" s="89"/>
      <c r="TRT25" s="89"/>
      <c r="TRU25" s="89"/>
      <c r="TRV25" s="89"/>
      <c r="TRW25" s="89"/>
      <c r="TRX25" s="89"/>
      <c r="TRY25" s="89"/>
      <c r="TRZ25" s="89"/>
      <c r="TSA25" s="89"/>
      <c r="TSB25" s="89"/>
      <c r="TSC25" s="89"/>
      <c r="TSD25" s="89"/>
      <c r="TSE25" s="89"/>
      <c r="TSF25" s="89"/>
      <c r="TSG25" s="89"/>
      <c r="TSH25" s="89"/>
      <c r="TSI25" s="89"/>
      <c r="TSJ25" s="89"/>
      <c r="TSK25" s="89"/>
      <c r="TSL25" s="89"/>
      <c r="TSM25" s="89"/>
      <c r="TSN25" s="89"/>
      <c r="TSO25" s="89"/>
      <c r="TSP25" s="89"/>
      <c r="TSQ25" s="89"/>
      <c r="TSR25" s="89"/>
      <c r="TSS25" s="89"/>
      <c r="TST25" s="89"/>
      <c r="TSU25" s="89"/>
      <c r="TSV25" s="89"/>
      <c r="TSW25" s="89"/>
      <c r="TSX25" s="89"/>
      <c r="TSY25" s="89"/>
      <c r="TSZ25" s="89"/>
      <c r="TTA25" s="89"/>
      <c r="TTB25" s="89"/>
      <c r="TTC25" s="89"/>
      <c r="TTD25" s="89"/>
      <c r="TTE25" s="89"/>
      <c r="TTF25" s="89"/>
      <c r="TTG25" s="89"/>
      <c r="TTH25" s="89"/>
      <c r="TTI25" s="89"/>
      <c r="TTJ25" s="89"/>
      <c r="TTK25" s="89"/>
      <c r="TTL25" s="89"/>
      <c r="TTM25" s="89"/>
      <c r="TTN25" s="89"/>
      <c r="TTO25" s="89"/>
      <c r="TTP25" s="89"/>
      <c r="TTQ25" s="89"/>
      <c r="TTR25" s="89"/>
      <c r="TTS25" s="89"/>
      <c r="TTT25" s="89"/>
      <c r="TTU25" s="89"/>
      <c r="TTV25" s="89"/>
      <c r="TTW25" s="89"/>
      <c r="TTX25" s="89"/>
      <c r="TTY25" s="89"/>
      <c r="TTZ25" s="89"/>
      <c r="TUA25" s="89"/>
      <c r="TUB25" s="89"/>
      <c r="TUC25" s="89"/>
      <c r="TUD25" s="89"/>
      <c r="TUE25" s="89"/>
      <c r="TUF25" s="89"/>
      <c r="TUG25" s="89"/>
      <c r="TUH25" s="89"/>
      <c r="TUI25" s="89"/>
      <c r="TUJ25" s="89"/>
      <c r="TUK25" s="89"/>
      <c r="TUL25" s="89"/>
      <c r="TUM25" s="89"/>
      <c r="TUN25" s="89"/>
      <c r="TUO25" s="89"/>
      <c r="TUP25" s="89"/>
      <c r="TUQ25" s="89"/>
      <c r="TUR25" s="89"/>
      <c r="TUS25" s="89"/>
      <c r="TUT25" s="89"/>
      <c r="TUU25" s="89"/>
      <c r="TUV25" s="89"/>
      <c r="TUW25" s="89"/>
      <c r="TUX25" s="89"/>
      <c r="TUY25" s="89"/>
      <c r="TUZ25" s="89"/>
      <c r="TVA25" s="89"/>
      <c r="TVB25" s="89"/>
      <c r="TVC25" s="89"/>
      <c r="TVD25" s="89"/>
      <c r="TVE25" s="89"/>
      <c r="TVF25" s="89"/>
      <c r="TVG25" s="89"/>
      <c r="TVH25" s="89"/>
      <c r="TVI25" s="89"/>
      <c r="TVJ25" s="89"/>
      <c r="TVK25" s="89"/>
      <c r="TVL25" s="89"/>
      <c r="TVM25" s="89"/>
      <c r="TVN25" s="89"/>
      <c r="TVO25" s="89"/>
      <c r="TVP25" s="89"/>
      <c r="TVQ25" s="89"/>
      <c r="TVR25" s="89"/>
      <c r="TVS25" s="89"/>
      <c r="TVT25" s="89"/>
      <c r="TVU25" s="89"/>
      <c r="TVV25" s="89"/>
      <c r="TVW25" s="89"/>
      <c r="TVX25" s="89"/>
      <c r="TVY25" s="89"/>
      <c r="TVZ25" s="89"/>
      <c r="TWA25" s="89"/>
      <c r="TWB25" s="89"/>
      <c r="TWC25" s="89"/>
      <c r="TWD25" s="89"/>
      <c r="TWE25" s="89"/>
      <c r="TWF25" s="89"/>
      <c r="TWG25" s="89"/>
      <c r="TWH25" s="89"/>
      <c r="TWI25" s="89"/>
      <c r="TWJ25" s="89"/>
      <c r="TWK25" s="89"/>
      <c r="TWL25" s="89"/>
      <c r="TWM25" s="89"/>
      <c r="TWN25" s="89"/>
      <c r="TWO25" s="89"/>
      <c r="TWP25" s="89"/>
      <c r="TWQ25" s="89"/>
      <c r="TWR25" s="89"/>
      <c r="TWS25" s="89"/>
      <c r="TWT25" s="89"/>
      <c r="TWU25" s="89"/>
      <c r="TWV25" s="89"/>
      <c r="TWW25" s="89"/>
      <c r="TWX25" s="89"/>
      <c r="TWY25" s="89"/>
      <c r="TWZ25" s="89"/>
      <c r="TXA25" s="89"/>
      <c r="TXB25" s="89"/>
      <c r="TXC25" s="89"/>
      <c r="TXD25" s="89"/>
      <c r="TXE25" s="89"/>
      <c r="TXF25" s="89"/>
      <c r="TXG25" s="89"/>
      <c r="TXH25" s="89"/>
      <c r="TXI25" s="89"/>
      <c r="TXJ25" s="89"/>
      <c r="TXK25" s="89"/>
      <c r="TXL25" s="89"/>
      <c r="TXM25" s="89"/>
      <c r="TXN25" s="89"/>
      <c r="TXO25" s="89"/>
      <c r="TXP25" s="89"/>
      <c r="TXQ25" s="89"/>
      <c r="TXR25" s="89"/>
      <c r="TXS25" s="89"/>
      <c r="TXT25" s="89"/>
      <c r="TXU25" s="89"/>
      <c r="TXV25" s="89"/>
      <c r="TXW25" s="89"/>
      <c r="TXX25" s="89"/>
      <c r="TXY25" s="89"/>
      <c r="TXZ25" s="89"/>
      <c r="TYA25" s="89"/>
      <c r="TYB25" s="89"/>
      <c r="TYC25" s="89"/>
      <c r="TYD25" s="89"/>
      <c r="TYE25" s="89"/>
      <c r="TYF25" s="89"/>
      <c r="TYG25" s="89"/>
      <c r="TYH25" s="89"/>
      <c r="TYI25" s="89"/>
      <c r="TYJ25" s="89"/>
      <c r="TYK25" s="89"/>
      <c r="TYL25" s="89"/>
      <c r="TYM25" s="89"/>
      <c r="TYN25" s="89"/>
      <c r="TYO25" s="89"/>
      <c r="TYP25" s="89"/>
      <c r="TYQ25" s="89"/>
      <c r="TYR25" s="89"/>
      <c r="TYS25" s="89"/>
      <c r="TYT25" s="89"/>
      <c r="TYU25" s="89"/>
      <c r="TYV25" s="89"/>
      <c r="TYW25" s="89"/>
      <c r="TYX25" s="89"/>
      <c r="TYY25" s="89"/>
      <c r="TYZ25" s="89"/>
      <c r="TZA25" s="89"/>
      <c r="TZB25" s="89"/>
      <c r="TZC25" s="89"/>
      <c r="TZD25" s="89"/>
      <c r="TZE25" s="89"/>
      <c r="TZF25" s="89"/>
      <c r="TZG25" s="89"/>
      <c r="TZH25" s="89"/>
      <c r="TZI25" s="89"/>
      <c r="TZJ25" s="89"/>
      <c r="TZK25" s="89"/>
      <c r="TZL25" s="89"/>
      <c r="TZM25" s="89"/>
      <c r="TZN25" s="89"/>
      <c r="TZO25" s="89"/>
      <c r="TZP25" s="89"/>
      <c r="TZQ25" s="89"/>
      <c r="TZR25" s="89"/>
      <c r="TZS25" s="89"/>
      <c r="TZT25" s="89"/>
      <c r="TZU25" s="89"/>
      <c r="TZV25" s="89"/>
      <c r="TZW25" s="89"/>
      <c r="TZX25" s="89"/>
      <c r="TZY25" s="89"/>
      <c r="TZZ25" s="89"/>
      <c r="UAA25" s="89"/>
      <c r="UAB25" s="89"/>
      <c r="UAC25" s="89"/>
      <c r="UAD25" s="89"/>
      <c r="UAE25" s="89"/>
      <c r="UAF25" s="89"/>
      <c r="UAG25" s="89"/>
      <c r="UAH25" s="89"/>
      <c r="UAI25" s="89"/>
      <c r="UAJ25" s="89"/>
      <c r="UAK25" s="89"/>
      <c r="UAL25" s="89"/>
      <c r="UAM25" s="89"/>
      <c r="UAN25" s="89"/>
      <c r="UAO25" s="89"/>
      <c r="UAP25" s="89"/>
      <c r="UAQ25" s="89"/>
      <c r="UAR25" s="89"/>
      <c r="UAS25" s="89"/>
      <c r="UAT25" s="89"/>
      <c r="UAU25" s="89"/>
      <c r="UAV25" s="89"/>
      <c r="UAW25" s="89"/>
      <c r="UAX25" s="89"/>
      <c r="UAY25" s="89"/>
      <c r="UAZ25" s="89"/>
      <c r="UBA25" s="89"/>
      <c r="UBB25" s="89"/>
      <c r="UBC25" s="89"/>
      <c r="UBD25" s="89"/>
      <c r="UBE25" s="89"/>
      <c r="UBF25" s="89"/>
      <c r="UBG25" s="89"/>
      <c r="UBH25" s="89"/>
      <c r="UBI25" s="89"/>
      <c r="UBJ25" s="89"/>
      <c r="UBK25" s="89"/>
      <c r="UBL25" s="89"/>
      <c r="UBM25" s="89"/>
      <c r="UBN25" s="89"/>
      <c r="UBO25" s="89"/>
      <c r="UBP25" s="89"/>
      <c r="UBQ25" s="89"/>
      <c r="UBR25" s="89"/>
      <c r="UBS25" s="89"/>
      <c r="UBT25" s="89"/>
      <c r="UBU25" s="89"/>
      <c r="UBV25" s="89"/>
      <c r="UBW25" s="89"/>
      <c r="UBX25" s="89"/>
      <c r="UBY25" s="89"/>
      <c r="UBZ25" s="89"/>
      <c r="UCA25" s="89"/>
      <c r="UCB25" s="89"/>
      <c r="UCC25" s="89"/>
      <c r="UCD25" s="89"/>
      <c r="UCE25" s="89"/>
      <c r="UCF25" s="89"/>
      <c r="UCG25" s="89"/>
      <c r="UCH25" s="89"/>
      <c r="UCI25" s="89"/>
      <c r="UCJ25" s="89"/>
      <c r="UCK25" s="89"/>
      <c r="UCL25" s="89"/>
      <c r="UCM25" s="89"/>
      <c r="UCN25" s="89"/>
      <c r="UCO25" s="89"/>
      <c r="UCP25" s="89"/>
      <c r="UCQ25" s="89"/>
      <c r="UCR25" s="89"/>
      <c r="UCS25" s="89"/>
      <c r="UCT25" s="89"/>
      <c r="UCU25" s="89"/>
      <c r="UCV25" s="89"/>
      <c r="UCW25" s="89"/>
      <c r="UCX25" s="89"/>
      <c r="UCY25" s="89"/>
      <c r="UCZ25" s="89"/>
      <c r="UDA25" s="89"/>
      <c r="UDB25" s="89"/>
      <c r="UDC25" s="89"/>
      <c r="UDD25" s="89"/>
      <c r="UDE25" s="89"/>
      <c r="UDF25" s="89"/>
      <c r="UDG25" s="89"/>
      <c r="UDH25" s="89"/>
      <c r="UDI25" s="89"/>
      <c r="UDJ25" s="89"/>
      <c r="UDK25" s="89"/>
      <c r="UDL25" s="89"/>
      <c r="UDM25" s="89"/>
      <c r="UDN25" s="89"/>
      <c r="UDO25" s="89"/>
      <c r="UDP25" s="89"/>
      <c r="UDQ25" s="89"/>
      <c r="UDR25" s="89"/>
      <c r="UDS25" s="89"/>
      <c r="UDT25" s="89"/>
      <c r="UDU25" s="89"/>
      <c r="UDV25" s="89"/>
      <c r="UDW25" s="89"/>
      <c r="UDX25" s="89"/>
      <c r="UDY25" s="89"/>
      <c r="UDZ25" s="89"/>
      <c r="UEA25" s="89"/>
      <c r="UEB25" s="89"/>
      <c r="UEC25" s="89"/>
      <c r="UED25" s="89"/>
      <c r="UEE25" s="89"/>
      <c r="UEF25" s="89"/>
      <c r="UEG25" s="89"/>
      <c r="UEH25" s="89"/>
      <c r="UEI25" s="89"/>
      <c r="UEJ25" s="89"/>
      <c r="UEK25" s="89"/>
      <c r="UEL25" s="89"/>
      <c r="UEM25" s="89"/>
      <c r="UEN25" s="89"/>
      <c r="UEO25" s="89"/>
      <c r="UEP25" s="89"/>
      <c r="UEQ25" s="89"/>
      <c r="UER25" s="89"/>
      <c r="UES25" s="89"/>
      <c r="UET25" s="89"/>
      <c r="UEU25" s="89"/>
      <c r="UEV25" s="89"/>
      <c r="UEW25" s="89"/>
      <c r="UEX25" s="89"/>
      <c r="UEY25" s="89"/>
      <c r="UEZ25" s="89"/>
      <c r="UFA25" s="89"/>
      <c r="UFB25" s="89"/>
      <c r="UFC25" s="89"/>
      <c r="UFD25" s="89"/>
      <c r="UFE25" s="89"/>
      <c r="UFF25" s="89"/>
      <c r="UFG25" s="89"/>
      <c r="UFH25" s="89"/>
      <c r="UFI25" s="89"/>
      <c r="UFJ25" s="89"/>
      <c r="UFK25" s="89"/>
      <c r="UFL25" s="89"/>
      <c r="UFM25" s="89"/>
      <c r="UFN25" s="89"/>
      <c r="UFO25" s="89"/>
      <c r="UFP25" s="89"/>
      <c r="UFQ25" s="89"/>
      <c r="UFR25" s="89"/>
      <c r="UFS25" s="89"/>
      <c r="UFT25" s="89"/>
      <c r="UFU25" s="89"/>
      <c r="UFV25" s="89"/>
      <c r="UFW25" s="89"/>
      <c r="UFX25" s="89"/>
      <c r="UFY25" s="89"/>
      <c r="UFZ25" s="89"/>
      <c r="UGA25" s="89"/>
      <c r="UGB25" s="89"/>
      <c r="UGC25" s="89"/>
      <c r="UGD25" s="89"/>
      <c r="UGE25" s="89"/>
      <c r="UGF25" s="89"/>
      <c r="UGG25" s="89"/>
      <c r="UGH25" s="89"/>
      <c r="UGI25" s="89"/>
      <c r="UGJ25" s="89"/>
      <c r="UGK25" s="89"/>
      <c r="UGL25" s="89"/>
      <c r="UGM25" s="89"/>
      <c r="UGN25" s="89"/>
      <c r="UGO25" s="89"/>
      <c r="UGP25" s="89"/>
      <c r="UGQ25" s="89"/>
      <c r="UGR25" s="89"/>
      <c r="UGS25" s="89"/>
      <c r="UGT25" s="89"/>
      <c r="UGU25" s="89"/>
      <c r="UGV25" s="89"/>
      <c r="UGW25" s="89"/>
      <c r="UGX25" s="89"/>
      <c r="UGY25" s="89"/>
      <c r="UGZ25" s="89"/>
      <c r="UHA25" s="89"/>
      <c r="UHB25" s="89"/>
      <c r="UHC25" s="89"/>
      <c r="UHD25" s="89"/>
      <c r="UHE25" s="89"/>
      <c r="UHF25" s="89"/>
      <c r="UHG25" s="89"/>
      <c r="UHH25" s="89"/>
      <c r="UHI25" s="89"/>
      <c r="UHJ25" s="89"/>
      <c r="UHK25" s="89"/>
      <c r="UHL25" s="89"/>
      <c r="UHM25" s="89"/>
      <c r="UHN25" s="89"/>
      <c r="UHO25" s="89"/>
      <c r="UHP25" s="89"/>
      <c r="UHQ25" s="89"/>
      <c r="UHR25" s="89"/>
      <c r="UHS25" s="89"/>
      <c r="UHT25" s="89"/>
      <c r="UHU25" s="89"/>
      <c r="UHV25" s="89"/>
      <c r="UHW25" s="89"/>
      <c r="UHX25" s="89"/>
      <c r="UHY25" s="89"/>
      <c r="UHZ25" s="89"/>
      <c r="UIA25" s="89"/>
      <c r="UIB25" s="89"/>
      <c r="UIC25" s="89"/>
      <c r="UID25" s="89"/>
      <c r="UIE25" s="89"/>
      <c r="UIF25" s="89"/>
      <c r="UIG25" s="89"/>
      <c r="UIH25" s="89"/>
      <c r="UII25" s="89"/>
      <c r="UIJ25" s="89"/>
      <c r="UIK25" s="89"/>
      <c r="UIL25" s="89"/>
      <c r="UIM25" s="89"/>
      <c r="UIN25" s="89"/>
      <c r="UIO25" s="89"/>
      <c r="UIP25" s="89"/>
      <c r="UIQ25" s="89"/>
      <c r="UIR25" s="89"/>
      <c r="UIS25" s="89"/>
      <c r="UIT25" s="89"/>
      <c r="UIU25" s="89"/>
      <c r="UIV25" s="89"/>
      <c r="UIW25" s="89"/>
      <c r="UIX25" s="89"/>
      <c r="UIY25" s="89"/>
      <c r="UIZ25" s="89"/>
      <c r="UJA25" s="89"/>
      <c r="UJB25" s="89"/>
      <c r="UJC25" s="89"/>
      <c r="UJD25" s="89"/>
      <c r="UJE25" s="89"/>
      <c r="UJF25" s="89"/>
      <c r="UJG25" s="89"/>
      <c r="UJH25" s="89"/>
      <c r="UJI25" s="89"/>
      <c r="UJJ25" s="89"/>
      <c r="UJK25" s="89"/>
      <c r="UJL25" s="89"/>
      <c r="UJM25" s="89"/>
      <c r="UJN25" s="89"/>
      <c r="UJO25" s="89"/>
      <c r="UJP25" s="89"/>
      <c r="UJQ25" s="89"/>
      <c r="UJR25" s="89"/>
      <c r="UJS25" s="89"/>
      <c r="UJT25" s="89"/>
      <c r="UJU25" s="89"/>
      <c r="UJV25" s="89"/>
      <c r="UJW25" s="89"/>
      <c r="UJX25" s="89"/>
      <c r="UJY25" s="89"/>
      <c r="UJZ25" s="89"/>
      <c r="UKA25" s="89"/>
      <c r="UKB25" s="89"/>
      <c r="UKC25" s="89"/>
      <c r="UKD25" s="89"/>
      <c r="UKE25" s="89"/>
      <c r="UKF25" s="89"/>
      <c r="UKG25" s="89"/>
      <c r="UKH25" s="89"/>
      <c r="UKI25" s="89"/>
      <c r="UKJ25" s="89"/>
      <c r="UKK25" s="89"/>
      <c r="UKL25" s="89"/>
      <c r="UKM25" s="89"/>
      <c r="UKN25" s="89"/>
      <c r="UKO25" s="89"/>
      <c r="UKP25" s="89"/>
      <c r="UKQ25" s="89"/>
      <c r="UKR25" s="89"/>
      <c r="UKS25" s="89"/>
      <c r="UKT25" s="89"/>
      <c r="UKU25" s="89"/>
      <c r="UKV25" s="89"/>
      <c r="UKW25" s="89"/>
      <c r="UKX25" s="89"/>
      <c r="UKY25" s="89"/>
      <c r="UKZ25" s="89"/>
      <c r="ULA25" s="89"/>
      <c r="ULB25" s="89"/>
      <c r="ULC25" s="89"/>
      <c r="ULD25" s="89"/>
      <c r="ULE25" s="89"/>
      <c r="ULF25" s="89"/>
      <c r="ULG25" s="89"/>
      <c r="ULH25" s="89"/>
      <c r="ULI25" s="89"/>
      <c r="ULJ25" s="89"/>
      <c r="ULK25" s="89"/>
      <c r="ULL25" s="89"/>
      <c r="ULM25" s="89"/>
      <c r="ULN25" s="89"/>
      <c r="ULO25" s="89"/>
      <c r="ULP25" s="89"/>
      <c r="ULQ25" s="89"/>
      <c r="ULR25" s="89"/>
      <c r="ULS25" s="89"/>
      <c r="ULT25" s="89"/>
      <c r="ULU25" s="89"/>
      <c r="ULV25" s="89"/>
      <c r="ULW25" s="89"/>
      <c r="ULX25" s="89"/>
      <c r="ULY25" s="89"/>
      <c r="ULZ25" s="89"/>
      <c r="UMA25" s="89"/>
      <c r="UMB25" s="89"/>
      <c r="UMC25" s="89"/>
      <c r="UMD25" s="89"/>
      <c r="UME25" s="89"/>
      <c r="UMF25" s="89"/>
      <c r="UMG25" s="89"/>
      <c r="UMH25" s="89"/>
      <c r="UMI25" s="89"/>
      <c r="UMJ25" s="89"/>
      <c r="UMK25" s="89"/>
      <c r="UML25" s="89"/>
      <c r="UMM25" s="89"/>
      <c r="UMN25" s="89"/>
      <c r="UMO25" s="89"/>
      <c r="UMP25" s="89"/>
      <c r="UMQ25" s="89"/>
      <c r="UMR25" s="89"/>
      <c r="UMS25" s="89"/>
      <c r="UMT25" s="89"/>
      <c r="UMU25" s="89"/>
      <c r="UMV25" s="89"/>
      <c r="UMW25" s="89"/>
      <c r="UMX25" s="89"/>
      <c r="UMY25" s="89"/>
      <c r="UMZ25" s="89"/>
      <c r="UNA25" s="89"/>
      <c r="UNB25" s="89"/>
      <c r="UNC25" s="89"/>
      <c r="UND25" s="89"/>
      <c r="UNE25" s="89"/>
      <c r="UNF25" s="89"/>
      <c r="UNG25" s="89"/>
      <c r="UNH25" s="89"/>
      <c r="UNI25" s="89"/>
      <c r="UNJ25" s="89"/>
      <c r="UNK25" s="89"/>
      <c r="UNL25" s="89"/>
      <c r="UNM25" s="89"/>
      <c r="UNN25" s="89"/>
      <c r="UNO25" s="89"/>
      <c r="UNP25" s="89"/>
      <c r="UNQ25" s="89"/>
      <c r="UNR25" s="89"/>
      <c r="UNS25" s="89"/>
      <c r="UNT25" s="89"/>
      <c r="UNU25" s="89"/>
      <c r="UNV25" s="89"/>
      <c r="UNW25" s="89"/>
      <c r="UNX25" s="89"/>
      <c r="UNY25" s="89"/>
      <c r="UNZ25" s="89"/>
      <c r="UOA25" s="89"/>
      <c r="UOB25" s="89"/>
      <c r="UOC25" s="89"/>
      <c r="UOD25" s="89"/>
      <c r="UOE25" s="89"/>
      <c r="UOF25" s="89"/>
      <c r="UOG25" s="89"/>
      <c r="UOH25" s="89"/>
      <c r="UOI25" s="89"/>
      <c r="UOJ25" s="89"/>
      <c r="UOK25" s="89"/>
      <c r="UOL25" s="89"/>
      <c r="UOM25" s="89"/>
      <c r="UON25" s="89"/>
      <c r="UOO25" s="89"/>
      <c r="UOP25" s="89"/>
      <c r="UOQ25" s="89"/>
      <c r="UOR25" s="89"/>
      <c r="UOS25" s="89"/>
      <c r="UOT25" s="89"/>
      <c r="UOU25" s="89"/>
      <c r="UOV25" s="89"/>
      <c r="UOW25" s="89"/>
      <c r="UOX25" s="89"/>
      <c r="UOY25" s="89"/>
      <c r="UOZ25" s="89"/>
      <c r="UPA25" s="89"/>
      <c r="UPB25" s="89"/>
      <c r="UPC25" s="89"/>
      <c r="UPD25" s="89"/>
      <c r="UPE25" s="89"/>
      <c r="UPF25" s="89"/>
      <c r="UPG25" s="89"/>
      <c r="UPH25" s="89"/>
      <c r="UPI25" s="89"/>
      <c r="UPJ25" s="89"/>
      <c r="UPK25" s="89"/>
      <c r="UPL25" s="89"/>
      <c r="UPM25" s="89"/>
      <c r="UPN25" s="89"/>
      <c r="UPO25" s="89"/>
      <c r="UPP25" s="89"/>
      <c r="UPQ25" s="89"/>
      <c r="UPR25" s="89"/>
      <c r="UPS25" s="89"/>
      <c r="UPT25" s="89"/>
      <c r="UPU25" s="89"/>
      <c r="UPV25" s="89"/>
      <c r="UPW25" s="89"/>
      <c r="UPX25" s="89"/>
      <c r="UPY25" s="89"/>
      <c r="UPZ25" s="89"/>
      <c r="UQA25" s="89"/>
      <c r="UQB25" s="89"/>
      <c r="UQC25" s="89"/>
      <c r="UQD25" s="89"/>
      <c r="UQE25" s="89"/>
      <c r="UQF25" s="89"/>
      <c r="UQG25" s="89"/>
      <c r="UQH25" s="89"/>
      <c r="UQI25" s="89"/>
      <c r="UQJ25" s="89"/>
      <c r="UQK25" s="89"/>
      <c r="UQL25" s="89"/>
      <c r="UQM25" s="89"/>
      <c r="UQN25" s="89"/>
      <c r="UQO25" s="89"/>
      <c r="UQP25" s="89"/>
      <c r="UQQ25" s="89"/>
      <c r="UQR25" s="89"/>
      <c r="UQS25" s="89"/>
      <c r="UQT25" s="89"/>
      <c r="UQU25" s="89"/>
      <c r="UQV25" s="89"/>
      <c r="UQW25" s="89"/>
      <c r="UQX25" s="89"/>
      <c r="UQY25" s="89"/>
      <c r="UQZ25" s="89"/>
      <c r="URA25" s="89"/>
      <c r="URB25" s="89"/>
      <c r="URC25" s="89"/>
      <c r="URD25" s="89"/>
      <c r="URE25" s="89"/>
      <c r="URF25" s="89"/>
      <c r="URG25" s="89"/>
      <c r="URH25" s="89"/>
      <c r="URI25" s="89"/>
      <c r="URJ25" s="89"/>
      <c r="URK25" s="89"/>
      <c r="URL25" s="89"/>
      <c r="URM25" s="89"/>
      <c r="URN25" s="89"/>
      <c r="URO25" s="89"/>
      <c r="URP25" s="89"/>
      <c r="URQ25" s="89"/>
      <c r="URR25" s="89"/>
      <c r="URS25" s="89"/>
      <c r="URT25" s="89"/>
      <c r="URU25" s="89"/>
      <c r="URV25" s="89"/>
      <c r="URW25" s="89"/>
      <c r="URX25" s="89"/>
      <c r="URY25" s="89"/>
      <c r="URZ25" s="89"/>
      <c r="USA25" s="89"/>
      <c r="USB25" s="89"/>
      <c r="USC25" s="89"/>
      <c r="USD25" s="89"/>
      <c r="USE25" s="89"/>
      <c r="USF25" s="89"/>
      <c r="USG25" s="89"/>
      <c r="USH25" s="89"/>
      <c r="USI25" s="89"/>
      <c r="USJ25" s="89"/>
      <c r="USK25" s="89"/>
      <c r="USL25" s="89"/>
      <c r="USM25" s="89"/>
      <c r="USN25" s="89"/>
      <c r="USO25" s="89"/>
      <c r="USP25" s="89"/>
      <c r="USQ25" s="89"/>
      <c r="USR25" s="89"/>
      <c r="USS25" s="89"/>
      <c r="UST25" s="89"/>
      <c r="USU25" s="89"/>
      <c r="USV25" s="89"/>
      <c r="USW25" s="89"/>
      <c r="USX25" s="89"/>
      <c r="USY25" s="89"/>
      <c r="USZ25" s="89"/>
      <c r="UTA25" s="89"/>
      <c r="UTB25" s="89"/>
      <c r="UTC25" s="89"/>
      <c r="UTD25" s="89"/>
      <c r="UTE25" s="89"/>
      <c r="UTF25" s="89"/>
      <c r="UTG25" s="89"/>
      <c r="UTH25" s="89"/>
      <c r="UTI25" s="89"/>
      <c r="UTJ25" s="89"/>
      <c r="UTK25" s="89"/>
      <c r="UTL25" s="89"/>
      <c r="UTM25" s="89"/>
      <c r="UTN25" s="89"/>
      <c r="UTO25" s="89"/>
      <c r="UTP25" s="89"/>
      <c r="UTQ25" s="89"/>
      <c r="UTR25" s="89"/>
      <c r="UTS25" s="89"/>
      <c r="UTT25" s="89"/>
      <c r="UTU25" s="89"/>
      <c r="UTV25" s="89"/>
      <c r="UTW25" s="89"/>
      <c r="UTX25" s="89"/>
      <c r="UTY25" s="89"/>
      <c r="UTZ25" s="89"/>
      <c r="UUA25" s="89"/>
      <c r="UUB25" s="89"/>
      <c r="UUC25" s="89"/>
      <c r="UUD25" s="89"/>
      <c r="UUE25" s="89"/>
      <c r="UUF25" s="89"/>
      <c r="UUG25" s="89"/>
      <c r="UUH25" s="89"/>
      <c r="UUI25" s="89"/>
      <c r="UUJ25" s="89"/>
      <c r="UUK25" s="89"/>
      <c r="UUL25" s="89"/>
      <c r="UUM25" s="89"/>
      <c r="UUN25" s="89"/>
      <c r="UUO25" s="89"/>
      <c r="UUP25" s="89"/>
      <c r="UUQ25" s="89"/>
      <c r="UUR25" s="89"/>
      <c r="UUS25" s="89"/>
      <c r="UUT25" s="89"/>
      <c r="UUU25" s="89"/>
      <c r="UUV25" s="89"/>
      <c r="UUW25" s="89"/>
      <c r="UUX25" s="89"/>
      <c r="UUY25" s="89"/>
      <c r="UUZ25" s="89"/>
      <c r="UVA25" s="89"/>
      <c r="UVB25" s="89"/>
      <c r="UVC25" s="89"/>
      <c r="UVD25" s="89"/>
      <c r="UVE25" s="89"/>
      <c r="UVF25" s="89"/>
      <c r="UVG25" s="89"/>
      <c r="UVH25" s="89"/>
      <c r="UVI25" s="89"/>
      <c r="UVJ25" s="89"/>
      <c r="UVK25" s="89"/>
      <c r="UVL25" s="89"/>
      <c r="UVM25" s="89"/>
      <c r="UVN25" s="89"/>
      <c r="UVO25" s="89"/>
      <c r="UVP25" s="89"/>
      <c r="UVQ25" s="89"/>
      <c r="UVR25" s="89"/>
      <c r="UVS25" s="89"/>
      <c r="UVT25" s="89"/>
      <c r="UVU25" s="89"/>
      <c r="UVV25" s="89"/>
      <c r="UVW25" s="89"/>
      <c r="UVX25" s="89"/>
      <c r="UVY25" s="89"/>
      <c r="UVZ25" s="89"/>
      <c r="UWA25" s="89"/>
      <c r="UWB25" s="89"/>
      <c r="UWC25" s="89"/>
      <c r="UWD25" s="89"/>
      <c r="UWE25" s="89"/>
      <c r="UWF25" s="89"/>
      <c r="UWG25" s="89"/>
      <c r="UWH25" s="89"/>
      <c r="UWI25" s="89"/>
      <c r="UWJ25" s="89"/>
      <c r="UWK25" s="89"/>
      <c r="UWL25" s="89"/>
      <c r="UWM25" s="89"/>
      <c r="UWN25" s="89"/>
      <c r="UWO25" s="89"/>
      <c r="UWP25" s="89"/>
      <c r="UWQ25" s="89"/>
      <c r="UWR25" s="89"/>
      <c r="UWS25" s="89"/>
      <c r="UWT25" s="89"/>
      <c r="UWU25" s="89"/>
      <c r="UWV25" s="89"/>
      <c r="UWW25" s="89"/>
      <c r="UWX25" s="89"/>
      <c r="UWY25" s="89"/>
      <c r="UWZ25" s="89"/>
      <c r="UXA25" s="89"/>
      <c r="UXB25" s="89"/>
      <c r="UXC25" s="89"/>
      <c r="UXD25" s="89"/>
      <c r="UXE25" s="89"/>
      <c r="UXF25" s="89"/>
      <c r="UXG25" s="89"/>
      <c r="UXH25" s="89"/>
      <c r="UXI25" s="89"/>
      <c r="UXJ25" s="89"/>
      <c r="UXK25" s="89"/>
      <c r="UXL25" s="89"/>
      <c r="UXM25" s="89"/>
      <c r="UXN25" s="89"/>
      <c r="UXO25" s="89"/>
      <c r="UXP25" s="89"/>
      <c r="UXQ25" s="89"/>
      <c r="UXR25" s="89"/>
      <c r="UXS25" s="89"/>
      <c r="UXT25" s="89"/>
      <c r="UXU25" s="89"/>
      <c r="UXV25" s="89"/>
      <c r="UXW25" s="89"/>
      <c r="UXX25" s="89"/>
      <c r="UXY25" s="89"/>
      <c r="UXZ25" s="89"/>
      <c r="UYA25" s="89"/>
      <c r="UYB25" s="89"/>
      <c r="UYC25" s="89"/>
      <c r="UYD25" s="89"/>
      <c r="UYE25" s="89"/>
      <c r="UYF25" s="89"/>
      <c r="UYG25" s="89"/>
      <c r="UYH25" s="89"/>
      <c r="UYI25" s="89"/>
      <c r="UYJ25" s="89"/>
      <c r="UYK25" s="89"/>
      <c r="UYL25" s="89"/>
      <c r="UYM25" s="89"/>
      <c r="UYN25" s="89"/>
      <c r="UYO25" s="89"/>
      <c r="UYP25" s="89"/>
      <c r="UYQ25" s="89"/>
      <c r="UYR25" s="89"/>
      <c r="UYS25" s="89"/>
      <c r="UYT25" s="89"/>
      <c r="UYU25" s="89"/>
      <c r="UYV25" s="89"/>
      <c r="UYW25" s="89"/>
      <c r="UYX25" s="89"/>
      <c r="UYY25" s="89"/>
      <c r="UYZ25" s="89"/>
      <c r="UZA25" s="89"/>
      <c r="UZB25" s="89"/>
      <c r="UZC25" s="89"/>
      <c r="UZD25" s="89"/>
      <c r="UZE25" s="89"/>
      <c r="UZF25" s="89"/>
      <c r="UZG25" s="89"/>
      <c r="UZH25" s="89"/>
      <c r="UZI25" s="89"/>
      <c r="UZJ25" s="89"/>
      <c r="UZK25" s="89"/>
      <c r="UZL25" s="89"/>
      <c r="UZM25" s="89"/>
      <c r="UZN25" s="89"/>
      <c r="UZO25" s="89"/>
      <c r="UZP25" s="89"/>
      <c r="UZQ25" s="89"/>
      <c r="UZR25" s="89"/>
      <c r="UZS25" s="89"/>
      <c r="UZT25" s="89"/>
      <c r="UZU25" s="89"/>
      <c r="UZV25" s="89"/>
      <c r="UZW25" s="89"/>
      <c r="UZX25" s="89"/>
      <c r="UZY25" s="89"/>
      <c r="UZZ25" s="89"/>
      <c r="VAA25" s="89"/>
      <c r="VAB25" s="89"/>
      <c r="VAC25" s="89"/>
      <c r="VAD25" s="89"/>
      <c r="VAE25" s="89"/>
      <c r="VAF25" s="89"/>
      <c r="VAG25" s="89"/>
      <c r="VAH25" s="89"/>
      <c r="VAI25" s="89"/>
      <c r="VAJ25" s="89"/>
      <c r="VAK25" s="89"/>
      <c r="VAL25" s="89"/>
      <c r="VAM25" s="89"/>
      <c r="VAN25" s="89"/>
      <c r="VAO25" s="89"/>
      <c r="VAP25" s="89"/>
      <c r="VAQ25" s="89"/>
      <c r="VAR25" s="89"/>
      <c r="VAS25" s="89"/>
      <c r="VAT25" s="89"/>
      <c r="VAU25" s="89"/>
      <c r="VAV25" s="89"/>
      <c r="VAW25" s="89"/>
      <c r="VAX25" s="89"/>
      <c r="VAY25" s="89"/>
      <c r="VAZ25" s="89"/>
      <c r="VBA25" s="89"/>
      <c r="VBB25" s="89"/>
      <c r="VBC25" s="89"/>
      <c r="VBD25" s="89"/>
      <c r="VBE25" s="89"/>
      <c r="VBF25" s="89"/>
      <c r="VBG25" s="89"/>
      <c r="VBH25" s="89"/>
      <c r="VBI25" s="89"/>
      <c r="VBJ25" s="89"/>
      <c r="VBK25" s="89"/>
      <c r="VBL25" s="89"/>
      <c r="VBM25" s="89"/>
      <c r="VBN25" s="89"/>
      <c r="VBO25" s="89"/>
      <c r="VBP25" s="89"/>
      <c r="VBQ25" s="89"/>
      <c r="VBR25" s="89"/>
      <c r="VBS25" s="89"/>
      <c r="VBT25" s="89"/>
      <c r="VBU25" s="89"/>
      <c r="VBV25" s="89"/>
      <c r="VBW25" s="89"/>
      <c r="VBX25" s="89"/>
      <c r="VBY25" s="89"/>
      <c r="VBZ25" s="89"/>
      <c r="VCA25" s="89"/>
      <c r="VCB25" s="89"/>
      <c r="VCC25" s="89"/>
      <c r="VCD25" s="89"/>
      <c r="VCE25" s="89"/>
      <c r="VCF25" s="89"/>
      <c r="VCG25" s="89"/>
      <c r="VCH25" s="89"/>
      <c r="VCI25" s="89"/>
      <c r="VCJ25" s="89"/>
      <c r="VCK25" s="89"/>
      <c r="VCL25" s="89"/>
      <c r="VCM25" s="89"/>
      <c r="VCN25" s="89"/>
      <c r="VCO25" s="89"/>
      <c r="VCP25" s="89"/>
      <c r="VCQ25" s="89"/>
      <c r="VCR25" s="89"/>
      <c r="VCS25" s="89"/>
      <c r="VCT25" s="89"/>
      <c r="VCU25" s="89"/>
      <c r="VCV25" s="89"/>
      <c r="VCW25" s="89"/>
      <c r="VCX25" s="89"/>
      <c r="VCY25" s="89"/>
      <c r="VCZ25" s="89"/>
      <c r="VDA25" s="89"/>
      <c r="VDB25" s="89"/>
      <c r="VDC25" s="89"/>
      <c r="VDD25" s="89"/>
      <c r="VDE25" s="89"/>
      <c r="VDF25" s="89"/>
      <c r="VDG25" s="89"/>
      <c r="VDH25" s="89"/>
      <c r="VDI25" s="89"/>
      <c r="VDJ25" s="89"/>
      <c r="VDK25" s="89"/>
      <c r="VDL25" s="89"/>
      <c r="VDM25" s="89"/>
      <c r="VDN25" s="89"/>
      <c r="VDO25" s="89"/>
      <c r="VDP25" s="89"/>
      <c r="VDQ25" s="89"/>
      <c r="VDR25" s="89"/>
      <c r="VDS25" s="89"/>
      <c r="VDT25" s="89"/>
      <c r="VDU25" s="89"/>
      <c r="VDV25" s="89"/>
      <c r="VDW25" s="89"/>
      <c r="VDX25" s="89"/>
      <c r="VDY25" s="89"/>
      <c r="VDZ25" s="89"/>
      <c r="VEA25" s="89"/>
      <c r="VEB25" s="89"/>
      <c r="VEC25" s="89"/>
      <c r="VED25" s="89"/>
      <c r="VEE25" s="89"/>
      <c r="VEF25" s="89"/>
      <c r="VEG25" s="89"/>
      <c r="VEH25" s="89"/>
      <c r="VEI25" s="89"/>
      <c r="VEJ25" s="89"/>
      <c r="VEK25" s="89"/>
      <c r="VEL25" s="89"/>
      <c r="VEM25" s="89"/>
      <c r="VEN25" s="89"/>
      <c r="VEO25" s="89"/>
      <c r="VEP25" s="89"/>
      <c r="VEQ25" s="89"/>
      <c r="VER25" s="89"/>
      <c r="VES25" s="89"/>
      <c r="VET25" s="89"/>
      <c r="VEU25" s="89"/>
      <c r="VEV25" s="89"/>
      <c r="VEW25" s="89"/>
      <c r="VEX25" s="89"/>
      <c r="VEY25" s="89"/>
      <c r="VEZ25" s="89"/>
      <c r="VFA25" s="89"/>
      <c r="VFB25" s="89"/>
      <c r="VFC25" s="89"/>
      <c r="VFD25" s="89"/>
      <c r="VFE25" s="89"/>
      <c r="VFF25" s="89"/>
      <c r="VFG25" s="89"/>
      <c r="VFH25" s="89"/>
      <c r="VFI25" s="89"/>
      <c r="VFJ25" s="89"/>
      <c r="VFK25" s="89"/>
      <c r="VFL25" s="89"/>
      <c r="VFM25" s="89"/>
      <c r="VFN25" s="89"/>
      <c r="VFO25" s="89"/>
      <c r="VFP25" s="89"/>
      <c r="VFQ25" s="89"/>
      <c r="VFR25" s="89"/>
      <c r="VFS25" s="89"/>
      <c r="VFT25" s="89"/>
      <c r="VFU25" s="89"/>
      <c r="VFV25" s="89"/>
      <c r="VFW25" s="89"/>
      <c r="VFX25" s="89"/>
      <c r="VFY25" s="89"/>
      <c r="VFZ25" s="89"/>
      <c r="VGA25" s="89"/>
      <c r="VGB25" s="89"/>
      <c r="VGC25" s="89"/>
      <c r="VGD25" s="89"/>
      <c r="VGE25" s="89"/>
      <c r="VGF25" s="89"/>
      <c r="VGG25" s="89"/>
      <c r="VGH25" s="89"/>
      <c r="VGI25" s="89"/>
      <c r="VGJ25" s="89"/>
      <c r="VGK25" s="89"/>
      <c r="VGL25" s="89"/>
      <c r="VGM25" s="89"/>
      <c r="VGN25" s="89"/>
      <c r="VGO25" s="89"/>
      <c r="VGP25" s="89"/>
      <c r="VGQ25" s="89"/>
      <c r="VGR25" s="89"/>
      <c r="VGS25" s="89"/>
      <c r="VGT25" s="89"/>
      <c r="VGU25" s="89"/>
      <c r="VGV25" s="89"/>
      <c r="VGW25" s="89"/>
      <c r="VGX25" s="89"/>
      <c r="VGY25" s="89"/>
      <c r="VGZ25" s="89"/>
      <c r="VHA25" s="89"/>
      <c r="VHB25" s="89"/>
      <c r="VHC25" s="89"/>
      <c r="VHD25" s="89"/>
      <c r="VHE25" s="89"/>
      <c r="VHF25" s="89"/>
      <c r="VHG25" s="89"/>
      <c r="VHH25" s="89"/>
      <c r="VHI25" s="89"/>
      <c r="VHJ25" s="89"/>
      <c r="VHK25" s="89"/>
      <c r="VHL25" s="89"/>
      <c r="VHM25" s="89"/>
      <c r="VHN25" s="89"/>
      <c r="VHO25" s="89"/>
      <c r="VHP25" s="89"/>
      <c r="VHQ25" s="89"/>
      <c r="VHR25" s="89"/>
      <c r="VHS25" s="89"/>
      <c r="VHT25" s="89"/>
      <c r="VHU25" s="89"/>
      <c r="VHV25" s="89"/>
      <c r="VHW25" s="89"/>
      <c r="VHX25" s="89"/>
      <c r="VHY25" s="89"/>
      <c r="VHZ25" s="89"/>
      <c r="VIA25" s="89"/>
      <c r="VIB25" s="89"/>
      <c r="VIC25" s="89"/>
      <c r="VID25" s="89"/>
      <c r="VIE25" s="89"/>
      <c r="VIF25" s="89"/>
      <c r="VIG25" s="89"/>
      <c r="VIH25" s="89"/>
      <c r="VII25" s="89"/>
      <c r="VIJ25" s="89"/>
      <c r="VIK25" s="89"/>
      <c r="VIL25" s="89"/>
      <c r="VIM25" s="89"/>
      <c r="VIN25" s="89"/>
      <c r="VIO25" s="89"/>
      <c r="VIP25" s="89"/>
      <c r="VIQ25" s="89"/>
      <c r="VIR25" s="89"/>
      <c r="VIS25" s="89"/>
      <c r="VIT25" s="89"/>
      <c r="VIU25" s="89"/>
      <c r="VIV25" s="89"/>
      <c r="VIW25" s="89"/>
      <c r="VIX25" s="89"/>
      <c r="VIY25" s="89"/>
      <c r="VIZ25" s="89"/>
      <c r="VJA25" s="89"/>
      <c r="VJB25" s="89"/>
      <c r="VJC25" s="89"/>
      <c r="VJD25" s="89"/>
      <c r="VJE25" s="89"/>
      <c r="VJF25" s="89"/>
      <c r="VJG25" s="89"/>
      <c r="VJH25" s="89"/>
      <c r="VJI25" s="89"/>
      <c r="VJJ25" s="89"/>
      <c r="VJK25" s="89"/>
      <c r="VJL25" s="89"/>
      <c r="VJM25" s="89"/>
      <c r="VJN25" s="89"/>
      <c r="VJO25" s="89"/>
      <c r="VJP25" s="89"/>
      <c r="VJQ25" s="89"/>
      <c r="VJR25" s="89"/>
      <c r="VJS25" s="89"/>
      <c r="VJT25" s="89"/>
      <c r="VJU25" s="89"/>
      <c r="VJV25" s="89"/>
      <c r="VJW25" s="89"/>
      <c r="VJX25" s="89"/>
      <c r="VJY25" s="89"/>
      <c r="VJZ25" s="89"/>
      <c r="VKA25" s="89"/>
      <c r="VKB25" s="89"/>
      <c r="VKC25" s="89"/>
      <c r="VKD25" s="89"/>
      <c r="VKE25" s="89"/>
      <c r="VKF25" s="89"/>
      <c r="VKG25" s="89"/>
      <c r="VKH25" s="89"/>
      <c r="VKI25" s="89"/>
      <c r="VKJ25" s="89"/>
      <c r="VKK25" s="89"/>
      <c r="VKL25" s="89"/>
      <c r="VKM25" s="89"/>
      <c r="VKN25" s="89"/>
      <c r="VKO25" s="89"/>
      <c r="VKP25" s="89"/>
      <c r="VKQ25" s="89"/>
      <c r="VKR25" s="89"/>
      <c r="VKS25" s="89"/>
      <c r="VKT25" s="89"/>
      <c r="VKU25" s="89"/>
      <c r="VKV25" s="89"/>
      <c r="VKW25" s="89"/>
      <c r="VKX25" s="89"/>
      <c r="VKY25" s="89"/>
      <c r="VKZ25" s="89"/>
      <c r="VLA25" s="89"/>
      <c r="VLB25" s="89"/>
      <c r="VLC25" s="89"/>
      <c r="VLD25" s="89"/>
      <c r="VLE25" s="89"/>
      <c r="VLF25" s="89"/>
      <c r="VLG25" s="89"/>
      <c r="VLH25" s="89"/>
      <c r="VLI25" s="89"/>
      <c r="VLJ25" s="89"/>
      <c r="VLK25" s="89"/>
      <c r="VLL25" s="89"/>
      <c r="VLM25" s="89"/>
      <c r="VLN25" s="89"/>
      <c r="VLO25" s="89"/>
      <c r="VLP25" s="89"/>
      <c r="VLQ25" s="89"/>
      <c r="VLR25" s="89"/>
      <c r="VLS25" s="89"/>
      <c r="VLT25" s="89"/>
      <c r="VLU25" s="89"/>
      <c r="VLV25" s="89"/>
      <c r="VLW25" s="89"/>
      <c r="VLX25" s="89"/>
      <c r="VLY25" s="89"/>
      <c r="VLZ25" s="89"/>
      <c r="VMA25" s="89"/>
      <c r="VMB25" s="89"/>
      <c r="VMC25" s="89"/>
      <c r="VMD25" s="89"/>
      <c r="VME25" s="89"/>
      <c r="VMF25" s="89"/>
      <c r="VMG25" s="89"/>
      <c r="VMH25" s="89"/>
      <c r="VMI25" s="89"/>
      <c r="VMJ25" s="89"/>
      <c r="VMK25" s="89"/>
      <c r="VML25" s="89"/>
      <c r="VMM25" s="89"/>
      <c r="VMN25" s="89"/>
      <c r="VMO25" s="89"/>
      <c r="VMP25" s="89"/>
      <c r="VMQ25" s="89"/>
      <c r="VMR25" s="89"/>
      <c r="VMS25" s="89"/>
      <c r="VMT25" s="89"/>
      <c r="VMU25" s="89"/>
      <c r="VMV25" s="89"/>
      <c r="VMW25" s="89"/>
      <c r="VMX25" s="89"/>
      <c r="VMY25" s="89"/>
      <c r="VMZ25" s="89"/>
      <c r="VNA25" s="89"/>
      <c r="VNB25" s="89"/>
      <c r="VNC25" s="89"/>
      <c r="VND25" s="89"/>
      <c r="VNE25" s="89"/>
      <c r="VNF25" s="89"/>
      <c r="VNG25" s="89"/>
      <c r="VNH25" s="89"/>
      <c r="VNI25" s="89"/>
      <c r="VNJ25" s="89"/>
      <c r="VNK25" s="89"/>
      <c r="VNL25" s="89"/>
      <c r="VNM25" s="89"/>
      <c r="VNN25" s="89"/>
      <c r="VNO25" s="89"/>
      <c r="VNP25" s="89"/>
      <c r="VNQ25" s="89"/>
      <c r="VNR25" s="89"/>
      <c r="VNS25" s="89"/>
      <c r="VNT25" s="89"/>
      <c r="VNU25" s="89"/>
      <c r="VNV25" s="89"/>
      <c r="VNW25" s="89"/>
      <c r="VNX25" s="89"/>
      <c r="VNY25" s="89"/>
      <c r="VNZ25" s="89"/>
      <c r="VOA25" s="89"/>
      <c r="VOB25" s="89"/>
      <c r="VOC25" s="89"/>
      <c r="VOD25" s="89"/>
      <c r="VOE25" s="89"/>
      <c r="VOF25" s="89"/>
      <c r="VOG25" s="89"/>
      <c r="VOH25" s="89"/>
      <c r="VOI25" s="89"/>
      <c r="VOJ25" s="89"/>
      <c r="VOK25" s="89"/>
      <c r="VOL25" s="89"/>
      <c r="VOM25" s="89"/>
      <c r="VON25" s="89"/>
      <c r="VOO25" s="89"/>
      <c r="VOP25" s="89"/>
      <c r="VOQ25" s="89"/>
      <c r="VOR25" s="89"/>
      <c r="VOS25" s="89"/>
      <c r="VOT25" s="89"/>
      <c r="VOU25" s="89"/>
      <c r="VOV25" s="89"/>
      <c r="VOW25" s="89"/>
      <c r="VOX25" s="89"/>
      <c r="VOY25" s="89"/>
      <c r="VOZ25" s="89"/>
      <c r="VPA25" s="89"/>
      <c r="VPB25" s="89"/>
      <c r="VPC25" s="89"/>
      <c r="VPD25" s="89"/>
      <c r="VPE25" s="89"/>
      <c r="VPF25" s="89"/>
      <c r="VPG25" s="89"/>
      <c r="VPH25" s="89"/>
      <c r="VPI25" s="89"/>
      <c r="VPJ25" s="89"/>
      <c r="VPK25" s="89"/>
      <c r="VPL25" s="89"/>
      <c r="VPM25" s="89"/>
      <c r="VPN25" s="89"/>
      <c r="VPO25" s="89"/>
      <c r="VPP25" s="89"/>
      <c r="VPQ25" s="89"/>
      <c r="VPR25" s="89"/>
      <c r="VPS25" s="89"/>
      <c r="VPT25" s="89"/>
      <c r="VPU25" s="89"/>
      <c r="VPV25" s="89"/>
      <c r="VPW25" s="89"/>
      <c r="VPX25" s="89"/>
      <c r="VPY25" s="89"/>
      <c r="VPZ25" s="89"/>
      <c r="VQA25" s="89"/>
      <c r="VQB25" s="89"/>
      <c r="VQC25" s="89"/>
      <c r="VQD25" s="89"/>
      <c r="VQE25" s="89"/>
      <c r="VQF25" s="89"/>
      <c r="VQG25" s="89"/>
      <c r="VQH25" s="89"/>
      <c r="VQI25" s="89"/>
      <c r="VQJ25" s="89"/>
      <c r="VQK25" s="89"/>
      <c r="VQL25" s="89"/>
      <c r="VQM25" s="89"/>
      <c r="VQN25" s="89"/>
      <c r="VQO25" s="89"/>
      <c r="VQP25" s="89"/>
      <c r="VQQ25" s="89"/>
      <c r="VQR25" s="89"/>
      <c r="VQS25" s="89"/>
      <c r="VQT25" s="89"/>
      <c r="VQU25" s="89"/>
      <c r="VQV25" s="89"/>
      <c r="VQW25" s="89"/>
      <c r="VQX25" s="89"/>
      <c r="VQY25" s="89"/>
      <c r="VQZ25" s="89"/>
      <c r="VRA25" s="89"/>
      <c r="VRB25" s="89"/>
      <c r="VRC25" s="89"/>
      <c r="VRD25" s="89"/>
      <c r="VRE25" s="89"/>
      <c r="VRF25" s="89"/>
      <c r="VRG25" s="89"/>
      <c r="VRH25" s="89"/>
      <c r="VRI25" s="89"/>
      <c r="VRJ25" s="89"/>
      <c r="VRK25" s="89"/>
      <c r="VRL25" s="89"/>
      <c r="VRM25" s="89"/>
      <c r="VRN25" s="89"/>
      <c r="VRO25" s="89"/>
      <c r="VRP25" s="89"/>
      <c r="VRQ25" s="89"/>
      <c r="VRR25" s="89"/>
      <c r="VRS25" s="89"/>
      <c r="VRT25" s="89"/>
      <c r="VRU25" s="89"/>
      <c r="VRV25" s="89"/>
      <c r="VRW25" s="89"/>
      <c r="VRX25" s="89"/>
      <c r="VRY25" s="89"/>
      <c r="VRZ25" s="89"/>
      <c r="VSA25" s="89"/>
      <c r="VSB25" s="89"/>
      <c r="VSC25" s="89"/>
      <c r="VSD25" s="89"/>
      <c r="VSE25" s="89"/>
      <c r="VSF25" s="89"/>
      <c r="VSG25" s="89"/>
      <c r="VSH25" s="89"/>
      <c r="VSI25" s="89"/>
      <c r="VSJ25" s="89"/>
      <c r="VSK25" s="89"/>
      <c r="VSL25" s="89"/>
      <c r="VSM25" s="89"/>
      <c r="VSN25" s="89"/>
      <c r="VSO25" s="89"/>
      <c r="VSP25" s="89"/>
      <c r="VSQ25" s="89"/>
      <c r="VSR25" s="89"/>
      <c r="VSS25" s="89"/>
      <c r="VST25" s="89"/>
      <c r="VSU25" s="89"/>
      <c r="VSV25" s="89"/>
      <c r="VSW25" s="89"/>
      <c r="VSX25" s="89"/>
      <c r="VSY25" s="89"/>
      <c r="VSZ25" s="89"/>
      <c r="VTA25" s="89"/>
      <c r="VTB25" s="89"/>
      <c r="VTC25" s="89"/>
      <c r="VTD25" s="89"/>
      <c r="VTE25" s="89"/>
      <c r="VTF25" s="89"/>
      <c r="VTG25" s="89"/>
      <c r="VTH25" s="89"/>
      <c r="VTI25" s="89"/>
      <c r="VTJ25" s="89"/>
      <c r="VTK25" s="89"/>
      <c r="VTL25" s="89"/>
      <c r="VTM25" s="89"/>
      <c r="VTN25" s="89"/>
      <c r="VTO25" s="89"/>
      <c r="VTP25" s="89"/>
      <c r="VTQ25" s="89"/>
      <c r="VTR25" s="89"/>
      <c r="VTS25" s="89"/>
      <c r="VTT25" s="89"/>
      <c r="VTU25" s="89"/>
      <c r="VTV25" s="89"/>
      <c r="VTW25" s="89"/>
      <c r="VTX25" s="89"/>
      <c r="VTY25" s="89"/>
      <c r="VTZ25" s="89"/>
      <c r="VUA25" s="89"/>
      <c r="VUB25" s="89"/>
      <c r="VUC25" s="89"/>
      <c r="VUD25" s="89"/>
      <c r="VUE25" s="89"/>
      <c r="VUF25" s="89"/>
      <c r="VUG25" s="89"/>
      <c r="VUH25" s="89"/>
      <c r="VUI25" s="89"/>
      <c r="VUJ25" s="89"/>
      <c r="VUK25" s="89"/>
      <c r="VUL25" s="89"/>
      <c r="VUM25" s="89"/>
      <c r="VUN25" s="89"/>
      <c r="VUO25" s="89"/>
      <c r="VUP25" s="89"/>
      <c r="VUQ25" s="89"/>
      <c r="VUR25" s="89"/>
      <c r="VUS25" s="89"/>
      <c r="VUT25" s="89"/>
      <c r="VUU25" s="89"/>
      <c r="VUV25" s="89"/>
      <c r="VUW25" s="89"/>
      <c r="VUX25" s="89"/>
      <c r="VUY25" s="89"/>
      <c r="VUZ25" s="89"/>
      <c r="VVA25" s="89"/>
      <c r="VVB25" s="89"/>
      <c r="VVC25" s="89"/>
      <c r="VVD25" s="89"/>
      <c r="VVE25" s="89"/>
      <c r="VVF25" s="89"/>
      <c r="VVG25" s="89"/>
      <c r="VVH25" s="89"/>
      <c r="VVI25" s="89"/>
      <c r="VVJ25" s="89"/>
      <c r="VVK25" s="89"/>
      <c r="VVL25" s="89"/>
      <c r="VVM25" s="89"/>
      <c r="VVN25" s="89"/>
      <c r="VVO25" s="89"/>
      <c r="VVP25" s="89"/>
      <c r="VVQ25" s="89"/>
      <c r="VVR25" s="89"/>
      <c r="VVS25" s="89"/>
      <c r="VVT25" s="89"/>
      <c r="VVU25" s="89"/>
      <c r="VVV25" s="89"/>
      <c r="VVW25" s="89"/>
      <c r="VVX25" s="89"/>
      <c r="VVY25" s="89"/>
      <c r="VVZ25" s="89"/>
      <c r="VWA25" s="89"/>
      <c r="VWB25" s="89"/>
      <c r="VWC25" s="89"/>
      <c r="VWD25" s="89"/>
      <c r="VWE25" s="89"/>
      <c r="VWF25" s="89"/>
      <c r="VWG25" s="89"/>
      <c r="VWH25" s="89"/>
      <c r="VWI25" s="89"/>
      <c r="VWJ25" s="89"/>
      <c r="VWK25" s="89"/>
      <c r="VWL25" s="89"/>
      <c r="VWM25" s="89"/>
      <c r="VWN25" s="89"/>
      <c r="VWO25" s="89"/>
      <c r="VWP25" s="89"/>
      <c r="VWQ25" s="89"/>
      <c r="VWR25" s="89"/>
      <c r="VWS25" s="89"/>
      <c r="VWT25" s="89"/>
      <c r="VWU25" s="89"/>
      <c r="VWV25" s="89"/>
      <c r="VWW25" s="89"/>
      <c r="VWX25" s="89"/>
      <c r="VWY25" s="89"/>
      <c r="VWZ25" s="89"/>
      <c r="VXA25" s="89"/>
      <c r="VXB25" s="89"/>
      <c r="VXC25" s="89"/>
      <c r="VXD25" s="89"/>
      <c r="VXE25" s="89"/>
      <c r="VXF25" s="89"/>
      <c r="VXG25" s="89"/>
      <c r="VXH25" s="89"/>
      <c r="VXI25" s="89"/>
      <c r="VXJ25" s="89"/>
      <c r="VXK25" s="89"/>
      <c r="VXL25" s="89"/>
      <c r="VXM25" s="89"/>
      <c r="VXN25" s="89"/>
      <c r="VXO25" s="89"/>
      <c r="VXP25" s="89"/>
      <c r="VXQ25" s="89"/>
      <c r="VXR25" s="89"/>
      <c r="VXS25" s="89"/>
      <c r="VXT25" s="89"/>
      <c r="VXU25" s="89"/>
      <c r="VXV25" s="89"/>
      <c r="VXW25" s="89"/>
      <c r="VXX25" s="89"/>
      <c r="VXY25" s="89"/>
      <c r="VXZ25" s="89"/>
      <c r="VYA25" s="89"/>
      <c r="VYB25" s="89"/>
      <c r="VYC25" s="89"/>
      <c r="VYD25" s="89"/>
      <c r="VYE25" s="89"/>
      <c r="VYF25" s="89"/>
      <c r="VYG25" s="89"/>
      <c r="VYH25" s="89"/>
      <c r="VYI25" s="89"/>
      <c r="VYJ25" s="89"/>
      <c r="VYK25" s="89"/>
      <c r="VYL25" s="89"/>
      <c r="VYM25" s="89"/>
      <c r="VYN25" s="89"/>
      <c r="VYO25" s="89"/>
      <c r="VYP25" s="89"/>
      <c r="VYQ25" s="89"/>
      <c r="VYR25" s="89"/>
      <c r="VYS25" s="89"/>
      <c r="VYT25" s="89"/>
      <c r="VYU25" s="89"/>
      <c r="VYV25" s="89"/>
      <c r="VYW25" s="89"/>
      <c r="VYX25" s="89"/>
      <c r="VYY25" s="89"/>
      <c r="VYZ25" s="89"/>
      <c r="VZA25" s="89"/>
      <c r="VZB25" s="89"/>
      <c r="VZC25" s="89"/>
      <c r="VZD25" s="89"/>
      <c r="VZE25" s="89"/>
      <c r="VZF25" s="89"/>
      <c r="VZG25" s="89"/>
      <c r="VZH25" s="89"/>
      <c r="VZI25" s="89"/>
      <c r="VZJ25" s="89"/>
      <c r="VZK25" s="89"/>
      <c r="VZL25" s="89"/>
      <c r="VZM25" s="89"/>
      <c r="VZN25" s="89"/>
      <c r="VZO25" s="89"/>
      <c r="VZP25" s="89"/>
      <c r="VZQ25" s="89"/>
      <c r="VZR25" s="89"/>
      <c r="VZS25" s="89"/>
      <c r="VZT25" s="89"/>
      <c r="VZU25" s="89"/>
      <c r="VZV25" s="89"/>
      <c r="VZW25" s="89"/>
      <c r="VZX25" s="89"/>
      <c r="VZY25" s="89"/>
      <c r="VZZ25" s="89"/>
      <c r="WAA25" s="89"/>
      <c r="WAB25" s="89"/>
      <c r="WAC25" s="89"/>
      <c r="WAD25" s="89"/>
      <c r="WAE25" s="89"/>
      <c r="WAF25" s="89"/>
      <c r="WAG25" s="89"/>
      <c r="WAH25" s="89"/>
      <c r="WAI25" s="89"/>
      <c r="WAJ25" s="89"/>
      <c r="WAK25" s="89"/>
      <c r="WAL25" s="89"/>
      <c r="WAM25" s="89"/>
      <c r="WAN25" s="89"/>
      <c r="WAO25" s="89"/>
      <c r="WAP25" s="89"/>
      <c r="WAQ25" s="89"/>
      <c r="WAR25" s="89"/>
      <c r="WAS25" s="89"/>
      <c r="WAT25" s="89"/>
      <c r="WAU25" s="89"/>
      <c r="WAV25" s="89"/>
      <c r="WAW25" s="89"/>
      <c r="WAX25" s="89"/>
      <c r="WAY25" s="89"/>
      <c r="WAZ25" s="89"/>
      <c r="WBA25" s="89"/>
      <c r="WBB25" s="89"/>
      <c r="WBC25" s="89"/>
      <c r="WBD25" s="89"/>
      <c r="WBE25" s="89"/>
      <c r="WBF25" s="89"/>
      <c r="WBG25" s="89"/>
      <c r="WBH25" s="89"/>
      <c r="WBI25" s="89"/>
      <c r="WBJ25" s="89"/>
      <c r="WBK25" s="89"/>
      <c r="WBL25" s="89"/>
      <c r="WBM25" s="89"/>
      <c r="WBN25" s="89"/>
      <c r="WBO25" s="89"/>
      <c r="WBP25" s="89"/>
      <c r="WBQ25" s="89"/>
      <c r="WBR25" s="89"/>
      <c r="WBS25" s="89"/>
      <c r="WBT25" s="89"/>
      <c r="WBU25" s="89"/>
      <c r="WBV25" s="89"/>
      <c r="WBW25" s="89"/>
      <c r="WBX25" s="89"/>
      <c r="WBY25" s="89"/>
      <c r="WBZ25" s="89"/>
      <c r="WCA25" s="89"/>
      <c r="WCB25" s="89"/>
      <c r="WCC25" s="89"/>
      <c r="WCD25" s="89"/>
      <c r="WCE25" s="89"/>
      <c r="WCF25" s="89"/>
      <c r="WCG25" s="89"/>
      <c r="WCH25" s="89"/>
      <c r="WCI25" s="89"/>
      <c r="WCJ25" s="89"/>
      <c r="WCK25" s="89"/>
      <c r="WCL25" s="89"/>
      <c r="WCM25" s="89"/>
      <c r="WCN25" s="89"/>
      <c r="WCO25" s="89"/>
      <c r="WCP25" s="89"/>
      <c r="WCQ25" s="89"/>
      <c r="WCR25" s="89"/>
      <c r="WCS25" s="89"/>
      <c r="WCT25" s="89"/>
      <c r="WCU25" s="89"/>
      <c r="WCV25" s="89"/>
      <c r="WCW25" s="89"/>
      <c r="WCX25" s="89"/>
      <c r="WCY25" s="89"/>
      <c r="WCZ25" s="89"/>
      <c r="WDA25" s="89"/>
      <c r="WDB25" s="89"/>
      <c r="WDC25" s="89"/>
      <c r="WDD25" s="89"/>
      <c r="WDE25" s="89"/>
      <c r="WDF25" s="89"/>
      <c r="WDG25" s="89"/>
      <c r="WDH25" s="89"/>
      <c r="WDI25" s="89"/>
      <c r="WDJ25" s="89"/>
      <c r="WDK25" s="89"/>
      <c r="WDL25" s="89"/>
      <c r="WDM25" s="89"/>
      <c r="WDN25" s="89"/>
      <c r="WDO25" s="89"/>
      <c r="WDP25" s="89"/>
      <c r="WDQ25" s="89"/>
      <c r="WDR25" s="89"/>
      <c r="WDS25" s="89"/>
      <c r="WDT25" s="89"/>
      <c r="WDU25" s="89"/>
      <c r="WDV25" s="89"/>
      <c r="WDW25" s="89"/>
      <c r="WDX25" s="89"/>
      <c r="WDY25" s="89"/>
      <c r="WDZ25" s="89"/>
      <c r="WEA25" s="89"/>
      <c r="WEB25" s="89"/>
      <c r="WEC25" s="89"/>
      <c r="WED25" s="89"/>
      <c r="WEE25" s="89"/>
      <c r="WEF25" s="89"/>
      <c r="WEG25" s="89"/>
      <c r="WEH25" s="89"/>
      <c r="WEI25" s="89"/>
      <c r="WEJ25" s="89"/>
      <c r="WEK25" s="89"/>
      <c r="WEL25" s="89"/>
      <c r="WEM25" s="89"/>
      <c r="WEN25" s="89"/>
      <c r="WEO25" s="89"/>
      <c r="WEP25" s="89"/>
      <c r="WEQ25" s="89"/>
      <c r="WER25" s="89"/>
      <c r="WES25" s="89"/>
      <c r="WET25" s="89"/>
      <c r="WEU25" s="89"/>
      <c r="WEV25" s="89"/>
      <c r="WEW25" s="89"/>
      <c r="WEX25" s="89"/>
      <c r="WEY25" s="89"/>
      <c r="WEZ25" s="89"/>
      <c r="WFA25" s="89"/>
      <c r="WFB25" s="89"/>
      <c r="WFC25" s="89"/>
      <c r="WFD25" s="89"/>
      <c r="WFE25" s="89"/>
      <c r="WFF25" s="89"/>
      <c r="WFG25" s="89"/>
      <c r="WFH25" s="89"/>
      <c r="WFI25" s="89"/>
      <c r="WFJ25" s="89"/>
      <c r="WFK25" s="89"/>
      <c r="WFL25" s="89"/>
      <c r="WFM25" s="89"/>
      <c r="WFN25" s="89"/>
      <c r="WFO25" s="89"/>
      <c r="WFP25" s="89"/>
      <c r="WFQ25" s="89"/>
      <c r="WFR25" s="89"/>
      <c r="WFS25" s="89"/>
      <c r="WFT25" s="89"/>
      <c r="WFU25" s="89"/>
      <c r="WFV25" s="89"/>
      <c r="WFW25" s="89"/>
      <c r="WFX25" s="89"/>
      <c r="WFY25" s="89"/>
      <c r="WFZ25" s="89"/>
      <c r="WGA25" s="89"/>
      <c r="WGB25" s="89"/>
      <c r="WGC25" s="89"/>
      <c r="WGD25" s="89"/>
      <c r="WGE25" s="89"/>
      <c r="WGF25" s="89"/>
      <c r="WGG25" s="89"/>
      <c r="WGH25" s="89"/>
      <c r="WGI25" s="89"/>
      <c r="WGJ25" s="89"/>
      <c r="WGK25" s="89"/>
      <c r="WGL25" s="89"/>
      <c r="WGM25" s="89"/>
      <c r="WGN25" s="89"/>
      <c r="WGO25" s="89"/>
      <c r="WGP25" s="89"/>
      <c r="WGQ25" s="89"/>
      <c r="WGR25" s="89"/>
      <c r="WGS25" s="89"/>
      <c r="WGT25" s="89"/>
      <c r="WGU25" s="89"/>
      <c r="WGV25" s="89"/>
      <c r="WGW25" s="89"/>
      <c r="WGX25" s="89"/>
      <c r="WGY25" s="89"/>
      <c r="WGZ25" s="89"/>
      <c r="WHA25" s="89"/>
      <c r="WHB25" s="89"/>
      <c r="WHC25" s="89"/>
      <c r="WHD25" s="89"/>
      <c r="WHE25" s="89"/>
      <c r="WHF25" s="89"/>
      <c r="WHG25" s="89"/>
      <c r="WHH25" s="89"/>
      <c r="WHI25" s="89"/>
      <c r="WHJ25" s="89"/>
      <c r="WHK25" s="89"/>
      <c r="WHL25" s="89"/>
      <c r="WHM25" s="89"/>
      <c r="WHN25" s="89"/>
      <c r="WHO25" s="89"/>
      <c r="WHP25" s="89"/>
      <c r="WHQ25" s="89"/>
      <c r="WHR25" s="89"/>
      <c r="WHS25" s="89"/>
      <c r="WHT25" s="89"/>
      <c r="WHU25" s="89"/>
      <c r="WHV25" s="89"/>
      <c r="WHW25" s="89"/>
      <c r="WHX25" s="89"/>
      <c r="WHY25" s="89"/>
      <c r="WHZ25" s="89"/>
      <c r="WIA25" s="89"/>
      <c r="WIB25" s="89"/>
      <c r="WIC25" s="89"/>
      <c r="WID25" s="89"/>
      <c r="WIE25" s="89"/>
      <c r="WIF25" s="89"/>
      <c r="WIG25" s="89"/>
      <c r="WIH25" s="89"/>
      <c r="WII25" s="89"/>
      <c r="WIJ25" s="89"/>
      <c r="WIK25" s="89"/>
      <c r="WIL25" s="89"/>
      <c r="WIM25" s="89"/>
      <c r="WIN25" s="89"/>
      <c r="WIO25" s="89"/>
      <c r="WIP25" s="89"/>
      <c r="WIQ25" s="89"/>
      <c r="WIR25" s="89"/>
      <c r="WIS25" s="89"/>
      <c r="WIT25" s="89"/>
      <c r="WIU25" s="89"/>
      <c r="WIV25" s="89"/>
      <c r="WIW25" s="89"/>
      <c r="WIX25" s="89"/>
      <c r="WIY25" s="89"/>
      <c r="WIZ25" s="89"/>
      <c r="WJA25" s="89"/>
      <c r="WJB25" s="89"/>
      <c r="WJC25" s="89"/>
      <c r="WJD25" s="89"/>
      <c r="WJE25" s="89"/>
      <c r="WJF25" s="89"/>
      <c r="WJG25" s="89"/>
      <c r="WJH25" s="89"/>
      <c r="WJI25" s="89"/>
      <c r="WJJ25" s="89"/>
      <c r="WJK25" s="89"/>
      <c r="WJL25" s="89"/>
      <c r="WJM25" s="89"/>
      <c r="WJN25" s="89"/>
      <c r="WJO25" s="89"/>
      <c r="WJP25" s="89"/>
      <c r="WJQ25" s="89"/>
      <c r="WJR25" s="89"/>
      <c r="WJS25" s="89"/>
      <c r="WJT25" s="89"/>
      <c r="WJU25" s="89"/>
      <c r="WJV25" s="89"/>
      <c r="WJW25" s="89"/>
      <c r="WJX25" s="89"/>
      <c r="WJY25" s="89"/>
      <c r="WJZ25" s="89"/>
      <c r="WKA25" s="89"/>
      <c r="WKB25" s="89"/>
      <c r="WKC25" s="89"/>
      <c r="WKD25" s="89"/>
      <c r="WKE25" s="89"/>
      <c r="WKF25" s="89"/>
      <c r="WKG25" s="89"/>
      <c r="WKH25" s="89"/>
      <c r="WKI25" s="89"/>
      <c r="WKJ25" s="89"/>
      <c r="WKK25" s="89"/>
      <c r="WKL25" s="89"/>
      <c r="WKM25" s="89"/>
      <c r="WKN25" s="89"/>
      <c r="WKO25" s="89"/>
      <c r="WKP25" s="89"/>
      <c r="WKQ25" s="89"/>
      <c r="WKR25" s="89"/>
      <c r="WKS25" s="89"/>
      <c r="WKT25" s="89"/>
      <c r="WKU25" s="89"/>
      <c r="WKV25" s="89"/>
      <c r="WKW25" s="89"/>
      <c r="WKX25" s="89"/>
      <c r="WKY25" s="89"/>
      <c r="WKZ25" s="89"/>
      <c r="WLA25" s="89"/>
      <c r="WLB25" s="89"/>
      <c r="WLC25" s="89"/>
      <c r="WLD25" s="89"/>
      <c r="WLE25" s="89"/>
      <c r="WLF25" s="89"/>
      <c r="WLG25" s="89"/>
      <c r="WLH25" s="89"/>
      <c r="WLI25" s="89"/>
      <c r="WLJ25" s="89"/>
      <c r="WLK25" s="89"/>
      <c r="WLL25" s="89"/>
      <c r="WLM25" s="89"/>
      <c r="WLN25" s="89"/>
      <c r="WLO25" s="89"/>
      <c r="WLP25" s="89"/>
      <c r="WLQ25" s="89"/>
      <c r="WLR25" s="89"/>
      <c r="WLS25" s="89"/>
      <c r="WLT25" s="89"/>
      <c r="WLU25" s="89"/>
      <c r="WLV25" s="89"/>
      <c r="WLW25" s="89"/>
      <c r="WLX25" s="89"/>
      <c r="WLY25" s="89"/>
      <c r="WLZ25" s="89"/>
      <c r="WMA25" s="89"/>
      <c r="WMB25" s="89"/>
      <c r="WMC25" s="89"/>
      <c r="WMD25" s="89"/>
      <c r="WME25" s="89"/>
      <c r="WMF25" s="89"/>
      <c r="WMG25" s="89"/>
      <c r="WMH25" s="89"/>
      <c r="WMI25" s="89"/>
      <c r="WMJ25" s="89"/>
      <c r="WMK25" s="89"/>
      <c r="WML25" s="89"/>
      <c r="WMM25" s="89"/>
      <c r="WMN25" s="89"/>
      <c r="WMO25" s="89"/>
      <c r="WMP25" s="89"/>
      <c r="WMQ25" s="89"/>
      <c r="WMR25" s="89"/>
      <c r="WMS25" s="89"/>
      <c r="WMT25" s="89"/>
      <c r="WMU25" s="89"/>
      <c r="WMV25" s="89"/>
      <c r="WMW25" s="89"/>
      <c r="WMX25" s="89"/>
      <c r="WMY25" s="89"/>
      <c r="WMZ25" s="89"/>
      <c r="WNA25" s="89"/>
      <c r="WNB25" s="89"/>
      <c r="WNC25" s="89"/>
      <c r="WND25" s="89"/>
      <c r="WNE25" s="89"/>
      <c r="WNF25" s="89"/>
      <c r="WNG25" s="89"/>
      <c r="WNH25" s="89"/>
      <c r="WNI25" s="89"/>
      <c r="WNJ25" s="89"/>
      <c r="WNK25" s="89"/>
      <c r="WNL25" s="89"/>
      <c r="WNM25" s="89"/>
      <c r="WNN25" s="89"/>
      <c r="WNO25" s="89"/>
      <c r="WNP25" s="89"/>
      <c r="WNQ25" s="89"/>
      <c r="WNR25" s="89"/>
      <c r="WNS25" s="89"/>
      <c r="WNT25" s="89"/>
      <c r="WNU25" s="89"/>
      <c r="WNV25" s="89"/>
      <c r="WNW25" s="89"/>
      <c r="WNX25" s="89"/>
      <c r="WNY25" s="89"/>
      <c r="WNZ25" s="89"/>
      <c r="WOA25" s="89"/>
      <c r="WOB25" s="89"/>
      <c r="WOC25" s="89"/>
      <c r="WOD25" s="89"/>
      <c r="WOE25" s="89"/>
      <c r="WOF25" s="89"/>
      <c r="WOG25" s="89"/>
      <c r="WOH25" s="89"/>
      <c r="WOI25" s="89"/>
      <c r="WOJ25" s="89"/>
      <c r="WOK25" s="89"/>
      <c r="WOL25" s="89"/>
      <c r="WOM25" s="89"/>
      <c r="WON25" s="89"/>
      <c r="WOO25" s="89"/>
      <c r="WOP25" s="89"/>
      <c r="WOQ25" s="89"/>
      <c r="WOR25" s="89"/>
      <c r="WOS25" s="89"/>
      <c r="WOT25" s="89"/>
      <c r="WOU25" s="89"/>
      <c r="WOV25" s="89"/>
      <c r="WOW25" s="89"/>
      <c r="WOX25" s="89"/>
      <c r="WOY25" s="89"/>
      <c r="WOZ25" s="89"/>
      <c r="WPA25" s="89"/>
      <c r="WPB25" s="89"/>
      <c r="WPC25" s="89"/>
      <c r="WPD25" s="89"/>
      <c r="WPE25" s="89"/>
      <c r="WPF25" s="89"/>
      <c r="WPG25" s="89"/>
      <c r="WPH25" s="89"/>
      <c r="WPI25" s="89"/>
      <c r="WPJ25" s="89"/>
      <c r="WPK25" s="89"/>
      <c r="WPL25" s="89"/>
      <c r="WPM25" s="89"/>
      <c r="WPN25" s="89"/>
      <c r="WPO25" s="89"/>
      <c r="WPP25" s="89"/>
      <c r="WPQ25" s="89"/>
      <c r="WPR25" s="89"/>
      <c r="WPS25" s="89"/>
      <c r="WPT25" s="89"/>
      <c r="WPU25" s="89"/>
      <c r="WPV25" s="89"/>
      <c r="WPW25" s="89"/>
      <c r="WPX25" s="89"/>
      <c r="WPY25" s="89"/>
      <c r="WPZ25" s="89"/>
      <c r="WQA25" s="89"/>
      <c r="WQB25" s="89"/>
      <c r="WQC25" s="89"/>
      <c r="WQD25" s="89"/>
      <c r="WQE25" s="89"/>
      <c r="WQF25" s="89"/>
      <c r="WQG25" s="89"/>
      <c r="WQH25" s="89"/>
      <c r="WQI25" s="89"/>
      <c r="WQJ25" s="89"/>
      <c r="WQK25" s="89"/>
      <c r="WQL25" s="89"/>
      <c r="WQM25" s="89"/>
      <c r="WQN25" s="89"/>
      <c r="WQO25" s="89"/>
      <c r="WQP25" s="89"/>
      <c r="WQQ25" s="89"/>
      <c r="WQR25" s="89"/>
      <c r="WQS25" s="89"/>
      <c r="WQT25" s="89"/>
      <c r="WQU25" s="89"/>
      <c r="WQV25" s="89"/>
      <c r="WQW25" s="89"/>
      <c r="WQX25" s="89"/>
      <c r="WQY25" s="89"/>
      <c r="WQZ25" s="89"/>
      <c r="WRA25" s="89"/>
      <c r="WRB25" s="89"/>
      <c r="WRC25" s="89"/>
      <c r="WRD25" s="89"/>
      <c r="WRE25" s="89"/>
      <c r="WRF25" s="89"/>
      <c r="WRG25" s="89"/>
      <c r="WRH25" s="89"/>
      <c r="WRI25" s="89"/>
      <c r="WRJ25" s="89"/>
      <c r="WRK25" s="89"/>
      <c r="WRL25" s="89"/>
      <c r="WRM25" s="89"/>
      <c r="WRN25" s="89"/>
      <c r="WRO25" s="89"/>
      <c r="WRP25" s="89"/>
      <c r="WRQ25" s="89"/>
      <c r="WRR25" s="89"/>
      <c r="WRS25" s="89"/>
      <c r="WRT25" s="89"/>
      <c r="WRU25" s="89"/>
      <c r="WRV25" s="89"/>
      <c r="WRW25" s="89"/>
      <c r="WRX25" s="89"/>
      <c r="WRY25" s="89"/>
      <c r="WRZ25" s="89"/>
      <c r="WSA25" s="89"/>
      <c r="WSB25" s="89"/>
      <c r="WSC25" s="89"/>
      <c r="WSD25" s="89"/>
      <c r="WSE25" s="89"/>
      <c r="WSF25" s="89"/>
      <c r="WSG25" s="89"/>
      <c r="WSH25" s="89"/>
      <c r="WSI25" s="89"/>
      <c r="WSJ25" s="89"/>
      <c r="WSK25" s="89"/>
      <c r="WSL25" s="89"/>
      <c r="WSM25" s="89"/>
      <c r="WSN25" s="89"/>
      <c r="WSO25" s="89"/>
      <c r="WSP25" s="89"/>
      <c r="WSQ25" s="89"/>
      <c r="WSR25" s="89"/>
      <c r="WSS25" s="89"/>
      <c r="WST25" s="89"/>
      <c r="WSU25" s="89"/>
      <c r="WSV25" s="89"/>
      <c r="WSW25" s="89"/>
      <c r="WSX25" s="89"/>
      <c r="WSY25" s="89"/>
      <c r="WSZ25" s="89"/>
      <c r="WTA25" s="89"/>
      <c r="WTB25" s="89"/>
      <c r="WTC25" s="89"/>
      <c r="WTD25" s="89"/>
      <c r="WTE25" s="89"/>
      <c r="WTF25" s="89"/>
      <c r="WTG25" s="89"/>
      <c r="WTH25" s="89"/>
      <c r="WTI25" s="89"/>
      <c r="WTJ25" s="89"/>
      <c r="WTK25" s="89"/>
      <c r="WTL25" s="89"/>
      <c r="WTM25" s="89"/>
      <c r="WTN25" s="89"/>
      <c r="WTO25" s="89"/>
      <c r="WTP25" s="89"/>
      <c r="WTQ25" s="89"/>
      <c r="WTR25" s="89"/>
      <c r="WTS25" s="89"/>
      <c r="WTT25" s="89"/>
      <c r="WTU25" s="89"/>
      <c r="WTV25" s="89"/>
      <c r="WTW25" s="89"/>
      <c r="WTX25" s="89"/>
      <c r="WTY25" s="89"/>
      <c r="WTZ25" s="89"/>
      <c r="WUA25" s="89"/>
      <c r="WUB25" s="89"/>
      <c r="WUC25" s="89"/>
      <c r="WUD25" s="89"/>
      <c r="WUE25" s="89"/>
      <c r="WUF25" s="89"/>
      <c r="WUG25" s="89"/>
      <c r="WUH25" s="89"/>
      <c r="WUI25" s="89"/>
      <c r="WUJ25" s="89"/>
      <c r="WUK25" s="89"/>
      <c r="WUL25" s="89"/>
      <c r="WUM25" s="89"/>
      <c r="WUN25" s="89"/>
      <c r="WUO25" s="89"/>
      <c r="WUP25" s="89"/>
      <c r="WUQ25" s="89"/>
      <c r="WUR25" s="89"/>
      <c r="WUS25" s="89"/>
      <c r="WUT25" s="89"/>
      <c r="WUU25" s="89"/>
      <c r="WUV25" s="89"/>
      <c r="WUW25" s="89"/>
      <c r="WUX25" s="89"/>
      <c r="WUY25" s="89"/>
      <c r="WUZ25" s="89"/>
      <c r="WVA25" s="89"/>
      <c r="WVB25" s="89"/>
      <c r="WVC25" s="89"/>
      <c r="WVD25" s="89"/>
      <c r="WVE25" s="89"/>
      <c r="WVF25" s="89"/>
      <c r="WVG25" s="89"/>
      <c r="WVH25" s="89"/>
      <c r="WVI25" s="89"/>
      <c r="WVJ25" s="89"/>
      <c r="WVK25" s="89"/>
      <c r="WVL25" s="89"/>
      <c r="WVM25" s="89"/>
      <c r="WVN25" s="89"/>
      <c r="WVO25" s="89"/>
      <c r="WVP25" s="89"/>
      <c r="WVQ25" s="89"/>
      <c r="WVR25" s="89"/>
      <c r="WVS25" s="89"/>
      <c r="WVT25" s="89"/>
      <c r="WVU25" s="89"/>
      <c r="WVV25" s="89"/>
      <c r="WVW25" s="89"/>
      <c r="WVX25" s="89"/>
      <c r="WVY25" s="89"/>
      <c r="WVZ25" s="89"/>
      <c r="WWA25" s="89"/>
      <c r="WWB25" s="89"/>
      <c r="WWC25" s="89"/>
      <c r="WWD25" s="89"/>
      <c r="WWE25" s="89"/>
      <c r="WWF25" s="89"/>
      <c r="WWG25" s="89"/>
      <c r="WWH25" s="89"/>
      <c r="WWI25" s="89"/>
      <c r="WWJ25" s="89"/>
      <c r="WWK25" s="89"/>
      <c r="WWL25" s="89"/>
      <c r="WWM25" s="89"/>
      <c r="WWN25" s="89"/>
      <c r="WWO25" s="89"/>
      <c r="WWP25" s="89"/>
      <c r="WWQ25" s="89"/>
      <c r="WWR25" s="89"/>
      <c r="WWS25" s="89"/>
      <c r="WWT25" s="89"/>
      <c r="WWU25" s="89"/>
      <c r="WWV25" s="89"/>
      <c r="WWW25" s="89"/>
      <c r="WWX25" s="89"/>
      <c r="WWY25" s="89"/>
      <c r="WWZ25" s="89"/>
      <c r="WXA25" s="89"/>
      <c r="WXB25" s="89"/>
      <c r="WXC25" s="89"/>
      <c r="WXD25" s="89"/>
      <c r="WXE25" s="89"/>
      <c r="WXF25" s="89"/>
      <c r="WXG25" s="89"/>
      <c r="WXH25" s="89"/>
      <c r="WXI25" s="89"/>
      <c r="WXJ25" s="89"/>
      <c r="WXK25" s="89"/>
      <c r="WXL25" s="89"/>
      <c r="WXM25" s="89"/>
      <c r="WXN25" s="89"/>
      <c r="WXO25" s="89"/>
      <c r="WXP25" s="89"/>
      <c r="WXQ25" s="89"/>
      <c r="WXR25" s="89"/>
      <c r="WXS25" s="89"/>
      <c r="WXT25" s="89"/>
      <c r="WXU25" s="89"/>
      <c r="WXV25" s="89"/>
      <c r="WXW25" s="89"/>
      <c r="WXX25" s="89"/>
      <c r="WXY25" s="89"/>
      <c r="WXZ25" s="89"/>
      <c r="WYA25" s="89"/>
      <c r="WYB25" s="89"/>
      <c r="WYC25" s="89"/>
      <c r="WYD25" s="89"/>
      <c r="WYE25" s="89"/>
      <c r="WYF25" s="89"/>
      <c r="WYG25" s="89"/>
      <c r="WYH25" s="89"/>
      <c r="WYI25" s="89"/>
      <c r="WYJ25" s="89"/>
      <c r="WYK25" s="89"/>
      <c r="WYL25" s="89"/>
      <c r="WYM25" s="89"/>
      <c r="WYN25" s="89"/>
      <c r="WYO25" s="89"/>
      <c r="WYP25" s="89"/>
      <c r="WYQ25" s="89"/>
      <c r="WYR25" s="89"/>
      <c r="WYS25" s="89"/>
      <c r="WYT25" s="89"/>
      <c r="WYU25" s="89"/>
      <c r="WYV25" s="89"/>
      <c r="WYW25" s="89"/>
      <c r="WYX25" s="89"/>
      <c r="WYY25" s="89"/>
      <c r="WYZ25" s="89"/>
      <c r="WZA25" s="89"/>
      <c r="WZB25" s="89"/>
      <c r="WZC25" s="89"/>
      <c r="WZD25" s="89"/>
      <c r="WZE25" s="89"/>
      <c r="WZF25" s="89"/>
      <c r="WZG25" s="89"/>
      <c r="WZH25" s="89"/>
      <c r="WZI25" s="89"/>
      <c r="WZJ25" s="89"/>
      <c r="WZK25" s="89"/>
      <c r="WZL25" s="89"/>
      <c r="WZM25" s="89"/>
      <c r="WZN25" s="89"/>
      <c r="WZO25" s="89"/>
      <c r="WZP25" s="89"/>
      <c r="WZQ25" s="89"/>
      <c r="WZR25" s="89"/>
      <c r="WZS25" s="89"/>
      <c r="WZT25" s="89"/>
      <c r="WZU25" s="89"/>
      <c r="WZV25" s="89"/>
      <c r="WZW25" s="89"/>
      <c r="WZX25" s="89"/>
      <c r="WZY25" s="89"/>
      <c r="WZZ25" s="89"/>
      <c r="XAA25" s="89"/>
      <c r="XAB25" s="89"/>
      <c r="XAC25" s="89"/>
      <c r="XAD25" s="89"/>
      <c r="XAE25" s="89"/>
      <c r="XAF25" s="89"/>
      <c r="XAG25" s="89"/>
      <c r="XAH25" s="89"/>
      <c r="XAI25" s="89"/>
      <c r="XAJ25" s="89"/>
      <c r="XAK25" s="89"/>
      <c r="XAL25" s="89"/>
      <c r="XAM25" s="89"/>
      <c r="XAN25" s="89"/>
      <c r="XAO25" s="89"/>
      <c r="XAP25" s="89"/>
      <c r="XAQ25" s="89"/>
      <c r="XAR25" s="89"/>
      <c r="XAS25" s="89"/>
      <c r="XAT25" s="89"/>
      <c r="XAU25" s="89"/>
      <c r="XAV25" s="89"/>
      <c r="XAW25" s="89"/>
      <c r="XAX25" s="89"/>
      <c r="XAY25" s="89"/>
      <c r="XAZ25" s="89"/>
      <c r="XBA25" s="89"/>
      <c r="XBB25" s="89"/>
      <c r="XBC25" s="89"/>
      <c r="XBD25" s="89"/>
      <c r="XBE25" s="89"/>
      <c r="XBF25" s="89"/>
      <c r="XBG25" s="89"/>
      <c r="XBH25" s="89"/>
      <c r="XBI25" s="89"/>
      <c r="XBJ25" s="89"/>
      <c r="XBK25" s="89"/>
      <c r="XBL25" s="89"/>
      <c r="XBM25" s="89"/>
      <c r="XBN25" s="89"/>
      <c r="XBO25" s="89"/>
      <c r="XBP25" s="89"/>
      <c r="XBQ25" s="89"/>
      <c r="XBR25" s="89"/>
      <c r="XBS25" s="89"/>
      <c r="XBT25" s="89"/>
      <c r="XBU25" s="89"/>
      <c r="XBV25" s="89"/>
      <c r="XBW25" s="89"/>
      <c r="XBX25" s="89"/>
      <c r="XBY25" s="89"/>
      <c r="XBZ25" s="89"/>
      <c r="XCA25" s="89"/>
      <c r="XCB25" s="89"/>
      <c r="XCC25" s="89"/>
      <c r="XCD25" s="89"/>
      <c r="XCE25" s="89"/>
      <c r="XCF25" s="89"/>
      <c r="XCG25" s="89"/>
      <c r="XCH25" s="89"/>
      <c r="XCI25" s="89"/>
      <c r="XCJ25" s="89"/>
      <c r="XCK25" s="89"/>
      <c r="XCL25" s="89"/>
      <c r="XCM25" s="89"/>
      <c r="XCN25" s="89"/>
      <c r="XCO25" s="89"/>
      <c r="XCP25" s="89"/>
      <c r="XCQ25" s="89"/>
      <c r="XCR25" s="89"/>
      <c r="XCS25" s="89"/>
      <c r="XCT25" s="89"/>
      <c r="XCU25" s="89"/>
      <c r="XCV25" s="89"/>
      <c r="XCW25" s="89"/>
      <c r="XCX25" s="89"/>
      <c r="XCY25" s="89"/>
      <c r="XCZ25" s="89"/>
      <c r="XDA25" s="89"/>
      <c r="XDB25" s="89"/>
      <c r="XDC25" s="89"/>
      <c r="XDD25" s="89"/>
      <c r="XDE25" s="89"/>
      <c r="XDF25" s="89"/>
      <c r="XDG25" s="89"/>
      <c r="XDH25" s="89"/>
      <c r="XDI25" s="89"/>
      <c r="XDJ25" s="89"/>
      <c r="XDK25" s="89"/>
      <c r="XDL25" s="89"/>
      <c r="XDM25" s="89"/>
      <c r="XDN25" s="89"/>
      <c r="XDO25" s="89"/>
      <c r="XDP25" s="89"/>
      <c r="XDQ25" s="89"/>
      <c r="XDR25" s="89"/>
      <c r="XDS25" s="89"/>
      <c r="XDT25" s="89"/>
      <c r="XDU25" s="89"/>
      <c r="XDV25" s="89"/>
      <c r="XDW25" s="89"/>
      <c r="XDX25" s="89"/>
      <c r="XDY25" s="89"/>
      <c r="XDZ25" s="89"/>
      <c r="XEA25" s="89"/>
      <c r="XEB25" s="89"/>
      <c r="XEC25" s="89"/>
      <c r="XED25" s="89"/>
      <c r="XEE25" s="89"/>
      <c r="XEF25" s="89"/>
      <c r="XEG25" s="89"/>
      <c r="XEH25" s="89"/>
      <c r="XEI25" s="89"/>
      <c r="XEJ25" s="89"/>
      <c r="XEK25" s="89"/>
      <c r="XEL25" s="89"/>
      <c r="XEM25" s="89"/>
      <c r="XEN25" s="89"/>
      <c r="XEO25" s="89"/>
      <c r="XEP25" s="89"/>
      <c r="XEQ25" s="89"/>
      <c r="XER25" s="89"/>
      <c r="XES25" s="89"/>
      <c r="XET25" s="89"/>
      <c r="XEU25" s="89"/>
    </row>
    <row r="26" spans="1:16375" s="79" customFormat="1" ht="14.5" x14ac:dyDescent="0.35">
      <c r="A26" s="78" t="s">
        <v>536</v>
      </c>
      <c r="B26" s="70" t="s">
        <v>571</v>
      </c>
      <c r="C26" s="70" t="s">
        <v>570</v>
      </c>
      <c r="D26" s="70">
        <v>23</v>
      </c>
      <c r="E26" s="70" t="s">
        <v>564</v>
      </c>
      <c r="F26" s="70">
        <v>4</v>
      </c>
      <c r="G26" s="70" t="s">
        <v>532</v>
      </c>
      <c r="H26" s="70" t="s">
        <v>563</v>
      </c>
      <c r="I26" s="70" t="s">
        <v>529</v>
      </c>
      <c r="J26" s="70">
        <v>1</v>
      </c>
      <c r="K26" s="70" t="s">
        <v>530</v>
      </c>
      <c r="L26" s="70" t="s">
        <v>529</v>
      </c>
      <c r="M26" s="70">
        <v>2023</v>
      </c>
      <c r="N26" s="77">
        <v>89049</v>
      </c>
      <c r="O26" s="70">
        <v>52</v>
      </c>
      <c r="P26" s="70">
        <v>80</v>
      </c>
      <c r="Q26" s="70" t="s">
        <v>528</v>
      </c>
      <c r="R26" s="76">
        <v>3550.36</v>
      </c>
      <c r="S26" s="76">
        <v>3609.86</v>
      </c>
      <c r="T26" s="76">
        <v>3197.87</v>
      </c>
      <c r="U26" s="76">
        <v>3197.45</v>
      </c>
      <c r="V26" s="76">
        <v>3153.02</v>
      </c>
      <c r="W26" s="76">
        <v>3197.87</v>
      </c>
      <c r="X26" s="76">
        <v>3197.45</v>
      </c>
      <c r="Y26" s="76">
        <v>3197.87</v>
      </c>
      <c r="Z26" s="76">
        <v>3197.45</v>
      </c>
      <c r="AA26" s="76">
        <v>3197.88</v>
      </c>
      <c r="AB26" s="76">
        <v>3197.46</v>
      </c>
      <c r="AC26" s="76">
        <v>3670.23</v>
      </c>
      <c r="AD26" s="76">
        <v>3669.81</v>
      </c>
      <c r="AE26" s="76">
        <v>3670.5</v>
      </c>
      <c r="AF26" s="76">
        <v>3670.07</v>
      </c>
      <c r="AG26" s="76">
        <v>3670.5</v>
      </c>
      <c r="AH26" s="76">
        <v>3670.08</v>
      </c>
      <c r="AI26" s="76">
        <v>3670.49</v>
      </c>
      <c r="AJ26" s="76">
        <v>3670.08</v>
      </c>
      <c r="AK26" s="76">
        <v>3153.3</v>
      </c>
      <c r="AL26" s="76">
        <v>3670.49</v>
      </c>
      <c r="AM26" s="76">
        <v>3670.09</v>
      </c>
      <c r="AN26" s="76">
        <v>4139.5200000000004</v>
      </c>
      <c r="AO26" s="76">
        <v>3670.08</v>
      </c>
      <c r="AP26" s="76">
        <v>3670.08</v>
      </c>
      <c r="AQ26" s="76">
        <v>4139.5200000000004</v>
      </c>
      <c r="AR26" s="76">
        <v>91369.380000000019</v>
      </c>
      <c r="AS26" s="76">
        <v>289.2</v>
      </c>
      <c r="AT26" s="76">
        <v>99597.79</v>
      </c>
      <c r="AU26" s="76">
        <v>360</v>
      </c>
      <c r="AV26" s="76">
        <v>100592.84</v>
      </c>
      <c r="AW26" s="76">
        <v>360</v>
      </c>
      <c r="AX26" s="76">
        <v>101598.7684</v>
      </c>
      <c r="AY26" s="76">
        <v>360</v>
      </c>
      <c r="AZ26" s="84" t="s">
        <v>551</v>
      </c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  <c r="JD26" s="73"/>
      <c r="JE26" s="73"/>
      <c r="JF26" s="73"/>
      <c r="JG26" s="73"/>
      <c r="JH26" s="73"/>
      <c r="JI26" s="73"/>
      <c r="JJ26" s="73"/>
      <c r="JK26" s="73"/>
      <c r="JL26" s="73"/>
      <c r="JM26" s="73"/>
      <c r="JN26" s="73"/>
      <c r="JO26" s="73"/>
      <c r="JP26" s="73"/>
      <c r="JQ26" s="73"/>
      <c r="JR26" s="73"/>
      <c r="JS26" s="73"/>
      <c r="JT26" s="73"/>
      <c r="JU26" s="73"/>
      <c r="JV26" s="73"/>
      <c r="JW26" s="73"/>
      <c r="JX26" s="73"/>
      <c r="JY26" s="73"/>
      <c r="JZ26" s="73"/>
      <c r="KA26" s="73"/>
      <c r="KB26" s="73"/>
      <c r="KC26" s="73"/>
      <c r="KD26" s="73"/>
      <c r="KE26" s="73"/>
      <c r="KF26" s="73"/>
      <c r="KG26" s="73"/>
      <c r="KH26" s="73"/>
      <c r="KI26" s="73"/>
      <c r="KJ26" s="73"/>
      <c r="KK26" s="73"/>
      <c r="KL26" s="73"/>
      <c r="KM26" s="73"/>
      <c r="KN26" s="73"/>
      <c r="KO26" s="73"/>
      <c r="KP26" s="73"/>
      <c r="KQ26" s="73"/>
      <c r="KR26" s="73"/>
      <c r="KS26" s="73"/>
      <c r="KT26" s="73"/>
      <c r="KU26" s="73"/>
      <c r="KV26" s="73"/>
      <c r="KW26" s="73"/>
      <c r="KX26" s="73"/>
      <c r="KY26" s="73"/>
      <c r="KZ26" s="73"/>
      <c r="LA26" s="73"/>
      <c r="LB26" s="73"/>
      <c r="LC26" s="73"/>
      <c r="LD26" s="73"/>
      <c r="LE26" s="73"/>
      <c r="LF26" s="73"/>
      <c r="LG26" s="73"/>
      <c r="LH26" s="73"/>
      <c r="LI26" s="73"/>
      <c r="LJ26" s="73"/>
      <c r="LK26" s="73"/>
      <c r="LL26" s="73"/>
      <c r="LM26" s="73"/>
      <c r="LN26" s="73"/>
      <c r="LO26" s="73"/>
      <c r="LP26" s="73"/>
      <c r="LQ26" s="73"/>
      <c r="LR26" s="73"/>
      <c r="LS26" s="73"/>
      <c r="LT26" s="73"/>
      <c r="LU26" s="73"/>
      <c r="LV26" s="73"/>
      <c r="LW26" s="73"/>
      <c r="LX26" s="73"/>
      <c r="LY26" s="73"/>
      <c r="LZ26" s="73"/>
      <c r="MA26" s="73"/>
      <c r="MB26" s="73"/>
      <c r="MC26" s="73"/>
      <c r="MD26" s="73"/>
      <c r="ME26" s="73"/>
      <c r="MF26" s="73"/>
      <c r="MG26" s="73"/>
      <c r="MH26" s="73"/>
      <c r="MI26" s="73"/>
      <c r="MJ26" s="73"/>
      <c r="MK26" s="73"/>
      <c r="ML26" s="73"/>
      <c r="MM26" s="73"/>
      <c r="MN26" s="73"/>
      <c r="MO26" s="73"/>
      <c r="MP26" s="73"/>
      <c r="MQ26" s="73"/>
      <c r="MR26" s="73"/>
      <c r="MS26" s="73"/>
      <c r="MT26" s="73"/>
      <c r="MU26" s="73"/>
      <c r="MV26" s="73"/>
      <c r="MW26" s="73"/>
      <c r="MX26" s="73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  <c r="PC26" s="73"/>
      <c r="PD26" s="73"/>
      <c r="PE26" s="73"/>
      <c r="PF26" s="73"/>
      <c r="PG26" s="73"/>
      <c r="PH26" s="73"/>
      <c r="PI26" s="73"/>
      <c r="PJ26" s="73"/>
      <c r="PK26" s="73"/>
      <c r="PL26" s="73"/>
      <c r="PM26" s="73"/>
      <c r="PN26" s="73"/>
      <c r="PO26" s="73"/>
      <c r="PP26" s="73"/>
      <c r="PQ26" s="73"/>
      <c r="PR26" s="73"/>
      <c r="PS26" s="73"/>
      <c r="PT26" s="73"/>
      <c r="PU26" s="73"/>
      <c r="PV26" s="73"/>
      <c r="PW26" s="73"/>
      <c r="PX26" s="73"/>
      <c r="PY26" s="73"/>
      <c r="PZ26" s="73"/>
      <c r="QA26" s="73"/>
      <c r="QB26" s="73"/>
      <c r="QC26" s="73"/>
      <c r="QD26" s="73"/>
      <c r="QE26" s="73"/>
      <c r="QF26" s="73"/>
      <c r="QG26" s="73"/>
      <c r="QH26" s="73"/>
      <c r="QI26" s="73"/>
      <c r="QJ26" s="73"/>
      <c r="QK26" s="73"/>
      <c r="QL26" s="73"/>
      <c r="QM26" s="73"/>
      <c r="QN26" s="73"/>
      <c r="QO26" s="73"/>
      <c r="QP26" s="73"/>
      <c r="QQ26" s="73"/>
      <c r="QR26" s="73"/>
      <c r="QS26" s="73"/>
      <c r="QT26" s="73"/>
      <c r="QU26" s="73"/>
      <c r="QV26" s="73"/>
      <c r="QW26" s="73"/>
      <c r="QX26" s="73"/>
      <c r="QY26" s="73"/>
      <c r="QZ26" s="73"/>
      <c r="RA26" s="73"/>
      <c r="RB26" s="73"/>
      <c r="RC26" s="73"/>
      <c r="RD26" s="73"/>
      <c r="RE26" s="73"/>
      <c r="RF26" s="73"/>
      <c r="RG26" s="73"/>
      <c r="RH26" s="73"/>
      <c r="RI26" s="73"/>
      <c r="RJ26" s="73"/>
      <c r="RK26" s="73"/>
      <c r="RL26" s="73"/>
      <c r="RM26" s="73"/>
      <c r="RN26" s="73"/>
      <c r="RO26" s="73"/>
      <c r="RP26" s="73"/>
      <c r="RQ26" s="73"/>
      <c r="RR26" s="73"/>
      <c r="RS26" s="73"/>
      <c r="RT26" s="73"/>
      <c r="RU26" s="73"/>
      <c r="RV26" s="73"/>
      <c r="RW26" s="73"/>
      <c r="RX26" s="73"/>
      <c r="RY26" s="73"/>
      <c r="RZ26" s="73"/>
      <c r="SA26" s="73"/>
      <c r="SB26" s="73"/>
      <c r="SC26" s="73"/>
      <c r="SD26" s="73"/>
      <c r="SE26" s="73"/>
      <c r="SF26" s="73"/>
      <c r="SG26" s="73"/>
      <c r="SH26" s="73"/>
      <c r="SI26" s="73"/>
      <c r="SJ26" s="73"/>
      <c r="SK26" s="73"/>
      <c r="SL26" s="73"/>
      <c r="SM26" s="73"/>
      <c r="SN26" s="73"/>
      <c r="SO26" s="73"/>
      <c r="SP26" s="73"/>
      <c r="SQ26" s="73"/>
      <c r="SR26" s="73"/>
      <c r="SS26" s="73"/>
      <c r="ST26" s="73"/>
      <c r="SU26" s="73"/>
      <c r="SV26" s="73"/>
      <c r="SW26" s="73"/>
      <c r="SX26" s="73"/>
      <c r="SY26" s="73"/>
      <c r="SZ26" s="73"/>
      <c r="TA26" s="73"/>
      <c r="TB26" s="73"/>
      <c r="TC26" s="73"/>
      <c r="TD26" s="73"/>
      <c r="TE26" s="73"/>
      <c r="TF26" s="73"/>
      <c r="TG26" s="73"/>
      <c r="TH26" s="73"/>
      <c r="TI26" s="73"/>
      <c r="TJ26" s="73"/>
      <c r="TK26" s="73"/>
      <c r="TL26" s="73"/>
      <c r="TM26" s="73"/>
      <c r="TN26" s="73"/>
      <c r="TO26" s="73"/>
      <c r="TP26" s="73"/>
      <c r="TQ26" s="73"/>
      <c r="TR26" s="73"/>
      <c r="TS26" s="73"/>
      <c r="TT26" s="73"/>
      <c r="TU26" s="73"/>
      <c r="TV26" s="73"/>
      <c r="TW26" s="73"/>
      <c r="TX26" s="73"/>
      <c r="TY26" s="73"/>
      <c r="TZ26" s="73"/>
      <c r="UA26" s="73"/>
      <c r="UB26" s="73"/>
      <c r="UC26" s="73"/>
      <c r="UD26" s="73"/>
      <c r="UE26" s="73"/>
      <c r="UF26" s="73"/>
      <c r="UG26" s="73"/>
      <c r="UH26" s="73"/>
      <c r="UI26" s="73"/>
      <c r="UJ26" s="73"/>
      <c r="UK26" s="73"/>
      <c r="UL26" s="73"/>
      <c r="UM26" s="73"/>
      <c r="UN26" s="73"/>
      <c r="UO26" s="73"/>
      <c r="UP26" s="73"/>
      <c r="UQ26" s="73"/>
      <c r="UR26" s="73"/>
      <c r="US26" s="73"/>
      <c r="UT26" s="73"/>
      <c r="UU26" s="73"/>
      <c r="UV26" s="73"/>
      <c r="UW26" s="73"/>
      <c r="UX26" s="73"/>
      <c r="UY26" s="73"/>
      <c r="UZ26" s="73"/>
      <c r="VA26" s="73"/>
      <c r="VB26" s="73"/>
      <c r="VC26" s="73"/>
      <c r="VD26" s="73"/>
      <c r="VE26" s="73"/>
      <c r="VF26" s="73"/>
      <c r="VG26" s="73"/>
      <c r="VH26" s="73"/>
      <c r="VI26" s="73"/>
      <c r="VJ26" s="73"/>
      <c r="VK26" s="73"/>
      <c r="VL26" s="73"/>
      <c r="VM26" s="73"/>
      <c r="VN26" s="73"/>
      <c r="VO26" s="73"/>
      <c r="VP26" s="73"/>
      <c r="VQ26" s="73"/>
      <c r="VR26" s="73"/>
      <c r="VS26" s="73"/>
      <c r="VT26" s="73"/>
      <c r="VU26" s="73"/>
      <c r="VV26" s="73"/>
      <c r="VW26" s="73"/>
      <c r="VX26" s="73"/>
      <c r="VY26" s="73"/>
      <c r="VZ26" s="73"/>
      <c r="WA26" s="73"/>
      <c r="WB26" s="73"/>
      <c r="WC26" s="73"/>
      <c r="WD26" s="73"/>
      <c r="WE26" s="73"/>
      <c r="WF26" s="73"/>
      <c r="WG26" s="73"/>
      <c r="WH26" s="73"/>
      <c r="WI26" s="73"/>
      <c r="WJ26" s="73"/>
      <c r="WK26" s="73"/>
      <c r="WL26" s="73"/>
      <c r="WM26" s="73"/>
      <c r="WN26" s="73"/>
      <c r="WO26" s="73"/>
      <c r="WP26" s="73"/>
      <c r="WQ26" s="73"/>
      <c r="WR26" s="73"/>
      <c r="WS26" s="73"/>
      <c r="WT26" s="73"/>
      <c r="WU26" s="73"/>
      <c r="WV26" s="73"/>
      <c r="WW26" s="73"/>
      <c r="WX26" s="73"/>
      <c r="WY26" s="73"/>
      <c r="WZ26" s="73"/>
      <c r="XA26" s="73"/>
      <c r="XB26" s="73"/>
      <c r="XC26" s="73"/>
      <c r="XD26" s="73"/>
      <c r="XE26" s="73"/>
      <c r="XF26" s="73"/>
      <c r="XG26" s="73"/>
      <c r="XH26" s="73"/>
      <c r="XI26" s="73"/>
      <c r="XJ26" s="73"/>
      <c r="XK26" s="73"/>
      <c r="XL26" s="73"/>
      <c r="XM26" s="73"/>
      <c r="XN26" s="73"/>
      <c r="XO26" s="73"/>
      <c r="XP26" s="73"/>
      <c r="XQ26" s="73"/>
      <c r="XR26" s="73"/>
      <c r="XS26" s="73"/>
      <c r="XT26" s="73"/>
      <c r="XU26" s="73"/>
      <c r="XV26" s="73"/>
      <c r="XW26" s="73"/>
      <c r="XX26" s="73"/>
      <c r="XY26" s="73"/>
      <c r="XZ26" s="73"/>
      <c r="YA26" s="73"/>
      <c r="YB26" s="73"/>
      <c r="YC26" s="73"/>
      <c r="YD26" s="73"/>
      <c r="YE26" s="73"/>
      <c r="YF26" s="73"/>
      <c r="YG26" s="73"/>
      <c r="YH26" s="73"/>
      <c r="YI26" s="73"/>
      <c r="YJ26" s="73"/>
      <c r="YK26" s="73"/>
      <c r="YL26" s="73"/>
      <c r="YM26" s="73"/>
      <c r="YN26" s="73"/>
      <c r="YO26" s="73"/>
      <c r="YP26" s="73"/>
      <c r="YQ26" s="73"/>
      <c r="YR26" s="73"/>
      <c r="YS26" s="73"/>
      <c r="YT26" s="73"/>
      <c r="YU26" s="73"/>
      <c r="YV26" s="73"/>
      <c r="YW26" s="73"/>
      <c r="YX26" s="73"/>
      <c r="YY26" s="73"/>
      <c r="YZ26" s="73"/>
      <c r="ZA26" s="73"/>
      <c r="ZB26" s="73"/>
      <c r="ZC26" s="73"/>
      <c r="ZD26" s="73"/>
      <c r="ZE26" s="73"/>
      <c r="ZF26" s="73"/>
      <c r="ZG26" s="73"/>
      <c r="ZH26" s="73"/>
      <c r="ZI26" s="73"/>
      <c r="ZJ26" s="73"/>
      <c r="ZK26" s="73"/>
      <c r="ZL26" s="73"/>
      <c r="ZM26" s="73"/>
      <c r="ZN26" s="73"/>
      <c r="ZO26" s="73"/>
      <c r="ZP26" s="73"/>
      <c r="ZQ26" s="73"/>
      <c r="ZR26" s="73"/>
      <c r="ZS26" s="73"/>
      <c r="ZT26" s="73"/>
      <c r="ZU26" s="73"/>
      <c r="ZV26" s="73"/>
      <c r="ZW26" s="73"/>
      <c r="ZX26" s="73"/>
      <c r="ZY26" s="73"/>
      <c r="ZZ26" s="73"/>
      <c r="AAA26" s="73"/>
      <c r="AAB26" s="73"/>
      <c r="AAC26" s="73"/>
      <c r="AAD26" s="73"/>
      <c r="AAE26" s="73"/>
      <c r="AAF26" s="73"/>
      <c r="AAG26" s="73"/>
      <c r="AAH26" s="73"/>
      <c r="AAI26" s="73"/>
      <c r="AAJ26" s="73"/>
      <c r="AAK26" s="73"/>
      <c r="AAL26" s="73"/>
      <c r="AAM26" s="73"/>
      <c r="AAN26" s="73"/>
      <c r="AAO26" s="73"/>
      <c r="AAP26" s="73"/>
      <c r="AAQ26" s="73"/>
      <c r="AAR26" s="73"/>
      <c r="AAS26" s="73"/>
      <c r="AAT26" s="73"/>
      <c r="AAU26" s="73"/>
      <c r="AAV26" s="73"/>
      <c r="AAW26" s="73"/>
      <c r="AAX26" s="73"/>
      <c r="AAY26" s="73"/>
      <c r="AAZ26" s="73"/>
      <c r="ABA26" s="73"/>
      <c r="ABB26" s="73"/>
      <c r="ABC26" s="73"/>
      <c r="ABD26" s="73"/>
      <c r="ABE26" s="73"/>
      <c r="ABF26" s="73"/>
      <c r="ABG26" s="73"/>
      <c r="ABH26" s="73"/>
      <c r="ABI26" s="73"/>
      <c r="ABJ26" s="73"/>
      <c r="ABK26" s="73"/>
      <c r="ABL26" s="73"/>
      <c r="ABM26" s="73"/>
      <c r="ABN26" s="73"/>
      <c r="ABO26" s="73"/>
      <c r="ABP26" s="73"/>
      <c r="ABQ26" s="73"/>
      <c r="ABR26" s="73"/>
      <c r="ABS26" s="73"/>
      <c r="ABT26" s="73"/>
      <c r="ABU26" s="73"/>
      <c r="ABV26" s="73"/>
      <c r="ABW26" s="73"/>
      <c r="ABX26" s="73"/>
      <c r="ABY26" s="73"/>
      <c r="ABZ26" s="73"/>
      <c r="ACA26" s="73"/>
      <c r="ACB26" s="73"/>
      <c r="ACC26" s="73"/>
      <c r="ACD26" s="73"/>
      <c r="ACE26" s="73"/>
      <c r="ACF26" s="73"/>
      <c r="ACG26" s="73"/>
      <c r="ACH26" s="73"/>
      <c r="ACI26" s="73"/>
      <c r="ACJ26" s="73"/>
      <c r="ACK26" s="73"/>
      <c r="ACL26" s="73"/>
      <c r="ACM26" s="73"/>
      <c r="ACN26" s="73"/>
      <c r="ACO26" s="73"/>
      <c r="ACP26" s="73"/>
      <c r="ACQ26" s="73"/>
      <c r="ACR26" s="73"/>
      <c r="ACS26" s="73"/>
      <c r="ACT26" s="73"/>
      <c r="ACU26" s="73"/>
      <c r="ACV26" s="73"/>
      <c r="ACW26" s="73"/>
      <c r="ACX26" s="73"/>
      <c r="ACY26" s="73"/>
      <c r="ACZ26" s="73"/>
      <c r="ADA26" s="73"/>
      <c r="ADB26" s="73"/>
      <c r="ADC26" s="73"/>
      <c r="ADD26" s="73"/>
      <c r="ADE26" s="73"/>
      <c r="ADF26" s="73"/>
      <c r="ADG26" s="73"/>
      <c r="ADH26" s="73"/>
      <c r="ADI26" s="73"/>
      <c r="ADJ26" s="73"/>
      <c r="ADK26" s="73"/>
      <c r="ADL26" s="73"/>
      <c r="ADM26" s="73"/>
      <c r="ADN26" s="73"/>
      <c r="ADO26" s="73"/>
      <c r="ADP26" s="73"/>
      <c r="ADQ26" s="73"/>
      <c r="ADR26" s="73"/>
      <c r="ADS26" s="73"/>
      <c r="ADT26" s="73"/>
      <c r="ADU26" s="73"/>
      <c r="ADV26" s="73"/>
      <c r="ADW26" s="73"/>
      <c r="ADX26" s="73"/>
      <c r="ADY26" s="73"/>
      <c r="ADZ26" s="73"/>
      <c r="AEA26" s="73"/>
      <c r="AEB26" s="73"/>
      <c r="AEC26" s="73"/>
      <c r="AED26" s="73"/>
      <c r="AEE26" s="73"/>
      <c r="AEF26" s="73"/>
      <c r="AEG26" s="73"/>
      <c r="AEH26" s="73"/>
      <c r="AEI26" s="73"/>
      <c r="AEJ26" s="73"/>
      <c r="AEK26" s="73"/>
      <c r="AEL26" s="73"/>
      <c r="AEM26" s="73"/>
      <c r="AEN26" s="73"/>
      <c r="AEO26" s="73"/>
      <c r="AEP26" s="73"/>
      <c r="AEQ26" s="73"/>
      <c r="AER26" s="73"/>
      <c r="AES26" s="73"/>
      <c r="AET26" s="73"/>
      <c r="AEU26" s="73"/>
      <c r="AEV26" s="73"/>
      <c r="AEW26" s="73"/>
      <c r="AEX26" s="73"/>
      <c r="AEY26" s="73"/>
      <c r="AEZ26" s="73"/>
      <c r="AFA26" s="73"/>
      <c r="AFB26" s="73"/>
      <c r="AFC26" s="73"/>
      <c r="AFD26" s="73"/>
      <c r="AFE26" s="73"/>
      <c r="AFF26" s="73"/>
      <c r="AFG26" s="73"/>
      <c r="AFH26" s="73"/>
      <c r="AFI26" s="73"/>
      <c r="AFJ26" s="73"/>
      <c r="AFK26" s="73"/>
      <c r="AFL26" s="73"/>
      <c r="AFM26" s="73"/>
      <c r="AFN26" s="73"/>
      <c r="AFO26" s="73"/>
      <c r="AFP26" s="73"/>
      <c r="AFQ26" s="73"/>
      <c r="AFR26" s="73"/>
      <c r="AFS26" s="73"/>
      <c r="AFT26" s="73"/>
      <c r="AFU26" s="73"/>
      <c r="AFV26" s="73"/>
      <c r="AFW26" s="73"/>
      <c r="AFX26" s="73"/>
      <c r="AFY26" s="73"/>
      <c r="AFZ26" s="73"/>
      <c r="AGA26" s="73"/>
      <c r="AGB26" s="73"/>
      <c r="AGC26" s="73"/>
      <c r="AGD26" s="73"/>
      <c r="AGE26" s="73"/>
      <c r="AGF26" s="73"/>
      <c r="AGG26" s="73"/>
      <c r="AGH26" s="73"/>
      <c r="AGI26" s="73"/>
      <c r="AGJ26" s="73"/>
      <c r="AGK26" s="73"/>
      <c r="AGL26" s="73"/>
      <c r="AGM26" s="73"/>
      <c r="AGN26" s="73"/>
      <c r="AGO26" s="73"/>
      <c r="AGP26" s="73"/>
      <c r="AGQ26" s="73"/>
      <c r="AGR26" s="73"/>
      <c r="AGS26" s="73"/>
      <c r="AGT26" s="73"/>
      <c r="AGU26" s="73"/>
      <c r="AGV26" s="73"/>
      <c r="AGW26" s="73"/>
      <c r="AGX26" s="73"/>
      <c r="AGY26" s="73"/>
      <c r="AGZ26" s="73"/>
      <c r="AHA26" s="73"/>
      <c r="AHB26" s="73"/>
      <c r="AHC26" s="73"/>
      <c r="AHD26" s="73"/>
      <c r="AHE26" s="73"/>
      <c r="AHF26" s="73"/>
      <c r="AHG26" s="73"/>
      <c r="AHH26" s="73"/>
      <c r="AHI26" s="73"/>
      <c r="AHJ26" s="73"/>
      <c r="AHK26" s="73"/>
      <c r="AHL26" s="73"/>
      <c r="AHM26" s="73"/>
      <c r="AHN26" s="73"/>
      <c r="AHO26" s="73"/>
      <c r="AHP26" s="73"/>
      <c r="AHQ26" s="73"/>
      <c r="AHR26" s="73"/>
      <c r="AHS26" s="73"/>
      <c r="AHT26" s="73"/>
      <c r="AHU26" s="73"/>
      <c r="AHV26" s="73"/>
      <c r="AHW26" s="73"/>
      <c r="AHX26" s="73"/>
      <c r="AHY26" s="73"/>
      <c r="AHZ26" s="73"/>
      <c r="AIA26" s="73"/>
      <c r="AIB26" s="73"/>
      <c r="AIC26" s="73"/>
      <c r="AID26" s="73"/>
      <c r="AIE26" s="73"/>
      <c r="AIF26" s="73"/>
      <c r="AIG26" s="73"/>
      <c r="AIH26" s="73"/>
      <c r="AII26" s="73"/>
      <c r="AIJ26" s="73"/>
      <c r="AIK26" s="73"/>
      <c r="AIL26" s="73"/>
      <c r="AIM26" s="73"/>
      <c r="AIN26" s="73"/>
      <c r="AIO26" s="73"/>
      <c r="AIP26" s="73"/>
      <c r="AIQ26" s="73"/>
      <c r="AIR26" s="73"/>
      <c r="AIS26" s="73"/>
      <c r="AIT26" s="73"/>
      <c r="AIU26" s="73"/>
      <c r="AIV26" s="73"/>
      <c r="AIW26" s="73"/>
      <c r="AIX26" s="73"/>
      <c r="AIY26" s="73"/>
      <c r="AIZ26" s="73"/>
      <c r="AJA26" s="73"/>
      <c r="AJB26" s="73"/>
      <c r="AJC26" s="73"/>
      <c r="AJD26" s="73"/>
      <c r="AJE26" s="73"/>
      <c r="AJF26" s="73"/>
      <c r="AJG26" s="73"/>
      <c r="AJH26" s="73"/>
      <c r="AJI26" s="73"/>
      <c r="AJJ26" s="73"/>
      <c r="AJK26" s="73"/>
      <c r="AJL26" s="73"/>
      <c r="AJM26" s="73"/>
      <c r="AJN26" s="73"/>
      <c r="AJO26" s="73"/>
      <c r="AJP26" s="73"/>
      <c r="AJQ26" s="73"/>
      <c r="AJR26" s="73"/>
      <c r="AJS26" s="73"/>
      <c r="AJT26" s="73"/>
      <c r="AJU26" s="73"/>
      <c r="AJV26" s="73"/>
      <c r="AJW26" s="73"/>
      <c r="AJX26" s="73"/>
      <c r="AJY26" s="73"/>
      <c r="AJZ26" s="73"/>
      <c r="AKA26" s="73"/>
      <c r="AKB26" s="73"/>
      <c r="AKC26" s="73"/>
      <c r="AKD26" s="73"/>
      <c r="AKE26" s="73"/>
      <c r="AKF26" s="73"/>
      <c r="AKG26" s="73"/>
      <c r="AKH26" s="73"/>
      <c r="AKI26" s="73"/>
      <c r="AKJ26" s="73"/>
      <c r="AKK26" s="73"/>
      <c r="AKL26" s="73"/>
      <c r="AKM26" s="73"/>
      <c r="AKN26" s="73"/>
      <c r="AKO26" s="73"/>
      <c r="AKP26" s="73"/>
      <c r="AKQ26" s="73"/>
      <c r="AKR26" s="73"/>
      <c r="AKS26" s="73"/>
      <c r="AKT26" s="73"/>
      <c r="AKU26" s="73"/>
      <c r="AKV26" s="73"/>
      <c r="AKW26" s="73"/>
      <c r="AKX26" s="73"/>
      <c r="AKY26" s="73"/>
      <c r="AKZ26" s="73"/>
      <c r="ALA26" s="73"/>
      <c r="ALB26" s="73"/>
      <c r="ALC26" s="73"/>
      <c r="ALD26" s="73"/>
      <c r="ALE26" s="73"/>
      <c r="ALF26" s="73"/>
      <c r="ALG26" s="73"/>
      <c r="ALH26" s="73"/>
      <c r="ALI26" s="73"/>
      <c r="ALJ26" s="73"/>
      <c r="ALK26" s="73"/>
      <c r="ALL26" s="73"/>
      <c r="ALM26" s="73"/>
      <c r="ALN26" s="73"/>
      <c r="ALO26" s="73"/>
      <c r="ALP26" s="73"/>
      <c r="ALQ26" s="73"/>
      <c r="ALR26" s="73"/>
      <c r="ALS26" s="73"/>
      <c r="ALT26" s="73"/>
      <c r="ALU26" s="73"/>
      <c r="ALV26" s="73"/>
      <c r="ALW26" s="73"/>
      <c r="ALX26" s="73"/>
      <c r="ALY26" s="73"/>
      <c r="ALZ26" s="73"/>
      <c r="AMA26" s="73"/>
      <c r="AMB26" s="73"/>
      <c r="AMC26" s="73"/>
      <c r="AMD26" s="73"/>
      <c r="AME26" s="73"/>
      <c r="AMF26" s="73"/>
      <c r="AMG26" s="73"/>
      <c r="AMH26" s="73"/>
      <c r="AMI26" s="73"/>
      <c r="AMJ26" s="73"/>
      <c r="AMK26" s="73"/>
      <c r="AML26" s="73"/>
      <c r="AMM26" s="73"/>
      <c r="AMN26" s="73"/>
      <c r="AMO26" s="73"/>
      <c r="AMP26" s="73"/>
      <c r="AMQ26" s="73"/>
      <c r="AMR26" s="73"/>
      <c r="AMS26" s="73"/>
      <c r="AMT26" s="73"/>
      <c r="AMU26" s="73"/>
      <c r="AMV26" s="73"/>
      <c r="AMW26" s="73"/>
      <c r="AMX26" s="73"/>
      <c r="AMY26" s="73"/>
      <c r="AMZ26" s="73"/>
      <c r="ANA26" s="73"/>
      <c r="ANB26" s="73"/>
      <c r="ANC26" s="73"/>
      <c r="AND26" s="73"/>
      <c r="ANE26" s="73"/>
      <c r="ANF26" s="73"/>
      <c r="ANG26" s="73"/>
      <c r="ANH26" s="73"/>
      <c r="ANI26" s="73"/>
      <c r="ANJ26" s="73"/>
      <c r="ANK26" s="73"/>
      <c r="ANL26" s="73"/>
      <c r="ANM26" s="73"/>
      <c r="ANN26" s="73"/>
      <c r="ANO26" s="73"/>
      <c r="ANP26" s="73"/>
      <c r="ANQ26" s="73"/>
      <c r="ANR26" s="73"/>
      <c r="ANS26" s="73"/>
      <c r="ANT26" s="73"/>
      <c r="ANU26" s="73"/>
      <c r="ANV26" s="73"/>
      <c r="ANW26" s="73"/>
      <c r="ANX26" s="73"/>
      <c r="ANY26" s="73"/>
      <c r="ANZ26" s="73"/>
      <c r="AOA26" s="73"/>
      <c r="AOB26" s="73"/>
      <c r="AOC26" s="73"/>
      <c r="AOD26" s="73"/>
      <c r="AOE26" s="73"/>
      <c r="AOF26" s="73"/>
      <c r="AOG26" s="73"/>
      <c r="AOH26" s="73"/>
      <c r="AOI26" s="73"/>
      <c r="AOJ26" s="73"/>
      <c r="AOK26" s="73"/>
      <c r="AOL26" s="73"/>
      <c r="AOM26" s="73"/>
      <c r="AON26" s="73"/>
      <c r="AOO26" s="73"/>
      <c r="AOP26" s="73"/>
      <c r="AOQ26" s="73"/>
      <c r="AOR26" s="73"/>
      <c r="AOS26" s="73"/>
      <c r="AOT26" s="73"/>
      <c r="AOU26" s="73"/>
      <c r="AOV26" s="73"/>
      <c r="AOW26" s="73"/>
      <c r="AOX26" s="73"/>
      <c r="AOY26" s="73"/>
      <c r="AOZ26" s="73"/>
      <c r="APA26" s="73"/>
      <c r="APB26" s="73"/>
      <c r="APC26" s="73"/>
      <c r="APD26" s="73"/>
      <c r="APE26" s="73"/>
      <c r="APF26" s="73"/>
      <c r="APG26" s="73"/>
      <c r="APH26" s="73"/>
      <c r="API26" s="73"/>
      <c r="APJ26" s="73"/>
      <c r="APK26" s="73"/>
      <c r="APL26" s="73"/>
      <c r="APM26" s="73"/>
      <c r="APN26" s="73"/>
      <c r="APO26" s="73"/>
      <c r="APP26" s="73"/>
      <c r="APQ26" s="73"/>
      <c r="APR26" s="73"/>
      <c r="APS26" s="73"/>
      <c r="APT26" s="73"/>
      <c r="APU26" s="73"/>
      <c r="APV26" s="73"/>
      <c r="APW26" s="73"/>
      <c r="APX26" s="73"/>
      <c r="APY26" s="73"/>
      <c r="APZ26" s="73"/>
      <c r="AQA26" s="73"/>
      <c r="AQB26" s="73"/>
      <c r="AQC26" s="73"/>
      <c r="AQD26" s="73"/>
      <c r="AQE26" s="73"/>
      <c r="AQF26" s="73"/>
      <c r="AQG26" s="73"/>
      <c r="AQH26" s="73"/>
      <c r="AQI26" s="73"/>
      <c r="AQJ26" s="73"/>
      <c r="AQK26" s="73"/>
      <c r="AQL26" s="73"/>
      <c r="AQM26" s="73"/>
      <c r="AQN26" s="73"/>
      <c r="AQO26" s="73"/>
      <c r="AQP26" s="73"/>
      <c r="AQQ26" s="73"/>
      <c r="AQR26" s="73"/>
      <c r="AQS26" s="73"/>
      <c r="AQT26" s="73"/>
      <c r="AQU26" s="73"/>
      <c r="AQV26" s="73"/>
      <c r="AQW26" s="73"/>
      <c r="AQX26" s="73"/>
      <c r="AQY26" s="73"/>
      <c r="AQZ26" s="73"/>
      <c r="ARA26" s="73"/>
      <c r="ARB26" s="73"/>
      <c r="ARC26" s="73"/>
      <c r="ARD26" s="73"/>
      <c r="ARE26" s="73"/>
      <c r="ARF26" s="73"/>
      <c r="ARG26" s="73"/>
      <c r="ARH26" s="73"/>
      <c r="ARI26" s="73"/>
      <c r="ARJ26" s="73"/>
      <c r="ARK26" s="73"/>
      <c r="ARL26" s="73"/>
      <c r="ARM26" s="73"/>
      <c r="ARN26" s="73"/>
      <c r="ARO26" s="73"/>
      <c r="ARP26" s="73"/>
      <c r="ARQ26" s="73"/>
      <c r="ARR26" s="73"/>
      <c r="ARS26" s="73"/>
      <c r="ART26" s="73"/>
      <c r="ARU26" s="73"/>
      <c r="ARV26" s="73"/>
      <c r="ARW26" s="73"/>
      <c r="ARX26" s="73"/>
      <c r="ARY26" s="73"/>
      <c r="ARZ26" s="73"/>
      <c r="ASA26" s="73"/>
      <c r="ASB26" s="73"/>
      <c r="ASC26" s="73"/>
      <c r="ASD26" s="73"/>
      <c r="ASE26" s="73"/>
      <c r="ASF26" s="73"/>
      <c r="ASG26" s="73"/>
      <c r="ASH26" s="73"/>
      <c r="ASI26" s="73"/>
      <c r="ASJ26" s="73"/>
      <c r="ASK26" s="73"/>
      <c r="ASL26" s="73"/>
      <c r="ASM26" s="73"/>
      <c r="ASN26" s="73"/>
      <c r="ASO26" s="73"/>
      <c r="ASP26" s="73"/>
      <c r="ASQ26" s="73"/>
      <c r="ASR26" s="73"/>
      <c r="ASS26" s="73"/>
      <c r="AST26" s="73"/>
      <c r="ASU26" s="73"/>
      <c r="ASV26" s="73"/>
      <c r="ASW26" s="73"/>
      <c r="ASX26" s="73"/>
      <c r="ASY26" s="73"/>
      <c r="ASZ26" s="73"/>
      <c r="ATA26" s="73"/>
      <c r="ATB26" s="73"/>
      <c r="ATC26" s="73"/>
      <c r="ATD26" s="73"/>
      <c r="ATE26" s="73"/>
      <c r="ATF26" s="73"/>
      <c r="ATG26" s="73"/>
      <c r="ATH26" s="73"/>
      <c r="ATI26" s="73"/>
      <c r="ATJ26" s="73"/>
      <c r="ATK26" s="73"/>
      <c r="ATL26" s="73"/>
      <c r="ATM26" s="73"/>
      <c r="ATN26" s="73"/>
      <c r="ATO26" s="73"/>
      <c r="ATP26" s="73"/>
      <c r="ATQ26" s="73"/>
      <c r="ATR26" s="73"/>
      <c r="ATS26" s="73"/>
      <c r="ATT26" s="73"/>
      <c r="ATU26" s="73"/>
      <c r="ATV26" s="73"/>
      <c r="ATW26" s="73"/>
      <c r="ATX26" s="73"/>
      <c r="ATY26" s="73"/>
      <c r="ATZ26" s="73"/>
      <c r="AUA26" s="73"/>
      <c r="AUB26" s="73"/>
      <c r="AUC26" s="73"/>
      <c r="AUD26" s="73"/>
      <c r="AUE26" s="73"/>
      <c r="AUF26" s="73"/>
      <c r="AUG26" s="73"/>
      <c r="AUH26" s="73"/>
      <c r="AUI26" s="73"/>
      <c r="AUJ26" s="73"/>
      <c r="AUK26" s="73"/>
      <c r="AUL26" s="73"/>
      <c r="AUM26" s="73"/>
      <c r="AUN26" s="73"/>
      <c r="AUO26" s="73"/>
      <c r="AUP26" s="73"/>
      <c r="AUQ26" s="73"/>
      <c r="AUR26" s="73"/>
      <c r="AUS26" s="73"/>
      <c r="AUT26" s="73"/>
      <c r="AUU26" s="73"/>
      <c r="AUV26" s="73"/>
      <c r="AUW26" s="73"/>
      <c r="AUX26" s="73"/>
      <c r="AUY26" s="73"/>
      <c r="AUZ26" s="73"/>
      <c r="AVA26" s="73"/>
      <c r="AVB26" s="73"/>
      <c r="AVC26" s="73"/>
      <c r="AVD26" s="73"/>
      <c r="AVE26" s="73"/>
      <c r="AVF26" s="73"/>
      <c r="AVG26" s="73"/>
      <c r="AVH26" s="73"/>
      <c r="AVI26" s="73"/>
      <c r="AVJ26" s="73"/>
      <c r="AVK26" s="73"/>
      <c r="AVL26" s="73"/>
      <c r="AVM26" s="73"/>
      <c r="AVN26" s="73"/>
      <c r="AVO26" s="73"/>
      <c r="AVP26" s="73"/>
      <c r="AVQ26" s="73"/>
      <c r="AVR26" s="73"/>
      <c r="AVS26" s="73"/>
      <c r="AVT26" s="73"/>
      <c r="AVU26" s="73"/>
      <c r="AVV26" s="73"/>
      <c r="AVW26" s="73"/>
      <c r="AVX26" s="73"/>
      <c r="AVY26" s="73"/>
      <c r="AVZ26" s="73"/>
      <c r="AWA26" s="73"/>
      <c r="AWB26" s="73"/>
      <c r="AWC26" s="73"/>
      <c r="AWD26" s="73"/>
      <c r="AWE26" s="73"/>
      <c r="AWF26" s="73"/>
      <c r="AWG26" s="73"/>
      <c r="AWH26" s="73"/>
      <c r="AWI26" s="73"/>
      <c r="AWJ26" s="73"/>
      <c r="AWK26" s="73"/>
      <c r="AWL26" s="73"/>
      <c r="AWM26" s="73"/>
      <c r="AWN26" s="73"/>
      <c r="AWO26" s="73"/>
      <c r="AWP26" s="73"/>
      <c r="AWQ26" s="73"/>
      <c r="AWR26" s="73"/>
      <c r="AWS26" s="73"/>
      <c r="AWT26" s="73"/>
      <c r="AWU26" s="73"/>
      <c r="AWV26" s="73"/>
      <c r="AWW26" s="73"/>
      <c r="AWX26" s="73"/>
      <c r="AWY26" s="73"/>
      <c r="AWZ26" s="73"/>
      <c r="AXA26" s="73"/>
      <c r="AXB26" s="73"/>
      <c r="AXC26" s="73"/>
      <c r="AXD26" s="73"/>
      <c r="AXE26" s="73"/>
      <c r="AXF26" s="73"/>
      <c r="AXG26" s="73"/>
      <c r="AXH26" s="73"/>
      <c r="AXI26" s="73"/>
      <c r="AXJ26" s="73"/>
      <c r="AXK26" s="73"/>
      <c r="AXL26" s="73"/>
      <c r="AXM26" s="73"/>
      <c r="AXN26" s="73"/>
      <c r="AXO26" s="73"/>
      <c r="AXP26" s="73"/>
      <c r="AXQ26" s="73"/>
      <c r="AXR26" s="73"/>
      <c r="AXS26" s="73"/>
      <c r="AXT26" s="73"/>
      <c r="AXU26" s="73"/>
      <c r="AXV26" s="73"/>
      <c r="AXW26" s="73"/>
      <c r="AXX26" s="73"/>
      <c r="AXY26" s="73"/>
      <c r="AXZ26" s="73"/>
      <c r="AYA26" s="73"/>
      <c r="AYB26" s="73"/>
      <c r="AYC26" s="73"/>
      <c r="AYD26" s="73"/>
      <c r="AYE26" s="73"/>
      <c r="AYF26" s="73"/>
      <c r="AYG26" s="73"/>
      <c r="AYH26" s="73"/>
      <c r="AYI26" s="73"/>
      <c r="AYJ26" s="73"/>
      <c r="AYK26" s="73"/>
      <c r="AYL26" s="73"/>
      <c r="AYM26" s="73"/>
      <c r="AYN26" s="73"/>
      <c r="AYO26" s="73"/>
      <c r="AYP26" s="73"/>
      <c r="AYQ26" s="73"/>
      <c r="AYR26" s="73"/>
      <c r="AYS26" s="73"/>
      <c r="AYT26" s="73"/>
      <c r="AYU26" s="73"/>
      <c r="AYV26" s="73"/>
      <c r="AYW26" s="73"/>
      <c r="AYX26" s="73"/>
      <c r="AYY26" s="73"/>
      <c r="AYZ26" s="73"/>
      <c r="AZA26" s="73"/>
      <c r="AZB26" s="73"/>
      <c r="AZC26" s="73"/>
      <c r="AZD26" s="73"/>
      <c r="AZE26" s="73"/>
      <c r="AZF26" s="73"/>
      <c r="AZG26" s="73"/>
      <c r="AZH26" s="73"/>
      <c r="AZI26" s="73"/>
      <c r="AZJ26" s="73"/>
      <c r="AZK26" s="73"/>
      <c r="AZL26" s="73"/>
      <c r="AZM26" s="73"/>
      <c r="AZN26" s="73"/>
      <c r="AZO26" s="73"/>
      <c r="AZP26" s="73"/>
      <c r="AZQ26" s="73"/>
      <c r="AZR26" s="73"/>
      <c r="AZS26" s="73"/>
      <c r="AZT26" s="73"/>
      <c r="AZU26" s="73"/>
      <c r="AZV26" s="73"/>
      <c r="AZW26" s="73"/>
      <c r="AZX26" s="73"/>
      <c r="AZY26" s="73"/>
      <c r="AZZ26" s="73"/>
      <c r="BAA26" s="73"/>
      <c r="BAB26" s="73"/>
      <c r="BAC26" s="73"/>
      <c r="BAD26" s="73"/>
      <c r="BAE26" s="73"/>
      <c r="BAF26" s="73"/>
      <c r="BAG26" s="73"/>
      <c r="BAH26" s="73"/>
      <c r="BAI26" s="73"/>
      <c r="BAJ26" s="73"/>
      <c r="BAK26" s="73"/>
      <c r="BAL26" s="73"/>
      <c r="BAM26" s="73"/>
      <c r="BAN26" s="73"/>
      <c r="BAO26" s="73"/>
      <c r="BAP26" s="73"/>
      <c r="BAQ26" s="73"/>
      <c r="BAR26" s="73"/>
      <c r="BAS26" s="73"/>
      <c r="BAT26" s="73"/>
      <c r="BAU26" s="73"/>
      <c r="BAV26" s="73"/>
      <c r="BAW26" s="73"/>
      <c r="BAX26" s="73"/>
      <c r="BAY26" s="73"/>
      <c r="BAZ26" s="73"/>
      <c r="BBA26" s="73"/>
      <c r="BBB26" s="73"/>
      <c r="BBC26" s="73"/>
      <c r="BBD26" s="73"/>
      <c r="BBE26" s="73"/>
      <c r="BBF26" s="73"/>
      <c r="BBG26" s="73"/>
      <c r="BBH26" s="73"/>
      <c r="BBI26" s="73"/>
      <c r="BBJ26" s="73"/>
      <c r="BBK26" s="73"/>
      <c r="BBL26" s="73"/>
      <c r="BBM26" s="73"/>
      <c r="BBN26" s="73"/>
      <c r="BBO26" s="73"/>
      <c r="BBP26" s="73"/>
      <c r="BBQ26" s="73"/>
      <c r="BBR26" s="73"/>
      <c r="BBS26" s="73"/>
      <c r="BBT26" s="73"/>
      <c r="BBU26" s="73"/>
      <c r="BBV26" s="73"/>
      <c r="BBW26" s="73"/>
      <c r="BBX26" s="73"/>
      <c r="BBY26" s="73"/>
      <c r="BBZ26" s="73"/>
      <c r="BCA26" s="73"/>
      <c r="BCB26" s="73"/>
      <c r="BCC26" s="73"/>
      <c r="BCD26" s="73"/>
      <c r="BCE26" s="73"/>
      <c r="BCF26" s="73"/>
      <c r="BCG26" s="73"/>
      <c r="BCH26" s="73"/>
      <c r="BCI26" s="73"/>
      <c r="BCJ26" s="73"/>
      <c r="BCK26" s="73"/>
      <c r="BCL26" s="73"/>
      <c r="BCM26" s="73"/>
      <c r="BCN26" s="73"/>
      <c r="BCO26" s="73"/>
      <c r="BCP26" s="73"/>
      <c r="BCQ26" s="73"/>
      <c r="BCR26" s="73"/>
      <c r="BCS26" s="73"/>
      <c r="BCT26" s="73"/>
      <c r="BCU26" s="73"/>
      <c r="BCV26" s="73"/>
      <c r="BCW26" s="73"/>
      <c r="BCX26" s="73"/>
      <c r="BCY26" s="73"/>
      <c r="BCZ26" s="73"/>
      <c r="BDA26" s="73"/>
      <c r="BDB26" s="73"/>
      <c r="BDC26" s="73"/>
      <c r="BDD26" s="73"/>
      <c r="BDE26" s="73"/>
      <c r="BDF26" s="73"/>
      <c r="BDG26" s="73"/>
      <c r="BDH26" s="73"/>
      <c r="BDI26" s="73"/>
      <c r="BDJ26" s="73"/>
      <c r="BDK26" s="73"/>
      <c r="BDL26" s="73"/>
      <c r="BDM26" s="73"/>
      <c r="BDN26" s="73"/>
      <c r="BDO26" s="73"/>
      <c r="BDP26" s="73"/>
      <c r="BDQ26" s="73"/>
      <c r="BDR26" s="73"/>
      <c r="BDS26" s="73"/>
      <c r="BDT26" s="73"/>
      <c r="BDU26" s="73"/>
      <c r="BDV26" s="73"/>
      <c r="BDW26" s="73"/>
      <c r="BDX26" s="73"/>
      <c r="BDY26" s="73"/>
      <c r="BDZ26" s="73"/>
      <c r="BEA26" s="73"/>
      <c r="BEB26" s="73"/>
      <c r="BEC26" s="73"/>
      <c r="BED26" s="73"/>
      <c r="BEE26" s="73"/>
      <c r="BEF26" s="73"/>
      <c r="BEG26" s="73"/>
      <c r="BEH26" s="73"/>
      <c r="BEI26" s="73"/>
      <c r="BEJ26" s="73"/>
      <c r="BEK26" s="73"/>
      <c r="BEL26" s="73"/>
      <c r="BEM26" s="73"/>
      <c r="BEN26" s="73"/>
      <c r="BEO26" s="73"/>
      <c r="BEP26" s="73"/>
      <c r="BEQ26" s="73"/>
      <c r="BER26" s="73"/>
      <c r="BES26" s="73"/>
      <c r="BET26" s="73"/>
      <c r="BEU26" s="73"/>
      <c r="BEV26" s="73"/>
      <c r="BEW26" s="73"/>
      <c r="BEX26" s="73"/>
      <c r="BEY26" s="73"/>
      <c r="BEZ26" s="73"/>
      <c r="BFA26" s="73"/>
      <c r="BFB26" s="73"/>
      <c r="BFC26" s="73"/>
      <c r="BFD26" s="73"/>
      <c r="BFE26" s="73"/>
      <c r="BFF26" s="73"/>
      <c r="BFG26" s="73"/>
      <c r="BFH26" s="73"/>
      <c r="BFI26" s="73"/>
      <c r="BFJ26" s="73"/>
      <c r="BFK26" s="73"/>
      <c r="BFL26" s="73"/>
      <c r="BFM26" s="73"/>
      <c r="BFN26" s="73"/>
      <c r="BFO26" s="73"/>
      <c r="BFP26" s="73"/>
      <c r="BFQ26" s="73"/>
      <c r="BFR26" s="73"/>
      <c r="BFS26" s="73"/>
      <c r="BFT26" s="73"/>
      <c r="BFU26" s="73"/>
      <c r="BFV26" s="73"/>
      <c r="BFW26" s="73"/>
      <c r="BFX26" s="73"/>
      <c r="BFY26" s="73"/>
      <c r="BFZ26" s="73"/>
      <c r="BGA26" s="73"/>
      <c r="BGB26" s="73"/>
      <c r="BGC26" s="73"/>
      <c r="BGD26" s="73"/>
      <c r="BGE26" s="73"/>
      <c r="BGF26" s="73"/>
      <c r="BGG26" s="73"/>
      <c r="BGH26" s="73"/>
      <c r="BGI26" s="73"/>
      <c r="BGJ26" s="73"/>
      <c r="BGK26" s="73"/>
      <c r="BGL26" s="73"/>
      <c r="BGM26" s="73"/>
      <c r="BGN26" s="73"/>
      <c r="BGO26" s="73"/>
      <c r="BGP26" s="73"/>
      <c r="BGQ26" s="73"/>
      <c r="BGR26" s="73"/>
      <c r="BGS26" s="73"/>
      <c r="BGT26" s="73"/>
      <c r="BGU26" s="73"/>
      <c r="BGV26" s="73"/>
      <c r="BGW26" s="73"/>
      <c r="BGX26" s="73"/>
      <c r="BGY26" s="73"/>
      <c r="BGZ26" s="73"/>
      <c r="BHA26" s="73"/>
      <c r="BHB26" s="73"/>
      <c r="BHC26" s="73"/>
      <c r="BHD26" s="73"/>
      <c r="BHE26" s="73"/>
      <c r="BHF26" s="73"/>
      <c r="BHG26" s="73"/>
      <c r="BHH26" s="73"/>
      <c r="BHI26" s="73"/>
      <c r="BHJ26" s="73"/>
      <c r="BHK26" s="73"/>
      <c r="BHL26" s="73"/>
      <c r="BHM26" s="73"/>
      <c r="BHN26" s="73"/>
      <c r="BHO26" s="73"/>
      <c r="BHP26" s="73"/>
      <c r="BHQ26" s="73"/>
      <c r="BHR26" s="73"/>
      <c r="BHS26" s="73"/>
      <c r="BHT26" s="73"/>
      <c r="BHU26" s="73"/>
      <c r="BHV26" s="73"/>
      <c r="BHW26" s="73"/>
      <c r="BHX26" s="73"/>
      <c r="BHY26" s="73"/>
      <c r="BHZ26" s="73"/>
      <c r="BIA26" s="73"/>
      <c r="BIB26" s="73"/>
      <c r="BIC26" s="73"/>
      <c r="BID26" s="73"/>
      <c r="BIE26" s="73"/>
      <c r="BIF26" s="73"/>
      <c r="BIG26" s="73"/>
      <c r="BIH26" s="73"/>
      <c r="BII26" s="73"/>
      <c r="BIJ26" s="73"/>
      <c r="BIK26" s="73"/>
      <c r="BIL26" s="73"/>
      <c r="BIM26" s="73"/>
      <c r="BIN26" s="73"/>
      <c r="BIO26" s="73"/>
      <c r="BIP26" s="73"/>
      <c r="BIQ26" s="73"/>
      <c r="BIR26" s="73"/>
      <c r="BIS26" s="73"/>
      <c r="BIT26" s="73"/>
      <c r="BIU26" s="73"/>
      <c r="BIV26" s="73"/>
      <c r="BIW26" s="73"/>
      <c r="BIX26" s="73"/>
      <c r="BIY26" s="73"/>
      <c r="BIZ26" s="73"/>
      <c r="BJA26" s="73"/>
      <c r="BJB26" s="73"/>
      <c r="BJC26" s="73"/>
      <c r="BJD26" s="73"/>
      <c r="BJE26" s="73"/>
      <c r="BJF26" s="73"/>
      <c r="BJG26" s="73"/>
      <c r="BJH26" s="73"/>
      <c r="BJI26" s="73"/>
      <c r="BJJ26" s="73"/>
      <c r="BJK26" s="73"/>
      <c r="BJL26" s="73"/>
      <c r="BJM26" s="73"/>
      <c r="BJN26" s="73"/>
      <c r="BJO26" s="73"/>
      <c r="BJP26" s="73"/>
      <c r="BJQ26" s="73"/>
      <c r="BJR26" s="73"/>
      <c r="BJS26" s="73"/>
      <c r="BJT26" s="73"/>
      <c r="BJU26" s="73"/>
      <c r="BJV26" s="73"/>
      <c r="BJW26" s="73"/>
      <c r="BJX26" s="73"/>
      <c r="BJY26" s="73"/>
      <c r="BJZ26" s="73"/>
      <c r="BKA26" s="73"/>
      <c r="BKB26" s="73"/>
      <c r="BKC26" s="73"/>
      <c r="BKD26" s="73"/>
      <c r="BKE26" s="73"/>
      <c r="BKF26" s="73"/>
      <c r="BKG26" s="73"/>
      <c r="BKH26" s="73"/>
      <c r="BKI26" s="73"/>
      <c r="BKJ26" s="73"/>
      <c r="BKK26" s="73"/>
      <c r="BKL26" s="73"/>
      <c r="BKM26" s="73"/>
      <c r="BKN26" s="73"/>
      <c r="BKO26" s="73"/>
      <c r="BKP26" s="73"/>
      <c r="BKQ26" s="73"/>
      <c r="BKR26" s="73"/>
      <c r="BKS26" s="73"/>
      <c r="BKT26" s="73"/>
      <c r="BKU26" s="73"/>
      <c r="BKV26" s="73"/>
      <c r="BKW26" s="73"/>
      <c r="BKX26" s="73"/>
      <c r="BKY26" s="73"/>
      <c r="BKZ26" s="73"/>
      <c r="BLA26" s="73"/>
      <c r="BLB26" s="73"/>
      <c r="BLC26" s="73"/>
      <c r="BLD26" s="73"/>
      <c r="BLE26" s="73"/>
      <c r="BLF26" s="73"/>
      <c r="BLG26" s="73"/>
      <c r="BLH26" s="73"/>
      <c r="BLI26" s="73"/>
      <c r="BLJ26" s="73"/>
      <c r="BLK26" s="73"/>
      <c r="BLL26" s="73"/>
      <c r="BLM26" s="73"/>
      <c r="BLN26" s="73"/>
      <c r="BLO26" s="73"/>
      <c r="BLP26" s="73"/>
      <c r="BLQ26" s="73"/>
      <c r="BLR26" s="73"/>
      <c r="BLS26" s="73"/>
      <c r="BLT26" s="73"/>
      <c r="BLU26" s="73"/>
      <c r="BLV26" s="73"/>
      <c r="BLW26" s="73"/>
      <c r="BLX26" s="73"/>
      <c r="BLY26" s="73"/>
      <c r="BLZ26" s="73"/>
      <c r="BMA26" s="73"/>
      <c r="BMB26" s="73"/>
      <c r="BMC26" s="73"/>
      <c r="BMD26" s="73"/>
      <c r="BME26" s="73"/>
      <c r="BMF26" s="73"/>
      <c r="BMG26" s="73"/>
      <c r="BMH26" s="73"/>
      <c r="BMI26" s="73"/>
      <c r="BMJ26" s="73"/>
      <c r="BMK26" s="73"/>
      <c r="BML26" s="73"/>
      <c r="BMM26" s="73"/>
      <c r="BMN26" s="73"/>
      <c r="BMO26" s="73"/>
      <c r="BMP26" s="73"/>
      <c r="BMQ26" s="73"/>
      <c r="BMR26" s="73"/>
      <c r="BMS26" s="73"/>
      <c r="BMT26" s="73"/>
      <c r="BMU26" s="73"/>
      <c r="BMV26" s="73"/>
      <c r="BMW26" s="73"/>
      <c r="BMX26" s="73"/>
      <c r="BMY26" s="73"/>
      <c r="BMZ26" s="73"/>
      <c r="BNA26" s="73"/>
      <c r="BNB26" s="73"/>
      <c r="BNC26" s="73"/>
      <c r="BND26" s="73"/>
      <c r="BNE26" s="73"/>
      <c r="BNF26" s="73"/>
      <c r="BNG26" s="73"/>
      <c r="BNH26" s="73"/>
      <c r="BNI26" s="73"/>
      <c r="BNJ26" s="73"/>
      <c r="BNK26" s="73"/>
      <c r="BNL26" s="73"/>
      <c r="BNM26" s="73"/>
      <c r="BNN26" s="73"/>
      <c r="BNO26" s="73"/>
      <c r="BNP26" s="73"/>
      <c r="BNQ26" s="73"/>
      <c r="BNR26" s="73"/>
      <c r="BNS26" s="73"/>
      <c r="BNT26" s="73"/>
      <c r="BNU26" s="73"/>
      <c r="BNV26" s="73"/>
      <c r="BNW26" s="73"/>
      <c r="BNX26" s="73"/>
      <c r="BNY26" s="73"/>
      <c r="BNZ26" s="73"/>
      <c r="BOA26" s="73"/>
      <c r="BOB26" s="73"/>
      <c r="BOC26" s="73"/>
      <c r="BOD26" s="73"/>
      <c r="BOE26" s="73"/>
      <c r="BOF26" s="73"/>
      <c r="BOG26" s="73"/>
      <c r="BOH26" s="73"/>
      <c r="BOI26" s="73"/>
      <c r="BOJ26" s="73"/>
      <c r="BOK26" s="73"/>
      <c r="BOL26" s="73"/>
      <c r="BOM26" s="73"/>
      <c r="BON26" s="73"/>
      <c r="BOO26" s="73"/>
      <c r="BOP26" s="73"/>
      <c r="BOQ26" s="73"/>
      <c r="BOR26" s="73"/>
      <c r="BOS26" s="73"/>
      <c r="BOT26" s="73"/>
      <c r="BOU26" s="73"/>
      <c r="BOV26" s="73"/>
      <c r="BOW26" s="73"/>
      <c r="BOX26" s="73"/>
      <c r="BOY26" s="73"/>
      <c r="BOZ26" s="73"/>
      <c r="BPA26" s="73"/>
      <c r="BPB26" s="73"/>
      <c r="BPC26" s="73"/>
      <c r="BPD26" s="73"/>
      <c r="BPE26" s="73"/>
      <c r="BPF26" s="73"/>
      <c r="BPG26" s="73"/>
      <c r="BPH26" s="73"/>
      <c r="BPI26" s="73"/>
      <c r="BPJ26" s="73"/>
      <c r="BPK26" s="73"/>
      <c r="BPL26" s="73"/>
      <c r="BPM26" s="73"/>
      <c r="BPN26" s="73"/>
      <c r="BPO26" s="73"/>
      <c r="BPP26" s="73"/>
      <c r="BPQ26" s="73"/>
      <c r="BPR26" s="73"/>
      <c r="BPS26" s="73"/>
      <c r="BPT26" s="73"/>
      <c r="BPU26" s="73"/>
      <c r="BPV26" s="73"/>
      <c r="BPW26" s="73"/>
      <c r="BPX26" s="73"/>
      <c r="BPY26" s="73"/>
      <c r="BPZ26" s="73"/>
      <c r="BQA26" s="73"/>
      <c r="BQB26" s="73"/>
      <c r="BQC26" s="73"/>
      <c r="BQD26" s="73"/>
      <c r="BQE26" s="73"/>
      <c r="BQF26" s="73"/>
      <c r="BQG26" s="73"/>
      <c r="BQH26" s="73"/>
      <c r="BQI26" s="73"/>
      <c r="BQJ26" s="73"/>
      <c r="BQK26" s="73"/>
      <c r="BQL26" s="73"/>
      <c r="BQM26" s="73"/>
      <c r="BQN26" s="73"/>
      <c r="BQO26" s="73"/>
      <c r="BQP26" s="73"/>
      <c r="BQQ26" s="73"/>
      <c r="BQR26" s="73"/>
      <c r="BQS26" s="73"/>
      <c r="BQT26" s="73"/>
      <c r="BQU26" s="73"/>
      <c r="BQV26" s="73"/>
      <c r="BQW26" s="73"/>
      <c r="BQX26" s="73"/>
      <c r="BQY26" s="73"/>
      <c r="BQZ26" s="73"/>
      <c r="BRA26" s="73"/>
      <c r="BRB26" s="73"/>
      <c r="BRC26" s="73"/>
      <c r="BRD26" s="73"/>
      <c r="BRE26" s="73"/>
      <c r="BRF26" s="73"/>
      <c r="BRG26" s="73"/>
      <c r="BRH26" s="73"/>
      <c r="BRI26" s="73"/>
      <c r="BRJ26" s="73"/>
      <c r="BRK26" s="73"/>
      <c r="BRL26" s="73"/>
      <c r="BRM26" s="73"/>
      <c r="BRN26" s="73"/>
      <c r="BRO26" s="73"/>
      <c r="BRP26" s="73"/>
      <c r="BRQ26" s="73"/>
      <c r="BRR26" s="73"/>
      <c r="BRS26" s="73"/>
      <c r="BRT26" s="73"/>
      <c r="BRU26" s="73"/>
      <c r="BRV26" s="73"/>
      <c r="BRW26" s="73"/>
      <c r="BRX26" s="73"/>
      <c r="BRY26" s="73"/>
      <c r="BRZ26" s="73"/>
      <c r="BSA26" s="73"/>
      <c r="BSB26" s="73"/>
      <c r="BSC26" s="73"/>
      <c r="BSD26" s="73"/>
      <c r="BSE26" s="73"/>
      <c r="BSF26" s="73"/>
      <c r="BSG26" s="73"/>
      <c r="BSH26" s="73"/>
      <c r="BSI26" s="73"/>
      <c r="BSJ26" s="73"/>
      <c r="BSK26" s="73"/>
      <c r="BSL26" s="73"/>
      <c r="BSM26" s="73"/>
      <c r="BSN26" s="73"/>
      <c r="BSO26" s="73"/>
      <c r="BSP26" s="73"/>
      <c r="BSQ26" s="73"/>
      <c r="BSR26" s="73"/>
      <c r="BSS26" s="73"/>
      <c r="BST26" s="73"/>
      <c r="BSU26" s="73"/>
      <c r="BSV26" s="73"/>
      <c r="BSW26" s="73"/>
      <c r="BSX26" s="73"/>
      <c r="BSY26" s="73"/>
      <c r="BSZ26" s="73"/>
      <c r="BTA26" s="73"/>
      <c r="BTB26" s="73"/>
      <c r="BTC26" s="73"/>
      <c r="BTD26" s="73"/>
      <c r="BTE26" s="73"/>
      <c r="BTF26" s="73"/>
      <c r="BTG26" s="73"/>
      <c r="BTH26" s="73"/>
      <c r="BTI26" s="73"/>
      <c r="BTJ26" s="73"/>
      <c r="BTK26" s="73"/>
      <c r="BTL26" s="73"/>
      <c r="BTM26" s="73"/>
      <c r="BTN26" s="73"/>
      <c r="BTO26" s="73"/>
      <c r="BTP26" s="73"/>
      <c r="BTQ26" s="73"/>
      <c r="BTR26" s="73"/>
      <c r="BTS26" s="73"/>
      <c r="BTT26" s="73"/>
      <c r="BTU26" s="73"/>
      <c r="BTV26" s="73"/>
      <c r="BTW26" s="73"/>
      <c r="BTX26" s="73"/>
      <c r="BTY26" s="73"/>
      <c r="BTZ26" s="73"/>
      <c r="BUA26" s="73"/>
      <c r="BUB26" s="73"/>
      <c r="BUC26" s="73"/>
      <c r="BUD26" s="73"/>
      <c r="BUE26" s="73"/>
      <c r="BUF26" s="73"/>
      <c r="BUG26" s="73"/>
      <c r="BUH26" s="73"/>
      <c r="BUI26" s="73"/>
      <c r="BUJ26" s="73"/>
      <c r="BUK26" s="73"/>
      <c r="BUL26" s="73"/>
      <c r="BUM26" s="73"/>
      <c r="BUN26" s="73"/>
      <c r="BUO26" s="73"/>
      <c r="BUP26" s="73"/>
      <c r="BUQ26" s="73"/>
      <c r="BUR26" s="73"/>
      <c r="BUS26" s="73"/>
      <c r="BUT26" s="73"/>
      <c r="BUU26" s="73"/>
      <c r="BUV26" s="73"/>
      <c r="BUW26" s="73"/>
      <c r="BUX26" s="73"/>
      <c r="BUY26" s="73"/>
      <c r="BUZ26" s="73"/>
      <c r="BVA26" s="73"/>
      <c r="BVB26" s="73"/>
      <c r="BVC26" s="73"/>
      <c r="BVD26" s="73"/>
      <c r="BVE26" s="73"/>
      <c r="BVF26" s="73"/>
      <c r="BVG26" s="73"/>
      <c r="BVH26" s="73"/>
      <c r="BVI26" s="73"/>
      <c r="BVJ26" s="73"/>
      <c r="BVK26" s="73"/>
      <c r="BVL26" s="73"/>
      <c r="BVM26" s="73"/>
      <c r="BVN26" s="73"/>
      <c r="BVO26" s="73"/>
      <c r="BVP26" s="73"/>
      <c r="BVQ26" s="73"/>
      <c r="BVR26" s="73"/>
      <c r="BVS26" s="73"/>
      <c r="BVT26" s="73"/>
      <c r="BVU26" s="73"/>
      <c r="BVV26" s="73"/>
      <c r="BVW26" s="73"/>
      <c r="BVX26" s="73"/>
      <c r="BVY26" s="73"/>
      <c r="BVZ26" s="73"/>
      <c r="BWA26" s="73"/>
      <c r="BWB26" s="73"/>
      <c r="BWC26" s="73"/>
      <c r="BWD26" s="73"/>
      <c r="BWE26" s="73"/>
      <c r="BWF26" s="73"/>
      <c r="BWG26" s="73"/>
      <c r="BWH26" s="73"/>
      <c r="BWI26" s="73"/>
      <c r="BWJ26" s="73"/>
      <c r="BWK26" s="73"/>
      <c r="BWL26" s="73"/>
      <c r="BWM26" s="73"/>
      <c r="BWN26" s="73"/>
      <c r="BWO26" s="73"/>
      <c r="BWP26" s="73"/>
      <c r="BWQ26" s="73"/>
      <c r="BWR26" s="73"/>
      <c r="BWS26" s="73"/>
      <c r="BWT26" s="73"/>
      <c r="BWU26" s="73"/>
      <c r="BWV26" s="73"/>
      <c r="BWW26" s="73"/>
      <c r="BWX26" s="73"/>
      <c r="BWY26" s="73"/>
      <c r="BWZ26" s="73"/>
      <c r="BXA26" s="73"/>
      <c r="BXB26" s="73"/>
      <c r="BXC26" s="73"/>
      <c r="BXD26" s="73"/>
      <c r="BXE26" s="73"/>
      <c r="BXF26" s="73"/>
      <c r="BXG26" s="73"/>
      <c r="BXH26" s="73"/>
      <c r="BXI26" s="73"/>
      <c r="BXJ26" s="73"/>
      <c r="BXK26" s="73"/>
      <c r="BXL26" s="73"/>
      <c r="BXM26" s="73"/>
      <c r="BXN26" s="73"/>
      <c r="BXO26" s="73"/>
      <c r="BXP26" s="73"/>
      <c r="BXQ26" s="73"/>
      <c r="BXR26" s="73"/>
      <c r="BXS26" s="73"/>
      <c r="BXT26" s="73"/>
      <c r="BXU26" s="73"/>
      <c r="BXV26" s="73"/>
      <c r="BXW26" s="73"/>
      <c r="BXX26" s="73"/>
      <c r="BXY26" s="73"/>
      <c r="BXZ26" s="73"/>
      <c r="BYA26" s="73"/>
      <c r="BYB26" s="73"/>
      <c r="BYC26" s="73"/>
      <c r="BYD26" s="73"/>
      <c r="BYE26" s="73"/>
      <c r="BYF26" s="73"/>
      <c r="BYG26" s="73"/>
      <c r="BYH26" s="73"/>
      <c r="BYI26" s="73"/>
      <c r="BYJ26" s="73"/>
      <c r="BYK26" s="73"/>
      <c r="BYL26" s="73"/>
      <c r="BYM26" s="73"/>
      <c r="BYN26" s="73"/>
      <c r="BYO26" s="73"/>
      <c r="BYP26" s="73"/>
      <c r="BYQ26" s="73"/>
      <c r="BYR26" s="73"/>
      <c r="BYS26" s="73"/>
      <c r="BYT26" s="73"/>
      <c r="BYU26" s="73"/>
      <c r="BYV26" s="73"/>
      <c r="BYW26" s="73"/>
      <c r="BYX26" s="73"/>
      <c r="BYY26" s="73"/>
      <c r="BYZ26" s="73"/>
      <c r="BZA26" s="73"/>
      <c r="BZB26" s="73"/>
      <c r="BZC26" s="73"/>
      <c r="BZD26" s="73"/>
      <c r="BZE26" s="73"/>
      <c r="BZF26" s="73"/>
      <c r="BZG26" s="73"/>
      <c r="BZH26" s="73"/>
      <c r="BZI26" s="73"/>
      <c r="BZJ26" s="73"/>
      <c r="BZK26" s="73"/>
      <c r="BZL26" s="73"/>
      <c r="BZM26" s="73"/>
      <c r="BZN26" s="73"/>
      <c r="BZO26" s="73"/>
      <c r="BZP26" s="73"/>
      <c r="BZQ26" s="73"/>
      <c r="BZR26" s="73"/>
      <c r="BZS26" s="73"/>
      <c r="BZT26" s="73"/>
      <c r="BZU26" s="73"/>
      <c r="BZV26" s="73"/>
      <c r="BZW26" s="73"/>
      <c r="BZX26" s="73"/>
      <c r="BZY26" s="73"/>
      <c r="BZZ26" s="73"/>
      <c r="CAA26" s="73"/>
      <c r="CAB26" s="73"/>
      <c r="CAC26" s="73"/>
      <c r="CAD26" s="73"/>
      <c r="CAE26" s="73"/>
      <c r="CAF26" s="73"/>
      <c r="CAG26" s="73"/>
      <c r="CAH26" s="73"/>
      <c r="CAI26" s="73"/>
      <c r="CAJ26" s="73"/>
      <c r="CAK26" s="73"/>
      <c r="CAL26" s="73"/>
      <c r="CAM26" s="73"/>
      <c r="CAN26" s="73"/>
      <c r="CAO26" s="73"/>
      <c r="CAP26" s="73"/>
      <c r="CAQ26" s="73"/>
      <c r="CAR26" s="73"/>
      <c r="CAS26" s="73"/>
      <c r="CAT26" s="73"/>
      <c r="CAU26" s="73"/>
      <c r="CAV26" s="73"/>
      <c r="CAW26" s="73"/>
      <c r="CAX26" s="73"/>
      <c r="CAY26" s="73"/>
      <c r="CAZ26" s="73"/>
      <c r="CBA26" s="73"/>
      <c r="CBB26" s="73"/>
      <c r="CBC26" s="73"/>
      <c r="CBD26" s="73"/>
      <c r="CBE26" s="73"/>
      <c r="CBF26" s="73"/>
      <c r="CBG26" s="73"/>
      <c r="CBH26" s="73"/>
      <c r="CBI26" s="73"/>
      <c r="CBJ26" s="73"/>
      <c r="CBK26" s="73"/>
      <c r="CBL26" s="73"/>
      <c r="CBM26" s="73"/>
      <c r="CBN26" s="73"/>
      <c r="CBO26" s="73"/>
      <c r="CBP26" s="73"/>
      <c r="CBQ26" s="73"/>
      <c r="CBR26" s="73"/>
      <c r="CBS26" s="73"/>
      <c r="CBT26" s="73"/>
      <c r="CBU26" s="73"/>
      <c r="CBV26" s="73"/>
      <c r="CBW26" s="73"/>
      <c r="CBX26" s="73"/>
      <c r="CBY26" s="73"/>
      <c r="CBZ26" s="73"/>
      <c r="CCA26" s="73"/>
      <c r="CCB26" s="73"/>
      <c r="CCC26" s="73"/>
      <c r="CCD26" s="73"/>
      <c r="CCE26" s="73"/>
      <c r="CCF26" s="73"/>
      <c r="CCG26" s="73"/>
      <c r="CCH26" s="73"/>
      <c r="CCI26" s="73"/>
      <c r="CCJ26" s="73"/>
      <c r="CCK26" s="73"/>
      <c r="CCL26" s="73"/>
      <c r="CCM26" s="73"/>
      <c r="CCN26" s="73"/>
      <c r="CCO26" s="73"/>
      <c r="CCP26" s="73"/>
      <c r="CCQ26" s="73"/>
      <c r="CCR26" s="73"/>
      <c r="CCS26" s="73"/>
      <c r="CCT26" s="73"/>
      <c r="CCU26" s="73"/>
      <c r="CCV26" s="73"/>
      <c r="CCW26" s="73"/>
      <c r="CCX26" s="73"/>
      <c r="CCY26" s="73"/>
      <c r="CCZ26" s="73"/>
      <c r="CDA26" s="73"/>
      <c r="CDB26" s="73"/>
      <c r="CDC26" s="73"/>
      <c r="CDD26" s="73"/>
      <c r="CDE26" s="73"/>
      <c r="CDF26" s="73"/>
      <c r="CDG26" s="73"/>
      <c r="CDH26" s="73"/>
      <c r="CDI26" s="73"/>
      <c r="CDJ26" s="73"/>
      <c r="CDK26" s="73"/>
      <c r="CDL26" s="73"/>
      <c r="CDM26" s="73"/>
      <c r="CDN26" s="73"/>
      <c r="CDO26" s="73"/>
      <c r="CDP26" s="73"/>
      <c r="CDQ26" s="73"/>
      <c r="CDR26" s="73"/>
      <c r="CDS26" s="73"/>
      <c r="CDT26" s="73"/>
      <c r="CDU26" s="73"/>
      <c r="CDV26" s="73"/>
      <c r="CDW26" s="73"/>
      <c r="CDX26" s="73"/>
      <c r="CDY26" s="73"/>
      <c r="CDZ26" s="73"/>
      <c r="CEA26" s="73"/>
      <c r="CEB26" s="73"/>
      <c r="CEC26" s="73"/>
      <c r="CED26" s="73"/>
      <c r="CEE26" s="73"/>
      <c r="CEF26" s="73"/>
      <c r="CEG26" s="73"/>
      <c r="CEH26" s="73"/>
      <c r="CEI26" s="73"/>
      <c r="CEJ26" s="73"/>
      <c r="CEK26" s="73"/>
      <c r="CEL26" s="73"/>
      <c r="CEM26" s="73"/>
      <c r="CEN26" s="73"/>
      <c r="CEO26" s="73"/>
      <c r="CEP26" s="73"/>
      <c r="CEQ26" s="73"/>
      <c r="CER26" s="73"/>
      <c r="CES26" s="73"/>
      <c r="CET26" s="73"/>
      <c r="CEU26" s="73"/>
      <c r="CEV26" s="73"/>
      <c r="CEW26" s="73"/>
      <c r="CEX26" s="73"/>
      <c r="CEY26" s="73"/>
      <c r="CEZ26" s="73"/>
      <c r="CFA26" s="73"/>
      <c r="CFB26" s="73"/>
      <c r="CFC26" s="73"/>
      <c r="CFD26" s="73"/>
      <c r="CFE26" s="73"/>
      <c r="CFF26" s="73"/>
      <c r="CFG26" s="73"/>
      <c r="CFH26" s="73"/>
      <c r="CFI26" s="73"/>
      <c r="CFJ26" s="73"/>
      <c r="CFK26" s="73"/>
      <c r="CFL26" s="73"/>
      <c r="CFM26" s="73"/>
      <c r="CFN26" s="73"/>
      <c r="CFO26" s="73"/>
      <c r="CFP26" s="73"/>
      <c r="CFQ26" s="73"/>
      <c r="CFR26" s="73"/>
      <c r="CFS26" s="73"/>
      <c r="CFT26" s="73"/>
      <c r="CFU26" s="73"/>
      <c r="CFV26" s="73"/>
      <c r="CFW26" s="73"/>
      <c r="CFX26" s="73"/>
      <c r="CFY26" s="73"/>
      <c r="CFZ26" s="73"/>
      <c r="CGA26" s="73"/>
      <c r="CGB26" s="73"/>
      <c r="CGC26" s="73"/>
      <c r="CGD26" s="73"/>
      <c r="CGE26" s="73"/>
      <c r="CGF26" s="73"/>
      <c r="CGG26" s="73"/>
      <c r="CGH26" s="73"/>
      <c r="CGI26" s="73"/>
      <c r="CGJ26" s="73"/>
      <c r="CGK26" s="73"/>
      <c r="CGL26" s="73"/>
      <c r="CGM26" s="73"/>
      <c r="CGN26" s="73"/>
      <c r="CGO26" s="73"/>
      <c r="CGP26" s="73"/>
      <c r="CGQ26" s="73"/>
      <c r="CGR26" s="73"/>
      <c r="CGS26" s="73"/>
      <c r="CGT26" s="73"/>
      <c r="CGU26" s="73"/>
      <c r="CGV26" s="73"/>
      <c r="CGW26" s="73"/>
      <c r="CGX26" s="73"/>
      <c r="CGY26" s="73"/>
      <c r="CGZ26" s="73"/>
      <c r="CHA26" s="73"/>
      <c r="CHB26" s="73"/>
      <c r="CHC26" s="73"/>
      <c r="CHD26" s="73"/>
      <c r="CHE26" s="73"/>
      <c r="CHF26" s="73"/>
      <c r="CHG26" s="73"/>
      <c r="CHH26" s="73"/>
      <c r="CHI26" s="73"/>
      <c r="CHJ26" s="73"/>
      <c r="CHK26" s="73"/>
      <c r="CHL26" s="73"/>
      <c r="CHM26" s="73"/>
      <c r="CHN26" s="73"/>
      <c r="CHO26" s="73"/>
      <c r="CHP26" s="73"/>
      <c r="CHQ26" s="73"/>
      <c r="CHR26" s="73"/>
      <c r="CHS26" s="73"/>
      <c r="CHT26" s="73"/>
      <c r="CHU26" s="73"/>
      <c r="CHV26" s="73"/>
      <c r="CHW26" s="73"/>
      <c r="CHX26" s="73"/>
      <c r="CHY26" s="73"/>
      <c r="CHZ26" s="73"/>
      <c r="CIA26" s="73"/>
      <c r="CIB26" s="73"/>
      <c r="CIC26" s="73"/>
      <c r="CID26" s="73"/>
      <c r="CIE26" s="73"/>
      <c r="CIF26" s="73"/>
      <c r="CIG26" s="73"/>
      <c r="CIH26" s="73"/>
      <c r="CII26" s="73"/>
      <c r="CIJ26" s="73"/>
      <c r="CIK26" s="73"/>
      <c r="CIL26" s="73"/>
      <c r="CIM26" s="73"/>
      <c r="CIN26" s="73"/>
      <c r="CIO26" s="73"/>
      <c r="CIP26" s="73"/>
      <c r="CIQ26" s="73"/>
      <c r="CIR26" s="73"/>
      <c r="CIS26" s="73"/>
      <c r="CIT26" s="73"/>
      <c r="CIU26" s="73"/>
      <c r="CIV26" s="73"/>
      <c r="CIW26" s="73"/>
      <c r="CIX26" s="73"/>
      <c r="CIY26" s="73"/>
      <c r="CIZ26" s="73"/>
      <c r="CJA26" s="73"/>
      <c r="CJB26" s="73"/>
      <c r="CJC26" s="73"/>
      <c r="CJD26" s="73"/>
      <c r="CJE26" s="73"/>
      <c r="CJF26" s="73"/>
      <c r="CJG26" s="73"/>
      <c r="CJH26" s="73"/>
      <c r="CJI26" s="73"/>
      <c r="CJJ26" s="73"/>
      <c r="CJK26" s="73"/>
      <c r="CJL26" s="73"/>
      <c r="CJM26" s="73"/>
      <c r="CJN26" s="73"/>
      <c r="CJO26" s="73"/>
      <c r="CJP26" s="73"/>
      <c r="CJQ26" s="73"/>
      <c r="CJR26" s="73"/>
      <c r="CJS26" s="73"/>
      <c r="CJT26" s="73"/>
      <c r="CJU26" s="73"/>
      <c r="CJV26" s="73"/>
      <c r="CJW26" s="73"/>
      <c r="CJX26" s="73"/>
      <c r="CJY26" s="73"/>
      <c r="CJZ26" s="73"/>
      <c r="CKA26" s="73"/>
      <c r="CKB26" s="73"/>
      <c r="CKC26" s="73"/>
      <c r="CKD26" s="73"/>
      <c r="CKE26" s="73"/>
      <c r="CKF26" s="73"/>
      <c r="CKG26" s="73"/>
      <c r="CKH26" s="73"/>
      <c r="CKI26" s="73"/>
      <c r="CKJ26" s="73"/>
      <c r="CKK26" s="73"/>
      <c r="CKL26" s="73"/>
      <c r="CKM26" s="73"/>
      <c r="CKN26" s="73"/>
      <c r="CKO26" s="73"/>
      <c r="CKP26" s="73"/>
      <c r="CKQ26" s="73"/>
      <c r="CKR26" s="73"/>
      <c r="CKS26" s="73"/>
      <c r="CKT26" s="73"/>
      <c r="CKU26" s="73"/>
      <c r="CKV26" s="73"/>
      <c r="CKW26" s="73"/>
      <c r="CKX26" s="73"/>
      <c r="CKY26" s="73"/>
      <c r="CKZ26" s="73"/>
      <c r="CLA26" s="73"/>
      <c r="CLB26" s="73"/>
      <c r="CLC26" s="73"/>
      <c r="CLD26" s="73"/>
      <c r="CLE26" s="73"/>
      <c r="CLF26" s="73"/>
      <c r="CLG26" s="73"/>
      <c r="CLH26" s="73"/>
      <c r="CLI26" s="73"/>
      <c r="CLJ26" s="73"/>
      <c r="CLK26" s="73"/>
      <c r="CLL26" s="73"/>
      <c r="CLM26" s="73"/>
      <c r="CLN26" s="73"/>
      <c r="CLO26" s="73"/>
      <c r="CLP26" s="73"/>
      <c r="CLQ26" s="73"/>
      <c r="CLR26" s="73"/>
      <c r="CLS26" s="73"/>
      <c r="CLT26" s="73"/>
      <c r="CLU26" s="73"/>
      <c r="CLV26" s="73"/>
      <c r="CLW26" s="73"/>
      <c r="CLX26" s="73"/>
      <c r="CLY26" s="73"/>
      <c r="CLZ26" s="73"/>
      <c r="CMA26" s="73"/>
      <c r="CMB26" s="73"/>
      <c r="CMC26" s="73"/>
      <c r="CMD26" s="73"/>
      <c r="CME26" s="73"/>
      <c r="CMF26" s="73"/>
      <c r="CMG26" s="73"/>
      <c r="CMH26" s="73"/>
      <c r="CMI26" s="73"/>
      <c r="CMJ26" s="73"/>
      <c r="CMK26" s="73"/>
      <c r="CML26" s="73"/>
      <c r="CMM26" s="73"/>
      <c r="CMN26" s="73"/>
      <c r="CMO26" s="73"/>
      <c r="CMP26" s="73"/>
      <c r="CMQ26" s="73"/>
      <c r="CMR26" s="73"/>
      <c r="CMS26" s="73"/>
      <c r="CMT26" s="73"/>
      <c r="CMU26" s="73"/>
      <c r="CMV26" s="73"/>
      <c r="CMW26" s="73"/>
      <c r="CMX26" s="73"/>
      <c r="CMY26" s="73"/>
      <c r="CMZ26" s="73"/>
      <c r="CNA26" s="73"/>
      <c r="CNB26" s="73"/>
      <c r="CNC26" s="73"/>
      <c r="CND26" s="73"/>
      <c r="CNE26" s="73"/>
      <c r="CNF26" s="73"/>
      <c r="CNG26" s="73"/>
      <c r="CNH26" s="73"/>
      <c r="CNI26" s="73"/>
      <c r="CNJ26" s="73"/>
      <c r="CNK26" s="73"/>
      <c r="CNL26" s="73"/>
      <c r="CNM26" s="73"/>
      <c r="CNN26" s="73"/>
      <c r="CNO26" s="73"/>
      <c r="CNP26" s="73"/>
      <c r="CNQ26" s="73"/>
      <c r="CNR26" s="73"/>
      <c r="CNS26" s="73"/>
      <c r="CNT26" s="73"/>
      <c r="CNU26" s="73"/>
      <c r="CNV26" s="73"/>
      <c r="CNW26" s="73"/>
      <c r="CNX26" s="73"/>
      <c r="CNY26" s="73"/>
      <c r="CNZ26" s="73"/>
      <c r="COA26" s="73"/>
      <c r="COB26" s="73"/>
      <c r="COC26" s="73"/>
      <c r="COD26" s="73"/>
      <c r="COE26" s="73"/>
      <c r="COF26" s="73"/>
      <c r="COG26" s="73"/>
      <c r="COH26" s="73"/>
      <c r="COI26" s="73"/>
      <c r="COJ26" s="73"/>
      <c r="COK26" s="73"/>
      <c r="COL26" s="73"/>
      <c r="COM26" s="73"/>
      <c r="CON26" s="73"/>
      <c r="COO26" s="73"/>
      <c r="COP26" s="73"/>
      <c r="COQ26" s="73"/>
      <c r="COR26" s="73"/>
      <c r="COS26" s="73"/>
      <c r="COT26" s="73"/>
      <c r="COU26" s="73"/>
      <c r="COV26" s="73"/>
      <c r="COW26" s="73"/>
      <c r="COX26" s="73"/>
      <c r="COY26" s="73"/>
      <c r="COZ26" s="73"/>
      <c r="CPA26" s="73"/>
      <c r="CPB26" s="73"/>
      <c r="CPC26" s="73"/>
      <c r="CPD26" s="73"/>
      <c r="CPE26" s="73"/>
      <c r="CPF26" s="73"/>
      <c r="CPG26" s="73"/>
      <c r="CPH26" s="73"/>
      <c r="CPI26" s="73"/>
      <c r="CPJ26" s="73"/>
      <c r="CPK26" s="73"/>
      <c r="CPL26" s="73"/>
      <c r="CPM26" s="73"/>
      <c r="CPN26" s="73"/>
      <c r="CPO26" s="73"/>
      <c r="CPP26" s="73"/>
      <c r="CPQ26" s="73"/>
      <c r="CPR26" s="73"/>
      <c r="CPS26" s="73"/>
      <c r="CPT26" s="73"/>
      <c r="CPU26" s="73"/>
      <c r="CPV26" s="73"/>
      <c r="CPW26" s="73"/>
      <c r="CPX26" s="73"/>
      <c r="CPY26" s="73"/>
      <c r="CPZ26" s="73"/>
      <c r="CQA26" s="73"/>
      <c r="CQB26" s="73"/>
      <c r="CQC26" s="73"/>
      <c r="CQD26" s="73"/>
      <c r="CQE26" s="73"/>
      <c r="CQF26" s="73"/>
      <c r="CQG26" s="73"/>
      <c r="CQH26" s="73"/>
      <c r="CQI26" s="73"/>
      <c r="CQJ26" s="73"/>
      <c r="CQK26" s="73"/>
      <c r="CQL26" s="73"/>
      <c r="CQM26" s="73"/>
      <c r="CQN26" s="73"/>
      <c r="CQO26" s="73"/>
      <c r="CQP26" s="73"/>
      <c r="CQQ26" s="73"/>
      <c r="CQR26" s="73"/>
      <c r="CQS26" s="73"/>
      <c r="CQT26" s="73"/>
      <c r="CQU26" s="73"/>
      <c r="CQV26" s="73"/>
      <c r="CQW26" s="73"/>
      <c r="CQX26" s="73"/>
      <c r="CQY26" s="73"/>
      <c r="CQZ26" s="73"/>
      <c r="CRA26" s="73"/>
      <c r="CRB26" s="73"/>
      <c r="CRC26" s="73"/>
      <c r="CRD26" s="73"/>
      <c r="CRE26" s="73"/>
      <c r="CRF26" s="73"/>
      <c r="CRG26" s="73"/>
      <c r="CRH26" s="73"/>
      <c r="CRI26" s="73"/>
      <c r="CRJ26" s="73"/>
      <c r="CRK26" s="73"/>
      <c r="CRL26" s="73"/>
      <c r="CRM26" s="73"/>
      <c r="CRN26" s="73"/>
      <c r="CRO26" s="73"/>
      <c r="CRP26" s="73"/>
      <c r="CRQ26" s="73"/>
      <c r="CRR26" s="73"/>
      <c r="CRS26" s="73"/>
      <c r="CRT26" s="73"/>
      <c r="CRU26" s="73"/>
      <c r="CRV26" s="73"/>
      <c r="CRW26" s="73"/>
      <c r="CRX26" s="73"/>
      <c r="CRY26" s="73"/>
      <c r="CRZ26" s="73"/>
      <c r="CSA26" s="73"/>
      <c r="CSB26" s="73"/>
      <c r="CSC26" s="73"/>
      <c r="CSD26" s="73"/>
      <c r="CSE26" s="73"/>
      <c r="CSF26" s="73"/>
      <c r="CSG26" s="73"/>
      <c r="CSH26" s="73"/>
      <c r="CSI26" s="73"/>
      <c r="CSJ26" s="73"/>
      <c r="CSK26" s="73"/>
      <c r="CSL26" s="73"/>
      <c r="CSM26" s="73"/>
      <c r="CSN26" s="73"/>
      <c r="CSO26" s="73"/>
      <c r="CSP26" s="73"/>
      <c r="CSQ26" s="73"/>
      <c r="CSR26" s="73"/>
      <c r="CSS26" s="73"/>
      <c r="CST26" s="73"/>
      <c r="CSU26" s="73"/>
      <c r="CSV26" s="73"/>
      <c r="CSW26" s="73"/>
      <c r="CSX26" s="73"/>
      <c r="CSY26" s="73"/>
      <c r="CSZ26" s="73"/>
      <c r="CTA26" s="73"/>
      <c r="CTB26" s="73"/>
      <c r="CTC26" s="73"/>
      <c r="CTD26" s="73"/>
      <c r="CTE26" s="73"/>
      <c r="CTF26" s="73"/>
      <c r="CTG26" s="73"/>
      <c r="CTH26" s="73"/>
      <c r="CTI26" s="73"/>
      <c r="CTJ26" s="73"/>
      <c r="CTK26" s="73"/>
      <c r="CTL26" s="73"/>
      <c r="CTM26" s="73"/>
      <c r="CTN26" s="73"/>
      <c r="CTO26" s="73"/>
      <c r="CTP26" s="73"/>
      <c r="CTQ26" s="73"/>
      <c r="CTR26" s="73"/>
      <c r="CTS26" s="73"/>
      <c r="CTT26" s="73"/>
      <c r="CTU26" s="73"/>
      <c r="CTV26" s="73"/>
      <c r="CTW26" s="73"/>
      <c r="CTX26" s="73"/>
      <c r="CTY26" s="73"/>
      <c r="CTZ26" s="73"/>
      <c r="CUA26" s="73"/>
      <c r="CUB26" s="73"/>
      <c r="CUC26" s="73"/>
      <c r="CUD26" s="73"/>
      <c r="CUE26" s="73"/>
      <c r="CUF26" s="73"/>
      <c r="CUG26" s="73"/>
      <c r="CUH26" s="73"/>
      <c r="CUI26" s="73"/>
      <c r="CUJ26" s="73"/>
      <c r="CUK26" s="73"/>
      <c r="CUL26" s="73"/>
      <c r="CUM26" s="73"/>
      <c r="CUN26" s="73"/>
      <c r="CUO26" s="73"/>
      <c r="CUP26" s="73"/>
      <c r="CUQ26" s="73"/>
      <c r="CUR26" s="73"/>
      <c r="CUS26" s="73"/>
      <c r="CUT26" s="73"/>
      <c r="CUU26" s="73"/>
      <c r="CUV26" s="73"/>
      <c r="CUW26" s="73"/>
      <c r="CUX26" s="73"/>
      <c r="CUY26" s="73"/>
      <c r="CUZ26" s="73"/>
      <c r="CVA26" s="73"/>
      <c r="CVB26" s="73"/>
      <c r="CVC26" s="73"/>
      <c r="CVD26" s="73"/>
      <c r="CVE26" s="73"/>
      <c r="CVF26" s="73"/>
      <c r="CVG26" s="73"/>
      <c r="CVH26" s="73"/>
      <c r="CVI26" s="73"/>
      <c r="CVJ26" s="73"/>
      <c r="CVK26" s="73"/>
      <c r="CVL26" s="73"/>
      <c r="CVM26" s="73"/>
      <c r="CVN26" s="73"/>
      <c r="CVO26" s="73"/>
      <c r="CVP26" s="73"/>
      <c r="CVQ26" s="73"/>
      <c r="CVR26" s="73"/>
      <c r="CVS26" s="73"/>
      <c r="CVT26" s="73"/>
      <c r="CVU26" s="73"/>
      <c r="CVV26" s="73"/>
      <c r="CVW26" s="73"/>
      <c r="CVX26" s="73"/>
      <c r="CVY26" s="73"/>
      <c r="CVZ26" s="73"/>
      <c r="CWA26" s="73"/>
      <c r="CWB26" s="73"/>
      <c r="CWC26" s="73"/>
      <c r="CWD26" s="73"/>
      <c r="CWE26" s="73"/>
      <c r="CWF26" s="73"/>
      <c r="CWG26" s="73"/>
      <c r="CWH26" s="73"/>
      <c r="CWI26" s="73"/>
      <c r="CWJ26" s="73"/>
      <c r="CWK26" s="73"/>
      <c r="CWL26" s="73"/>
      <c r="CWM26" s="73"/>
      <c r="CWN26" s="73"/>
      <c r="CWO26" s="73"/>
      <c r="CWP26" s="73"/>
      <c r="CWQ26" s="73"/>
      <c r="CWR26" s="73"/>
      <c r="CWS26" s="73"/>
      <c r="CWT26" s="73"/>
      <c r="CWU26" s="73"/>
      <c r="CWV26" s="73"/>
      <c r="CWW26" s="73"/>
      <c r="CWX26" s="73"/>
      <c r="CWY26" s="73"/>
      <c r="CWZ26" s="73"/>
      <c r="CXA26" s="73"/>
      <c r="CXB26" s="73"/>
      <c r="CXC26" s="73"/>
      <c r="CXD26" s="73"/>
      <c r="CXE26" s="73"/>
      <c r="CXF26" s="73"/>
      <c r="CXG26" s="73"/>
      <c r="CXH26" s="73"/>
      <c r="CXI26" s="73"/>
      <c r="CXJ26" s="73"/>
      <c r="CXK26" s="73"/>
      <c r="CXL26" s="73"/>
      <c r="CXM26" s="73"/>
      <c r="CXN26" s="73"/>
      <c r="CXO26" s="73"/>
      <c r="CXP26" s="73"/>
      <c r="CXQ26" s="73"/>
      <c r="CXR26" s="73"/>
      <c r="CXS26" s="73"/>
      <c r="CXT26" s="73"/>
      <c r="CXU26" s="73"/>
      <c r="CXV26" s="73"/>
      <c r="CXW26" s="73"/>
      <c r="CXX26" s="73"/>
      <c r="CXY26" s="73"/>
      <c r="CXZ26" s="73"/>
      <c r="CYA26" s="73"/>
      <c r="CYB26" s="73"/>
      <c r="CYC26" s="73"/>
      <c r="CYD26" s="73"/>
      <c r="CYE26" s="73"/>
      <c r="CYF26" s="73"/>
      <c r="CYG26" s="73"/>
      <c r="CYH26" s="73"/>
      <c r="CYI26" s="73"/>
      <c r="CYJ26" s="73"/>
      <c r="CYK26" s="73"/>
      <c r="CYL26" s="73"/>
      <c r="CYM26" s="73"/>
      <c r="CYN26" s="73"/>
      <c r="CYO26" s="73"/>
      <c r="CYP26" s="73"/>
      <c r="CYQ26" s="73"/>
      <c r="CYR26" s="73"/>
      <c r="CYS26" s="73"/>
      <c r="CYT26" s="73"/>
      <c r="CYU26" s="73"/>
      <c r="CYV26" s="73"/>
      <c r="CYW26" s="73"/>
      <c r="CYX26" s="73"/>
      <c r="CYY26" s="73"/>
      <c r="CYZ26" s="73"/>
      <c r="CZA26" s="73"/>
      <c r="CZB26" s="73"/>
      <c r="CZC26" s="73"/>
      <c r="CZD26" s="73"/>
      <c r="CZE26" s="73"/>
      <c r="CZF26" s="73"/>
      <c r="CZG26" s="73"/>
      <c r="CZH26" s="73"/>
      <c r="CZI26" s="73"/>
      <c r="CZJ26" s="73"/>
      <c r="CZK26" s="73"/>
      <c r="CZL26" s="73"/>
      <c r="CZM26" s="73"/>
      <c r="CZN26" s="73"/>
      <c r="CZO26" s="73"/>
      <c r="CZP26" s="73"/>
      <c r="CZQ26" s="73"/>
      <c r="CZR26" s="73"/>
      <c r="CZS26" s="73"/>
      <c r="CZT26" s="73"/>
      <c r="CZU26" s="73"/>
      <c r="CZV26" s="73"/>
      <c r="CZW26" s="73"/>
      <c r="CZX26" s="73"/>
      <c r="CZY26" s="73"/>
      <c r="CZZ26" s="73"/>
      <c r="DAA26" s="73"/>
      <c r="DAB26" s="73"/>
      <c r="DAC26" s="73"/>
      <c r="DAD26" s="73"/>
      <c r="DAE26" s="73"/>
      <c r="DAF26" s="73"/>
      <c r="DAG26" s="73"/>
      <c r="DAH26" s="73"/>
      <c r="DAI26" s="73"/>
      <c r="DAJ26" s="73"/>
      <c r="DAK26" s="73"/>
      <c r="DAL26" s="73"/>
      <c r="DAM26" s="73"/>
      <c r="DAN26" s="73"/>
      <c r="DAO26" s="73"/>
      <c r="DAP26" s="73"/>
      <c r="DAQ26" s="73"/>
      <c r="DAR26" s="73"/>
      <c r="DAS26" s="73"/>
      <c r="DAT26" s="73"/>
      <c r="DAU26" s="73"/>
      <c r="DAV26" s="73"/>
      <c r="DAW26" s="73"/>
      <c r="DAX26" s="73"/>
      <c r="DAY26" s="73"/>
      <c r="DAZ26" s="73"/>
      <c r="DBA26" s="73"/>
      <c r="DBB26" s="73"/>
      <c r="DBC26" s="73"/>
      <c r="DBD26" s="73"/>
      <c r="DBE26" s="73"/>
      <c r="DBF26" s="73"/>
      <c r="DBG26" s="73"/>
      <c r="DBH26" s="73"/>
      <c r="DBI26" s="73"/>
      <c r="DBJ26" s="73"/>
      <c r="DBK26" s="73"/>
      <c r="DBL26" s="73"/>
      <c r="DBM26" s="73"/>
      <c r="DBN26" s="73"/>
      <c r="DBO26" s="73"/>
      <c r="DBP26" s="73"/>
      <c r="DBQ26" s="73"/>
      <c r="DBR26" s="73"/>
      <c r="DBS26" s="73"/>
      <c r="DBT26" s="73"/>
      <c r="DBU26" s="73"/>
      <c r="DBV26" s="73"/>
      <c r="DBW26" s="73"/>
      <c r="DBX26" s="73"/>
      <c r="DBY26" s="73"/>
      <c r="DBZ26" s="73"/>
      <c r="DCA26" s="73"/>
      <c r="DCB26" s="73"/>
      <c r="DCC26" s="73"/>
      <c r="DCD26" s="73"/>
      <c r="DCE26" s="73"/>
      <c r="DCF26" s="73"/>
      <c r="DCG26" s="73"/>
      <c r="DCH26" s="73"/>
      <c r="DCI26" s="73"/>
      <c r="DCJ26" s="73"/>
      <c r="DCK26" s="73"/>
      <c r="DCL26" s="73"/>
      <c r="DCM26" s="73"/>
      <c r="DCN26" s="73"/>
      <c r="DCO26" s="73"/>
      <c r="DCP26" s="73"/>
      <c r="DCQ26" s="73"/>
      <c r="DCR26" s="73"/>
      <c r="DCS26" s="73"/>
      <c r="DCT26" s="73"/>
      <c r="DCU26" s="73"/>
      <c r="DCV26" s="73"/>
      <c r="DCW26" s="73"/>
      <c r="DCX26" s="73"/>
      <c r="DCY26" s="73"/>
      <c r="DCZ26" s="73"/>
      <c r="DDA26" s="73"/>
      <c r="DDB26" s="73"/>
      <c r="DDC26" s="73"/>
      <c r="DDD26" s="73"/>
      <c r="DDE26" s="73"/>
      <c r="DDF26" s="73"/>
      <c r="DDG26" s="73"/>
      <c r="DDH26" s="73"/>
      <c r="DDI26" s="73"/>
      <c r="DDJ26" s="73"/>
      <c r="DDK26" s="73"/>
      <c r="DDL26" s="73"/>
      <c r="DDM26" s="73"/>
      <c r="DDN26" s="73"/>
      <c r="DDO26" s="73"/>
      <c r="DDP26" s="73"/>
      <c r="DDQ26" s="73"/>
      <c r="DDR26" s="73"/>
      <c r="DDS26" s="73"/>
      <c r="DDT26" s="73"/>
      <c r="DDU26" s="73"/>
      <c r="DDV26" s="73"/>
      <c r="DDW26" s="73"/>
      <c r="DDX26" s="73"/>
      <c r="DDY26" s="73"/>
      <c r="DDZ26" s="73"/>
      <c r="DEA26" s="73"/>
      <c r="DEB26" s="73"/>
      <c r="DEC26" s="73"/>
      <c r="DED26" s="73"/>
      <c r="DEE26" s="73"/>
      <c r="DEF26" s="73"/>
      <c r="DEG26" s="73"/>
      <c r="DEH26" s="73"/>
      <c r="DEI26" s="73"/>
      <c r="DEJ26" s="73"/>
      <c r="DEK26" s="73"/>
      <c r="DEL26" s="73"/>
      <c r="DEM26" s="73"/>
      <c r="DEN26" s="73"/>
      <c r="DEO26" s="73"/>
      <c r="DEP26" s="73"/>
      <c r="DEQ26" s="73"/>
      <c r="DER26" s="73"/>
      <c r="DES26" s="73"/>
      <c r="DET26" s="73"/>
      <c r="DEU26" s="73"/>
      <c r="DEV26" s="73"/>
      <c r="DEW26" s="73"/>
      <c r="DEX26" s="73"/>
      <c r="DEY26" s="73"/>
      <c r="DEZ26" s="73"/>
      <c r="DFA26" s="73"/>
      <c r="DFB26" s="73"/>
      <c r="DFC26" s="73"/>
      <c r="DFD26" s="73"/>
      <c r="DFE26" s="73"/>
      <c r="DFF26" s="73"/>
      <c r="DFG26" s="73"/>
      <c r="DFH26" s="73"/>
      <c r="DFI26" s="73"/>
      <c r="DFJ26" s="73"/>
      <c r="DFK26" s="73"/>
      <c r="DFL26" s="73"/>
      <c r="DFM26" s="73"/>
      <c r="DFN26" s="73"/>
      <c r="DFO26" s="73"/>
      <c r="DFP26" s="73"/>
      <c r="DFQ26" s="73"/>
      <c r="DFR26" s="73"/>
      <c r="DFS26" s="73"/>
      <c r="DFT26" s="73"/>
      <c r="DFU26" s="73"/>
      <c r="DFV26" s="73"/>
      <c r="DFW26" s="73"/>
      <c r="DFX26" s="73"/>
      <c r="DFY26" s="73"/>
      <c r="DFZ26" s="73"/>
      <c r="DGA26" s="73"/>
      <c r="DGB26" s="73"/>
      <c r="DGC26" s="73"/>
      <c r="DGD26" s="73"/>
      <c r="DGE26" s="73"/>
      <c r="DGF26" s="73"/>
      <c r="DGG26" s="73"/>
      <c r="DGH26" s="73"/>
      <c r="DGI26" s="73"/>
      <c r="DGJ26" s="73"/>
      <c r="DGK26" s="73"/>
      <c r="DGL26" s="73"/>
      <c r="DGM26" s="73"/>
      <c r="DGN26" s="73"/>
      <c r="DGO26" s="73"/>
      <c r="DGP26" s="73"/>
      <c r="DGQ26" s="73"/>
      <c r="DGR26" s="73"/>
      <c r="DGS26" s="73"/>
      <c r="DGT26" s="73"/>
      <c r="DGU26" s="73"/>
      <c r="DGV26" s="73"/>
      <c r="DGW26" s="73"/>
      <c r="DGX26" s="73"/>
      <c r="DGY26" s="73"/>
      <c r="DGZ26" s="73"/>
      <c r="DHA26" s="73"/>
      <c r="DHB26" s="73"/>
      <c r="DHC26" s="73"/>
      <c r="DHD26" s="73"/>
      <c r="DHE26" s="73"/>
      <c r="DHF26" s="73"/>
      <c r="DHG26" s="73"/>
      <c r="DHH26" s="73"/>
      <c r="DHI26" s="73"/>
      <c r="DHJ26" s="73"/>
      <c r="DHK26" s="73"/>
      <c r="DHL26" s="73"/>
      <c r="DHM26" s="73"/>
      <c r="DHN26" s="73"/>
      <c r="DHO26" s="73"/>
      <c r="DHP26" s="73"/>
      <c r="DHQ26" s="73"/>
      <c r="DHR26" s="73"/>
      <c r="DHS26" s="73"/>
      <c r="DHT26" s="73"/>
      <c r="DHU26" s="73"/>
      <c r="DHV26" s="73"/>
      <c r="DHW26" s="73"/>
      <c r="DHX26" s="73"/>
      <c r="DHY26" s="73"/>
      <c r="DHZ26" s="73"/>
      <c r="DIA26" s="73"/>
      <c r="DIB26" s="73"/>
      <c r="DIC26" s="73"/>
      <c r="DID26" s="73"/>
      <c r="DIE26" s="73"/>
      <c r="DIF26" s="73"/>
      <c r="DIG26" s="73"/>
      <c r="DIH26" s="73"/>
      <c r="DII26" s="73"/>
      <c r="DIJ26" s="73"/>
      <c r="DIK26" s="73"/>
      <c r="DIL26" s="73"/>
      <c r="DIM26" s="73"/>
      <c r="DIN26" s="73"/>
      <c r="DIO26" s="73"/>
      <c r="DIP26" s="73"/>
      <c r="DIQ26" s="73"/>
      <c r="DIR26" s="73"/>
      <c r="DIS26" s="73"/>
      <c r="DIT26" s="73"/>
      <c r="DIU26" s="73"/>
      <c r="DIV26" s="73"/>
      <c r="DIW26" s="73"/>
      <c r="DIX26" s="73"/>
      <c r="DIY26" s="73"/>
      <c r="DIZ26" s="73"/>
      <c r="DJA26" s="73"/>
      <c r="DJB26" s="73"/>
      <c r="DJC26" s="73"/>
      <c r="DJD26" s="73"/>
      <c r="DJE26" s="73"/>
      <c r="DJF26" s="73"/>
      <c r="DJG26" s="73"/>
      <c r="DJH26" s="73"/>
      <c r="DJI26" s="73"/>
      <c r="DJJ26" s="73"/>
      <c r="DJK26" s="73"/>
      <c r="DJL26" s="73"/>
      <c r="DJM26" s="73"/>
      <c r="DJN26" s="73"/>
      <c r="DJO26" s="73"/>
      <c r="DJP26" s="73"/>
      <c r="DJQ26" s="73"/>
      <c r="DJR26" s="73"/>
      <c r="DJS26" s="73"/>
      <c r="DJT26" s="73"/>
      <c r="DJU26" s="73"/>
      <c r="DJV26" s="73"/>
      <c r="DJW26" s="73"/>
      <c r="DJX26" s="73"/>
      <c r="DJY26" s="73"/>
      <c r="DJZ26" s="73"/>
      <c r="DKA26" s="73"/>
      <c r="DKB26" s="73"/>
      <c r="DKC26" s="73"/>
      <c r="DKD26" s="73"/>
      <c r="DKE26" s="73"/>
      <c r="DKF26" s="73"/>
      <c r="DKG26" s="73"/>
      <c r="DKH26" s="73"/>
      <c r="DKI26" s="73"/>
      <c r="DKJ26" s="73"/>
      <c r="DKK26" s="73"/>
      <c r="DKL26" s="73"/>
      <c r="DKM26" s="73"/>
      <c r="DKN26" s="73"/>
      <c r="DKO26" s="73"/>
      <c r="DKP26" s="73"/>
      <c r="DKQ26" s="73"/>
      <c r="DKR26" s="73"/>
      <c r="DKS26" s="73"/>
      <c r="DKT26" s="73"/>
      <c r="DKU26" s="73"/>
      <c r="DKV26" s="73"/>
      <c r="DKW26" s="73"/>
      <c r="DKX26" s="73"/>
      <c r="DKY26" s="73"/>
      <c r="DKZ26" s="73"/>
      <c r="DLA26" s="73"/>
      <c r="DLB26" s="73"/>
      <c r="DLC26" s="73"/>
      <c r="DLD26" s="73"/>
      <c r="DLE26" s="73"/>
      <c r="DLF26" s="73"/>
      <c r="DLG26" s="73"/>
      <c r="DLH26" s="73"/>
      <c r="DLI26" s="73"/>
      <c r="DLJ26" s="73"/>
      <c r="DLK26" s="73"/>
      <c r="DLL26" s="73"/>
      <c r="DLM26" s="73"/>
      <c r="DLN26" s="73"/>
      <c r="DLO26" s="73"/>
      <c r="DLP26" s="73"/>
      <c r="DLQ26" s="73"/>
      <c r="DLR26" s="73"/>
      <c r="DLS26" s="73"/>
      <c r="DLT26" s="73"/>
      <c r="DLU26" s="73"/>
      <c r="DLV26" s="73"/>
      <c r="DLW26" s="73"/>
      <c r="DLX26" s="73"/>
      <c r="DLY26" s="73"/>
      <c r="DLZ26" s="73"/>
      <c r="DMA26" s="73"/>
      <c r="DMB26" s="73"/>
      <c r="DMC26" s="73"/>
      <c r="DMD26" s="73"/>
      <c r="DME26" s="73"/>
      <c r="DMF26" s="73"/>
      <c r="DMG26" s="73"/>
      <c r="DMH26" s="73"/>
      <c r="DMI26" s="73"/>
      <c r="DMJ26" s="73"/>
      <c r="DMK26" s="73"/>
      <c r="DML26" s="73"/>
      <c r="DMM26" s="73"/>
      <c r="DMN26" s="73"/>
      <c r="DMO26" s="73"/>
      <c r="DMP26" s="73"/>
      <c r="DMQ26" s="73"/>
      <c r="DMR26" s="73"/>
      <c r="DMS26" s="73"/>
      <c r="DMT26" s="73"/>
      <c r="DMU26" s="73"/>
      <c r="DMV26" s="73"/>
      <c r="DMW26" s="73"/>
      <c r="DMX26" s="73"/>
      <c r="DMY26" s="73"/>
      <c r="DMZ26" s="73"/>
      <c r="DNA26" s="73"/>
      <c r="DNB26" s="73"/>
      <c r="DNC26" s="73"/>
      <c r="DND26" s="73"/>
      <c r="DNE26" s="73"/>
      <c r="DNF26" s="73"/>
      <c r="DNG26" s="73"/>
      <c r="DNH26" s="73"/>
      <c r="DNI26" s="73"/>
      <c r="DNJ26" s="73"/>
      <c r="DNK26" s="73"/>
      <c r="DNL26" s="73"/>
      <c r="DNM26" s="73"/>
      <c r="DNN26" s="73"/>
      <c r="DNO26" s="73"/>
      <c r="DNP26" s="73"/>
      <c r="DNQ26" s="73"/>
      <c r="DNR26" s="73"/>
      <c r="DNS26" s="73"/>
      <c r="DNT26" s="73"/>
      <c r="DNU26" s="73"/>
      <c r="DNV26" s="73"/>
      <c r="DNW26" s="73"/>
      <c r="DNX26" s="73"/>
      <c r="DNY26" s="73"/>
      <c r="DNZ26" s="73"/>
      <c r="DOA26" s="73"/>
      <c r="DOB26" s="73"/>
      <c r="DOC26" s="73"/>
      <c r="DOD26" s="73"/>
      <c r="DOE26" s="73"/>
      <c r="DOF26" s="73"/>
      <c r="DOG26" s="73"/>
      <c r="DOH26" s="73"/>
      <c r="DOI26" s="73"/>
      <c r="DOJ26" s="73"/>
      <c r="DOK26" s="73"/>
      <c r="DOL26" s="73"/>
      <c r="DOM26" s="73"/>
      <c r="DON26" s="73"/>
      <c r="DOO26" s="73"/>
      <c r="DOP26" s="73"/>
      <c r="DOQ26" s="73"/>
      <c r="DOR26" s="73"/>
      <c r="DOS26" s="73"/>
      <c r="DOT26" s="73"/>
      <c r="DOU26" s="73"/>
      <c r="DOV26" s="73"/>
      <c r="DOW26" s="73"/>
      <c r="DOX26" s="73"/>
      <c r="DOY26" s="73"/>
      <c r="DOZ26" s="73"/>
      <c r="DPA26" s="73"/>
      <c r="DPB26" s="73"/>
      <c r="DPC26" s="73"/>
      <c r="DPD26" s="73"/>
      <c r="DPE26" s="73"/>
      <c r="DPF26" s="73"/>
      <c r="DPG26" s="73"/>
      <c r="DPH26" s="73"/>
      <c r="DPI26" s="73"/>
      <c r="DPJ26" s="73"/>
      <c r="DPK26" s="73"/>
      <c r="DPL26" s="73"/>
      <c r="DPM26" s="73"/>
      <c r="DPN26" s="73"/>
      <c r="DPO26" s="73"/>
      <c r="DPP26" s="73"/>
      <c r="DPQ26" s="73"/>
      <c r="DPR26" s="73"/>
      <c r="DPS26" s="73"/>
      <c r="DPT26" s="73"/>
      <c r="DPU26" s="73"/>
      <c r="DPV26" s="73"/>
      <c r="DPW26" s="73"/>
      <c r="DPX26" s="73"/>
      <c r="DPY26" s="73"/>
      <c r="DPZ26" s="73"/>
      <c r="DQA26" s="73"/>
      <c r="DQB26" s="73"/>
      <c r="DQC26" s="73"/>
      <c r="DQD26" s="73"/>
      <c r="DQE26" s="73"/>
      <c r="DQF26" s="73"/>
      <c r="DQG26" s="73"/>
      <c r="DQH26" s="73"/>
      <c r="DQI26" s="73"/>
      <c r="DQJ26" s="73"/>
      <c r="DQK26" s="73"/>
      <c r="DQL26" s="73"/>
      <c r="DQM26" s="73"/>
      <c r="DQN26" s="73"/>
      <c r="DQO26" s="73"/>
      <c r="DQP26" s="73"/>
      <c r="DQQ26" s="73"/>
      <c r="DQR26" s="73"/>
      <c r="DQS26" s="73"/>
      <c r="DQT26" s="73"/>
      <c r="DQU26" s="73"/>
      <c r="DQV26" s="73"/>
      <c r="DQW26" s="73"/>
      <c r="DQX26" s="73"/>
      <c r="DQY26" s="73"/>
      <c r="DQZ26" s="73"/>
      <c r="DRA26" s="73"/>
      <c r="DRB26" s="73"/>
      <c r="DRC26" s="73"/>
      <c r="DRD26" s="73"/>
      <c r="DRE26" s="73"/>
      <c r="DRF26" s="73"/>
      <c r="DRG26" s="73"/>
      <c r="DRH26" s="73"/>
      <c r="DRI26" s="73"/>
      <c r="DRJ26" s="73"/>
      <c r="DRK26" s="73"/>
      <c r="DRL26" s="73"/>
      <c r="DRM26" s="73"/>
      <c r="DRN26" s="73"/>
      <c r="DRO26" s="73"/>
      <c r="DRP26" s="73"/>
      <c r="DRQ26" s="73"/>
      <c r="DRR26" s="73"/>
      <c r="DRS26" s="73"/>
      <c r="DRT26" s="73"/>
      <c r="DRU26" s="73"/>
      <c r="DRV26" s="73"/>
      <c r="DRW26" s="73"/>
      <c r="DRX26" s="73"/>
      <c r="DRY26" s="73"/>
      <c r="DRZ26" s="73"/>
      <c r="DSA26" s="73"/>
      <c r="DSB26" s="73"/>
      <c r="DSC26" s="73"/>
      <c r="DSD26" s="73"/>
      <c r="DSE26" s="73"/>
      <c r="DSF26" s="73"/>
      <c r="DSG26" s="73"/>
      <c r="DSH26" s="73"/>
      <c r="DSI26" s="73"/>
      <c r="DSJ26" s="73"/>
      <c r="DSK26" s="73"/>
      <c r="DSL26" s="73"/>
      <c r="DSM26" s="73"/>
      <c r="DSN26" s="73"/>
      <c r="DSO26" s="73"/>
      <c r="DSP26" s="73"/>
      <c r="DSQ26" s="73"/>
      <c r="DSR26" s="73"/>
      <c r="DSS26" s="73"/>
      <c r="DST26" s="73"/>
      <c r="DSU26" s="73"/>
      <c r="DSV26" s="73"/>
      <c r="DSW26" s="73"/>
      <c r="DSX26" s="73"/>
      <c r="DSY26" s="73"/>
      <c r="DSZ26" s="73"/>
      <c r="DTA26" s="73"/>
      <c r="DTB26" s="73"/>
      <c r="DTC26" s="73"/>
      <c r="DTD26" s="73"/>
      <c r="DTE26" s="73"/>
      <c r="DTF26" s="73"/>
      <c r="DTG26" s="73"/>
      <c r="DTH26" s="73"/>
      <c r="DTI26" s="73"/>
      <c r="DTJ26" s="73"/>
      <c r="DTK26" s="73"/>
      <c r="DTL26" s="73"/>
      <c r="DTM26" s="73"/>
      <c r="DTN26" s="73"/>
      <c r="DTO26" s="73"/>
      <c r="DTP26" s="73"/>
      <c r="DTQ26" s="73"/>
      <c r="DTR26" s="73"/>
      <c r="DTS26" s="73"/>
      <c r="DTT26" s="73"/>
      <c r="DTU26" s="73"/>
      <c r="DTV26" s="73"/>
      <c r="DTW26" s="73"/>
      <c r="DTX26" s="73"/>
      <c r="DTY26" s="73"/>
      <c r="DTZ26" s="73"/>
      <c r="DUA26" s="73"/>
      <c r="DUB26" s="73"/>
      <c r="DUC26" s="73"/>
      <c r="DUD26" s="73"/>
      <c r="DUE26" s="73"/>
      <c r="DUF26" s="73"/>
      <c r="DUG26" s="73"/>
      <c r="DUH26" s="73"/>
      <c r="DUI26" s="73"/>
      <c r="DUJ26" s="73"/>
      <c r="DUK26" s="73"/>
      <c r="DUL26" s="73"/>
      <c r="DUM26" s="73"/>
      <c r="DUN26" s="73"/>
      <c r="DUO26" s="73"/>
      <c r="DUP26" s="73"/>
      <c r="DUQ26" s="73"/>
      <c r="DUR26" s="73"/>
      <c r="DUS26" s="73"/>
      <c r="DUT26" s="73"/>
      <c r="DUU26" s="73"/>
      <c r="DUV26" s="73"/>
      <c r="DUW26" s="73"/>
      <c r="DUX26" s="73"/>
      <c r="DUY26" s="73"/>
      <c r="DUZ26" s="73"/>
      <c r="DVA26" s="73"/>
      <c r="DVB26" s="73"/>
      <c r="DVC26" s="73"/>
      <c r="DVD26" s="73"/>
      <c r="DVE26" s="73"/>
      <c r="DVF26" s="73"/>
      <c r="DVG26" s="73"/>
      <c r="DVH26" s="73"/>
      <c r="DVI26" s="73"/>
      <c r="DVJ26" s="73"/>
      <c r="DVK26" s="73"/>
      <c r="DVL26" s="73"/>
      <c r="DVM26" s="73"/>
      <c r="DVN26" s="73"/>
      <c r="DVO26" s="73"/>
      <c r="DVP26" s="73"/>
      <c r="DVQ26" s="73"/>
      <c r="DVR26" s="73"/>
      <c r="DVS26" s="73"/>
      <c r="DVT26" s="73"/>
      <c r="DVU26" s="73"/>
      <c r="DVV26" s="73"/>
      <c r="DVW26" s="73"/>
      <c r="DVX26" s="73"/>
      <c r="DVY26" s="73"/>
      <c r="DVZ26" s="73"/>
      <c r="DWA26" s="73"/>
      <c r="DWB26" s="73"/>
      <c r="DWC26" s="73"/>
      <c r="DWD26" s="73"/>
      <c r="DWE26" s="73"/>
      <c r="DWF26" s="73"/>
      <c r="DWG26" s="73"/>
      <c r="DWH26" s="73"/>
      <c r="DWI26" s="73"/>
      <c r="DWJ26" s="73"/>
      <c r="DWK26" s="73"/>
      <c r="DWL26" s="73"/>
      <c r="DWM26" s="73"/>
      <c r="DWN26" s="73"/>
      <c r="DWO26" s="73"/>
      <c r="DWP26" s="73"/>
      <c r="DWQ26" s="73"/>
      <c r="DWR26" s="73"/>
      <c r="DWS26" s="73"/>
      <c r="DWT26" s="73"/>
      <c r="DWU26" s="73"/>
      <c r="DWV26" s="73"/>
      <c r="DWW26" s="73"/>
      <c r="DWX26" s="73"/>
      <c r="DWY26" s="73"/>
      <c r="DWZ26" s="73"/>
      <c r="DXA26" s="73"/>
      <c r="DXB26" s="73"/>
      <c r="DXC26" s="73"/>
      <c r="DXD26" s="73"/>
      <c r="DXE26" s="73"/>
      <c r="DXF26" s="73"/>
      <c r="DXG26" s="73"/>
      <c r="DXH26" s="73"/>
      <c r="DXI26" s="73"/>
      <c r="DXJ26" s="73"/>
      <c r="DXK26" s="73"/>
      <c r="DXL26" s="73"/>
      <c r="DXM26" s="73"/>
      <c r="DXN26" s="73"/>
      <c r="DXO26" s="73"/>
      <c r="DXP26" s="73"/>
      <c r="DXQ26" s="73"/>
      <c r="DXR26" s="73"/>
      <c r="DXS26" s="73"/>
      <c r="DXT26" s="73"/>
      <c r="DXU26" s="73"/>
      <c r="DXV26" s="73"/>
      <c r="DXW26" s="73"/>
      <c r="DXX26" s="73"/>
      <c r="DXY26" s="73"/>
      <c r="DXZ26" s="73"/>
      <c r="DYA26" s="73"/>
      <c r="DYB26" s="73"/>
      <c r="DYC26" s="73"/>
      <c r="DYD26" s="73"/>
      <c r="DYE26" s="73"/>
      <c r="DYF26" s="73"/>
      <c r="DYG26" s="73"/>
      <c r="DYH26" s="73"/>
      <c r="DYI26" s="73"/>
      <c r="DYJ26" s="73"/>
      <c r="DYK26" s="73"/>
      <c r="DYL26" s="73"/>
      <c r="DYM26" s="73"/>
      <c r="DYN26" s="73"/>
      <c r="DYO26" s="73"/>
      <c r="DYP26" s="73"/>
      <c r="DYQ26" s="73"/>
      <c r="DYR26" s="73"/>
      <c r="DYS26" s="73"/>
      <c r="DYT26" s="73"/>
      <c r="DYU26" s="73"/>
      <c r="DYV26" s="73"/>
      <c r="DYW26" s="73"/>
      <c r="DYX26" s="73"/>
      <c r="DYY26" s="73"/>
      <c r="DYZ26" s="73"/>
      <c r="DZA26" s="73"/>
      <c r="DZB26" s="73"/>
      <c r="DZC26" s="73"/>
      <c r="DZD26" s="73"/>
      <c r="DZE26" s="73"/>
      <c r="DZF26" s="73"/>
      <c r="DZG26" s="73"/>
      <c r="DZH26" s="73"/>
      <c r="DZI26" s="73"/>
      <c r="DZJ26" s="73"/>
      <c r="DZK26" s="73"/>
      <c r="DZL26" s="73"/>
      <c r="DZM26" s="73"/>
      <c r="DZN26" s="73"/>
      <c r="DZO26" s="73"/>
      <c r="DZP26" s="73"/>
      <c r="DZQ26" s="73"/>
      <c r="DZR26" s="73"/>
      <c r="DZS26" s="73"/>
      <c r="DZT26" s="73"/>
      <c r="DZU26" s="73"/>
      <c r="DZV26" s="73"/>
      <c r="DZW26" s="73"/>
      <c r="DZX26" s="73"/>
      <c r="DZY26" s="73"/>
      <c r="DZZ26" s="73"/>
      <c r="EAA26" s="73"/>
      <c r="EAB26" s="73"/>
      <c r="EAC26" s="73"/>
      <c r="EAD26" s="73"/>
      <c r="EAE26" s="73"/>
      <c r="EAF26" s="73"/>
      <c r="EAG26" s="73"/>
      <c r="EAH26" s="73"/>
      <c r="EAI26" s="73"/>
      <c r="EAJ26" s="73"/>
      <c r="EAK26" s="73"/>
      <c r="EAL26" s="73"/>
      <c r="EAM26" s="73"/>
      <c r="EAN26" s="73"/>
      <c r="EAO26" s="73"/>
      <c r="EAP26" s="73"/>
      <c r="EAQ26" s="73"/>
      <c r="EAR26" s="73"/>
      <c r="EAS26" s="73"/>
      <c r="EAT26" s="73"/>
      <c r="EAU26" s="73"/>
      <c r="EAV26" s="73"/>
      <c r="EAW26" s="73"/>
      <c r="EAX26" s="73"/>
      <c r="EAY26" s="73"/>
      <c r="EAZ26" s="73"/>
      <c r="EBA26" s="73"/>
      <c r="EBB26" s="73"/>
      <c r="EBC26" s="73"/>
      <c r="EBD26" s="73"/>
      <c r="EBE26" s="73"/>
      <c r="EBF26" s="73"/>
      <c r="EBG26" s="73"/>
      <c r="EBH26" s="73"/>
      <c r="EBI26" s="73"/>
      <c r="EBJ26" s="73"/>
      <c r="EBK26" s="73"/>
      <c r="EBL26" s="73"/>
      <c r="EBM26" s="73"/>
      <c r="EBN26" s="73"/>
      <c r="EBO26" s="73"/>
      <c r="EBP26" s="73"/>
      <c r="EBQ26" s="73"/>
      <c r="EBR26" s="73"/>
      <c r="EBS26" s="73"/>
      <c r="EBT26" s="73"/>
      <c r="EBU26" s="73"/>
      <c r="EBV26" s="73"/>
      <c r="EBW26" s="73"/>
      <c r="EBX26" s="73"/>
      <c r="EBY26" s="73"/>
      <c r="EBZ26" s="73"/>
      <c r="ECA26" s="73"/>
      <c r="ECB26" s="73"/>
      <c r="ECC26" s="73"/>
      <c r="ECD26" s="73"/>
      <c r="ECE26" s="73"/>
      <c r="ECF26" s="73"/>
      <c r="ECG26" s="73"/>
      <c r="ECH26" s="73"/>
      <c r="ECI26" s="73"/>
      <c r="ECJ26" s="73"/>
      <c r="ECK26" s="73"/>
      <c r="ECL26" s="73"/>
      <c r="ECM26" s="73"/>
      <c r="ECN26" s="73"/>
      <c r="ECO26" s="73"/>
      <c r="ECP26" s="73"/>
      <c r="ECQ26" s="73"/>
      <c r="ECR26" s="73"/>
      <c r="ECS26" s="73"/>
      <c r="ECT26" s="73"/>
      <c r="ECU26" s="73"/>
      <c r="ECV26" s="73"/>
      <c r="ECW26" s="73"/>
      <c r="ECX26" s="73"/>
      <c r="ECY26" s="73"/>
      <c r="ECZ26" s="73"/>
      <c r="EDA26" s="73"/>
      <c r="EDB26" s="73"/>
      <c r="EDC26" s="73"/>
      <c r="EDD26" s="73"/>
      <c r="EDE26" s="73"/>
      <c r="EDF26" s="73"/>
      <c r="EDG26" s="73"/>
      <c r="EDH26" s="73"/>
      <c r="EDI26" s="73"/>
      <c r="EDJ26" s="73"/>
      <c r="EDK26" s="73"/>
      <c r="EDL26" s="73"/>
      <c r="EDM26" s="73"/>
      <c r="EDN26" s="73"/>
      <c r="EDO26" s="73"/>
      <c r="EDP26" s="73"/>
      <c r="EDQ26" s="73"/>
      <c r="EDR26" s="73"/>
      <c r="EDS26" s="73"/>
      <c r="EDT26" s="73"/>
      <c r="EDU26" s="73"/>
      <c r="EDV26" s="73"/>
      <c r="EDW26" s="73"/>
      <c r="EDX26" s="73"/>
      <c r="EDY26" s="73"/>
      <c r="EDZ26" s="73"/>
      <c r="EEA26" s="73"/>
      <c r="EEB26" s="73"/>
      <c r="EEC26" s="73"/>
      <c r="EED26" s="73"/>
      <c r="EEE26" s="73"/>
      <c r="EEF26" s="73"/>
      <c r="EEG26" s="73"/>
      <c r="EEH26" s="73"/>
      <c r="EEI26" s="73"/>
      <c r="EEJ26" s="73"/>
      <c r="EEK26" s="73"/>
      <c r="EEL26" s="73"/>
      <c r="EEM26" s="73"/>
      <c r="EEN26" s="73"/>
      <c r="EEO26" s="73"/>
      <c r="EEP26" s="73"/>
      <c r="EEQ26" s="73"/>
      <c r="EER26" s="73"/>
      <c r="EES26" s="73"/>
      <c r="EET26" s="73"/>
      <c r="EEU26" s="73"/>
      <c r="EEV26" s="73"/>
      <c r="EEW26" s="73"/>
      <c r="EEX26" s="73"/>
      <c r="EEY26" s="73"/>
      <c r="EEZ26" s="73"/>
      <c r="EFA26" s="73"/>
      <c r="EFB26" s="73"/>
      <c r="EFC26" s="73"/>
      <c r="EFD26" s="73"/>
      <c r="EFE26" s="73"/>
      <c r="EFF26" s="73"/>
      <c r="EFG26" s="73"/>
      <c r="EFH26" s="73"/>
      <c r="EFI26" s="73"/>
      <c r="EFJ26" s="73"/>
      <c r="EFK26" s="73"/>
      <c r="EFL26" s="73"/>
      <c r="EFM26" s="73"/>
      <c r="EFN26" s="73"/>
      <c r="EFO26" s="73"/>
      <c r="EFP26" s="73"/>
      <c r="EFQ26" s="73"/>
      <c r="EFR26" s="73"/>
      <c r="EFS26" s="73"/>
      <c r="EFT26" s="73"/>
      <c r="EFU26" s="73"/>
      <c r="EFV26" s="73"/>
      <c r="EFW26" s="73"/>
      <c r="EFX26" s="73"/>
      <c r="EFY26" s="73"/>
      <c r="EFZ26" s="73"/>
      <c r="EGA26" s="73"/>
      <c r="EGB26" s="73"/>
      <c r="EGC26" s="73"/>
      <c r="EGD26" s="73"/>
      <c r="EGE26" s="73"/>
      <c r="EGF26" s="73"/>
      <c r="EGG26" s="73"/>
      <c r="EGH26" s="73"/>
      <c r="EGI26" s="73"/>
      <c r="EGJ26" s="73"/>
      <c r="EGK26" s="73"/>
      <c r="EGL26" s="73"/>
      <c r="EGM26" s="73"/>
      <c r="EGN26" s="73"/>
      <c r="EGO26" s="73"/>
      <c r="EGP26" s="73"/>
      <c r="EGQ26" s="73"/>
      <c r="EGR26" s="73"/>
      <c r="EGS26" s="73"/>
      <c r="EGT26" s="73"/>
      <c r="EGU26" s="73"/>
      <c r="EGV26" s="73"/>
      <c r="EGW26" s="73"/>
      <c r="EGX26" s="73"/>
      <c r="EGY26" s="73"/>
      <c r="EGZ26" s="73"/>
      <c r="EHA26" s="73"/>
      <c r="EHB26" s="73"/>
      <c r="EHC26" s="73"/>
      <c r="EHD26" s="73"/>
      <c r="EHE26" s="73"/>
      <c r="EHF26" s="73"/>
      <c r="EHG26" s="73"/>
      <c r="EHH26" s="73"/>
      <c r="EHI26" s="73"/>
      <c r="EHJ26" s="73"/>
      <c r="EHK26" s="73"/>
      <c r="EHL26" s="73"/>
      <c r="EHM26" s="73"/>
      <c r="EHN26" s="73"/>
      <c r="EHO26" s="73"/>
      <c r="EHP26" s="73"/>
      <c r="EHQ26" s="73"/>
      <c r="EHR26" s="73"/>
      <c r="EHS26" s="73"/>
      <c r="EHT26" s="73"/>
      <c r="EHU26" s="73"/>
      <c r="EHV26" s="73"/>
      <c r="EHW26" s="73"/>
      <c r="EHX26" s="73"/>
      <c r="EHY26" s="73"/>
      <c r="EHZ26" s="73"/>
      <c r="EIA26" s="73"/>
      <c r="EIB26" s="73"/>
      <c r="EIC26" s="73"/>
      <c r="EID26" s="73"/>
      <c r="EIE26" s="73"/>
      <c r="EIF26" s="73"/>
      <c r="EIG26" s="73"/>
      <c r="EIH26" s="73"/>
      <c r="EII26" s="73"/>
      <c r="EIJ26" s="73"/>
      <c r="EIK26" s="73"/>
      <c r="EIL26" s="73"/>
      <c r="EIM26" s="73"/>
      <c r="EIN26" s="73"/>
      <c r="EIO26" s="73"/>
      <c r="EIP26" s="73"/>
      <c r="EIQ26" s="73"/>
      <c r="EIR26" s="73"/>
      <c r="EIS26" s="73"/>
      <c r="EIT26" s="73"/>
      <c r="EIU26" s="73"/>
      <c r="EIV26" s="73"/>
      <c r="EIW26" s="73"/>
      <c r="EIX26" s="73"/>
      <c r="EIY26" s="73"/>
      <c r="EIZ26" s="73"/>
      <c r="EJA26" s="73"/>
      <c r="EJB26" s="73"/>
      <c r="EJC26" s="73"/>
      <c r="EJD26" s="73"/>
      <c r="EJE26" s="73"/>
      <c r="EJF26" s="73"/>
      <c r="EJG26" s="73"/>
      <c r="EJH26" s="73"/>
      <c r="EJI26" s="73"/>
      <c r="EJJ26" s="73"/>
      <c r="EJK26" s="73"/>
      <c r="EJL26" s="73"/>
      <c r="EJM26" s="73"/>
      <c r="EJN26" s="73"/>
      <c r="EJO26" s="73"/>
      <c r="EJP26" s="73"/>
      <c r="EJQ26" s="73"/>
      <c r="EJR26" s="73"/>
      <c r="EJS26" s="73"/>
      <c r="EJT26" s="73"/>
      <c r="EJU26" s="73"/>
      <c r="EJV26" s="73"/>
      <c r="EJW26" s="73"/>
      <c r="EJX26" s="73"/>
      <c r="EJY26" s="73"/>
      <c r="EJZ26" s="73"/>
      <c r="EKA26" s="73"/>
      <c r="EKB26" s="73"/>
      <c r="EKC26" s="73"/>
      <c r="EKD26" s="73"/>
      <c r="EKE26" s="73"/>
      <c r="EKF26" s="73"/>
      <c r="EKG26" s="73"/>
      <c r="EKH26" s="73"/>
      <c r="EKI26" s="73"/>
      <c r="EKJ26" s="73"/>
      <c r="EKK26" s="73"/>
      <c r="EKL26" s="73"/>
      <c r="EKM26" s="73"/>
      <c r="EKN26" s="73"/>
      <c r="EKO26" s="73"/>
      <c r="EKP26" s="73"/>
      <c r="EKQ26" s="73"/>
      <c r="EKR26" s="73"/>
      <c r="EKS26" s="73"/>
      <c r="EKT26" s="73"/>
      <c r="EKU26" s="73"/>
      <c r="EKV26" s="73"/>
      <c r="EKW26" s="73"/>
      <c r="EKX26" s="73"/>
      <c r="EKY26" s="73"/>
      <c r="EKZ26" s="73"/>
      <c r="ELA26" s="73"/>
      <c r="ELB26" s="73"/>
      <c r="ELC26" s="73"/>
      <c r="ELD26" s="73"/>
      <c r="ELE26" s="73"/>
      <c r="ELF26" s="73"/>
      <c r="ELG26" s="73"/>
      <c r="ELH26" s="73"/>
      <c r="ELI26" s="73"/>
      <c r="ELJ26" s="73"/>
      <c r="ELK26" s="73"/>
      <c r="ELL26" s="73"/>
      <c r="ELM26" s="73"/>
      <c r="ELN26" s="73"/>
      <c r="ELO26" s="73"/>
      <c r="ELP26" s="73"/>
      <c r="ELQ26" s="73"/>
      <c r="ELR26" s="73"/>
      <c r="ELS26" s="73"/>
      <c r="ELT26" s="73"/>
      <c r="ELU26" s="73"/>
      <c r="ELV26" s="73"/>
      <c r="ELW26" s="73"/>
      <c r="ELX26" s="73"/>
      <c r="ELY26" s="73"/>
      <c r="ELZ26" s="73"/>
      <c r="EMA26" s="73"/>
      <c r="EMB26" s="73"/>
      <c r="EMC26" s="73"/>
      <c r="EMD26" s="73"/>
      <c r="EME26" s="73"/>
      <c r="EMF26" s="73"/>
      <c r="EMG26" s="73"/>
      <c r="EMH26" s="73"/>
      <c r="EMI26" s="73"/>
      <c r="EMJ26" s="73"/>
      <c r="EMK26" s="73"/>
      <c r="EML26" s="73"/>
      <c r="EMM26" s="73"/>
      <c r="EMN26" s="73"/>
      <c r="EMO26" s="73"/>
      <c r="EMP26" s="73"/>
      <c r="EMQ26" s="73"/>
      <c r="EMR26" s="73"/>
      <c r="EMS26" s="73"/>
      <c r="EMT26" s="73"/>
      <c r="EMU26" s="73"/>
      <c r="EMV26" s="73"/>
      <c r="EMW26" s="73"/>
      <c r="EMX26" s="73"/>
      <c r="EMY26" s="73"/>
      <c r="EMZ26" s="73"/>
      <c r="ENA26" s="73"/>
      <c r="ENB26" s="73"/>
      <c r="ENC26" s="73"/>
      <c r="END26" s="73"/>
      <c r="ENE26" s="73"/>
      <c r="ENF26" s="73"/>
      <c r="ENG26" s="73"/>
      <c r="ENH26" s="73"/>
      <c r="ENI26" s="73"/>
      <c r="ENJ26" s="73"/>
      <c r="ENK26" s="73"/>
      <c r="ENL26" s="73"/>
      <c r="ENM26" s="73"/>
      <c r="ENN26" s="73"/>
      <c r="ENO26" s="73"/>
      <c r="ENP26" s="73"/>
      <c r="ENQ26" s="73"/>
      <c r="ENR26" s="73"/>
      <c r="ENS26" s="73"/>
      <c r="ENT26" s="73"/>
      <c r="ENU26" s="73"/>
      <c r="ENV26" s="73"/>
      <c r="ENW26" s="73"/>
      <c r="ENX26" s="73"/>
      <c r="ENY26" s="73"/>
      <c r="ENZ26" s="73"/>
      <c r="EOA26" s="73"/>
      <c r="EOB26" s="73"/>
      <c r="EOC26" s="73"/>
      <c r="EOD26" s="73"/>
      <c r="EOE26" s="73"/>
      <c r="EOF26" s="73"/>
      <c r="EOG26" s="73"/>
      <c r="EOH26" s="73"/>
      <c r="EOI26" s="73"/>
      <c r="EOJ26" s="73"/>
      <c r="EOK26" s="73"/>
      <c r="EOL26" s="73"/>
      <c r="EOM26" s="73"/>
      <c r="EON26" s="73"/>
      <c r="EOO26" s="73"/>
      <c r="EOP26" s="73"/>
      <c r="EOQ26" s="73"/>
      <c r="EOR26" s="73"/>
      <c r="EOS26" s="73"/>
      <c r="EOT26" s="73"/>
      <c r="EOU26" s="73"/>
      <c r="EOV26" s="73"/>
      <c r="EOW26" s="73"/>
      <c r="EOX26" s="73"/>
      <c r="EOY26" s="73"/>
      <c r="EOZ26" s="73"/>
      <c r="EPA26" s="73"/>
      <c r="EPB26" s="73"/>
      <c r="EPC26" s="73"/>
      <c r="EPD26" s="73"/>
      <c r="EPE26" s="73"/>
      <c r="EPF26" s="73"/>
      <c r="EPG26" s="73"/>
      <c r="EPH26" s="73"/>
      <c r="EPI26" s="73"/>
      <c r="EPJ26" s="73"/>
      <c r="EPK26" s="73"/>
      <c r="EPL26" s="73"/>
      <c r="EPM26" s="73"/>
      <c r="EPN26" s="73"/>
      <c r="EPO26" s="73"/>
      <c r="EPP26" s="73"/>
      <c r="EPQ26" s="73"/>
      <c r="EPR26" s="73"/>
      <c r="EPS26" s="73"/>
      <c r="EPT26" s="73"/>
      <c r="EPU26" s="73"/>
      <c r="EPV26" s="73"/>
      <c r="EPW26" s="73"/>
      <c r="EPX26" s="73"/>
      <c r="EPY26" s="73"/>
      <c r="EPZ26" s="73"/>
      <c r="EQA26" s="73"/>
      <c r="EQB26" s="73"/>
      <c r="EQC26" s="73"/>
      <c r="EQD26" s="73"/>
      <c r="EQE26" s="73"/>
      <c r="EQF26" s="73"/>
      <c r="EQG26" s="73"/>
      <c r="EQH26" s="73"/>
      <c r="EQI26" s="73"/>
      <c r="EQJ26" s="73"/>
      <c r="EQK26" s="73"/>
      <c r="EQL26" s="73"/>
      <c r="EQM26" s="73"/>
      <c r="EQN26" s="73"/>
      <c r="EQO26" s="73"/>
      <c r="EQP26" s="73"/>
      <c r="EQQ26" s="73"/>
      <c r="EQR26" s="73"/>
      <c r="EQS26" s="73"/>
      <c r="EQT26" s="73"/>
      <c r="EQU26" s="73"/>
      <c r="EQV26" s="73"/>
      <c r="EQW26" s="73"/>
      <c r="EQX26" s="73"/>
      <c r="EQY26" s="73"/>
      <c r="EQZ26" s="73"/>
      <c r="ERA26" s="73"/>
      <c r="ERB26" s="73"/>
      <c r="ERC26" s="73"/>
      <c r="ERD26" s="73"/>
      <c r="ERE26" s="73"/>
      <c r="ERF26" s="73"/>
      <c r="ERG26" s="73"/>
      <c r="ERH26" s="73"/>
      <c r="ERI26" s="73"/>
      <c r="ERJ26" s="73"/>
      <c r="ERK26" s="73"/>
      <c r="ERL26" s="73"/>
      <c r="ERM26" s="73"/>
      <c r="ERN26" s="73"/>
      <c r="ERO26" s="73"/>
      <c r="ERP26" s="73"/>
      <c r="ERQ26" s="73"/>
      <c r="ERR26" s="73"/>
      <c r="ERS26" s="73"/>
      <c r="ERT26" s="73"/>
      <c r="ERU26" s="73"/>
      <c r="ERV26" s="73"/>
      <c r="ERW26" s="73"/>
      <c r="ERX26" s="73"/>
      <c r="ERY26" s="73"/>
      <c r="ERZ26" s="73"/>
      <c r="ESA26" s="73"/>
      <c r="ESB26" s="73"/>
      <c r="ESC26" s="73"/>
      <c r="ESD26" s="73"/>
      <c r="ESE26" s="73"/>
      <c r="ESF26" s="73"/>
      <c r="ESG26" s="73"/>
      <c r="ESH26" s="73"/>
      <c r="ESI26" s="73"/>
      <c r="ESJ26" s="73"/>
      <c r="ESK26" s="73"/>
      <c r="ESL26" s="73"/>
      <c r="ESM26" s="73"/>
      <c r="ESN26" s="73"/>
      <c r="ESO26" s="73"/>
      <c r="ESP26" s="73"/>
      <c r="ESQ26" s="73"/>
      <c r="ESR26" s="73"/>
      <c r="ESS26" s="73"/>
      <c r="EST26" s="73"/>
      <c r="ESU26" s="73"/>
      <c r="ESV26" s="73"/>
      <c r="ESW26" s="73"/>
      <c r="ESX26" s="73"/>
      <c r="ESY26" s="73"/>
      <c r="ESZ26" s="73"/>
      <c r="ETA26" s="73"/>
      <c r="ETB26" s="73"/>
      <c r="ETC26" s="73"/>
      <c r="ETD26" s="73"/>
      <c r="ETE26" s="73"/>
      <c r="ETF26" s="73"/>
      <c r="ETG26" s="73"/>
      <c r="ETH26" s="73"/>
      <c r="ETI26" s="73"/>
      <c r="ETJ26" s="73"/>
      <c r="ETK26" s="73"/>
      <c r="ETL26" s="73"/>
      <c r="ETM26" s="73"/>
      <c r="ETN26" s="73"/>
      <c r="ETO26" s="73"/>
      <c r="ETP26" s="73"/>
      <c r="ETQ26" s="73"/>
      <c r="ETR26" s="73"/>
      <c r="ETS26" s="73"/>
      <c r="ETT26" s="73"/>
      <c r="ETU26" s="73"/>
      <c r="ETV26" s="73"/>
      <c r="ETW26" s="73"/>
      <c r="ETX26" s="73"/>
      <c r="ETY26" s="73"/>
      <c r="ETZ26" s="73"/>
      <c r="EUA26" s="73"/>
      <c r="EUB26" s="73"/>
      <c r="EUC26" s="73"/>
      <c r="EUD26" s="73"/>
      <c r="EUE26" s="73"/>
      <c r="EUF26" s="73"/>
      <c r="EUG26" s="73"/>
      <c r="EUH26" s="73"/>
      <c r="EUI26" s="73"/>
      <c r="EUJ26" s="73"/>
      <c r="EUK26" s="73"/>
      <c r="EUL26" s="73"/>
      <c r="EUM26" s="73"/>
      <c r="EUN26" s="73"/>
      <c r="EUO26" s="73"/>
      <c r="EUP26" s="73"/>
      <c r="EUQ26" s="73"/>
      <c r="EUR26" s="73"/>
      <c r="EUS26" s="73"/>
      <c r="EUT26" s="73"/>
      <c r="EUU26" s="73"/>
      <c r="EUV26" s="73"/>
      <c r="EUW26" s="73"/>
      <c r="EUX26" s="73"/>
      <c r="EUY26" s="73"/>
      <c r="EUZ26" s="73"/>
      <c r="EVA26" s="73"/>
      <c r="EVB26" s="73"/>
      <c r="EVC26" s="73"/>
      <c r="EVD26" s="73"/>
      <c r="EVE26" s="73"/>
      <c r="EVF26" s="73"/>
      <c r="EVG26" s="73"/>
      <c r="EVH26" s="73"/>
      <c r="EVI26" s="73"/>
      <c r="EVJ26" s="73"/>
      <c r="EVK26" s="73"/>
      <c r="EVL26" s="73"/>
      <c r="EVM26" s="73"/>
      <c r="EVN26" s="73"/>
      <c r="EVO26" s="73"/>
      <c r="EVP26" s="73"/>
      <c r="EVQ26" s="73"/>
      <c r="EVR26" s="73"/>
      <c r="EVS26" s="73"/>
      <c r="EVT26" s="73"/>
      <c r="EVU26" s="73"/>
      <c r="EVV26" s="73"/>
      <c r="EVW26" s="73"/>
      <c r="EVX26" s="73"/>
      <c r="EVY26" s="73"/>
      <c r="EVZ26" s="73"/>
      <c r="EWA26" s="73"/>
      <c r="EWB26" s="73"/>
      <c r="EWC26" s="73"/>
      <c r="EWD26" s="73"/>
      <c r="EWE26" s="73"/>
      <c r="EWF26" s="73"/>
      <c r="EWG26" s="73"/>
      <c r="EWH26" s="73"/>
      <c r="EWI26" s="73"/>
      <c r="EWJ26" s="73"/>
      <c r="EWK26" s="73"/>
      <c r="EWL26" s="73"/>
      <c r="EWM26" s="73"/>
      <c r="EWN26" s="73"/>
      <c r="EWO26" s="73"/>
      <c r="EWP26" s="73"/>
      <c r="EWQ26" s="73"/>
      <c r="EWR26" s="73"/>
      <c r="EWS26" s="73"/>
      <c r="EWT26" s="73"/>
      <c r="EWU26" s="73"/>
      <c r="EWV26" s="73"/>
      <c r="EWW26" s="73"/>
      <c r="EWX26" s="73"/>
      <c r="EWY26" s="73"/>
      <c r="EWZ26" s="73"/>
      <c r="EXA26" s="73"/>
      <c r="EXB26" s="73"/>
      <c r="EXC26" s="73"/>
      <c r="EXD26" s="73"/>
      <c r="EXE26" s="73"/>
      <c r="EXF26" s="73"/>
      <c r="EXG26" s="73"/>
      <c r="EXH26" s="73"/>
      <c r="EXI26" s="73"/>
      <c r="EXJ26" s="73"/>
      <c r="EXK26" s="73"/>
      <c r="EXL26" s="73"/>
      <c r="EXM26" s="73"/>
      <c r="EXN26" s="73"/>
      <c r="EXO26" s="73"/>
      <c r="EXP26" s="73"/>
      <c r="EXQ26" s="73"/>
      <c r="EXR26" s="73"/>
      <c r="EXS26" s="73"/>
      <c r="EXT26" s="73"/>
      <c r="EXU26" s="73"/>
      <c r="EXV26" s="73"/>
      <c r="EXW26" s="73"/>
      <c r="EXX26" s="73"/>
      <c r="EXY26" s="73"/>
      <c r="EXZ26" s="73"/>
      <c r="EYA26" s="73"/>
      <c r="EYB26" s="73"/>
      <c r="EYC26" s="73"/>
      <c r="EYD26" s="73"/>
      <c r="EYE26" s="73"/>
      <c r="EYF26" s="73"/>
      <c r="EYG26" s="73"/>
      <c r="EYH26" s="73"/>
      <c r="EYI26" s="73"/>
      <c r="EYJ26" s="73"/>
      <c r="EYK26" s="73"/>
      <c r="EYL26" s="73"/>
      <c r="EYM26" s="73"/>
      <c r="EYN26" s="73"/>
      <c r="EYO26" s="73"/>
      <c r="EYP26" s="73"/>
      <c r="EYQ26" s="73"/>
      <c r="EYR26" s="73"/>
      <c r="EYS26" s="73"/>
      <c r="EYT26" s="73"/>
      <c r="EYU26" s="73"/>
      <c r="EYV26" s="73"/>
      <c r="EYW26" s="73"/>
      <c r="EYX26" s="73"/>
      <c r="EYY26" s="73"/>
      <c r="EYZ26" s="73"/>
      <c r="EZA26" s="73"/>
      <c r="EZB26" s="73"/>
      <c r="EZC26" s="73"/>
      <c r="EZD26" s="73"/>
      <c r="EZE26" s="73"/>
      <c r="EZF26" s="73"/>
      <c r="EZG26" s="73"/>
      <c r="EZH26" s="73"/>
      <c r="EZI26" s="73"/>
      <c r="EZJ26" s="73"/>
      <c r="EZK26" s="73"/>
      <c r="EZL26" s="73"/>
      <c r="EZM26" s="73"/>
      <c r="EZN26" s="73"/>
      <c r="EZO26" s="73"/>
      <c r="EZP26" s="73"/>
      <c r="EZQ26" s="73"/>
      <c r="EZR26" s="73"/>
      <c r="EZS26" s="73"/>
      <c r="EZT26" s="73"/>
      <c r="EZU26" s="73"/>
      <c r="EZV26" s="73"/>
      <c r="EZW26" s="73"/>
      <c r="EZX26" s="73"/>
      <c r="EZY26" s="73"/>
      <c r="EZZ26" s="73"/>
      <c r="FAA26" s="73"/>
      <c r="FAB26" s="73"/>
      <c r="FAC26" s="73"/>
      <c r="FAD26" s="73"/>
      <c r="FAE26" s="73"/>
      <c r="FAF26" s="73"/>
      <c r="FAG26" s="73"/>
      <c r="FAH26" s="73"/>
      <c r="FAI26" s="73"/>
      <c r="FAJ26" s="73"/>
      <c r="FAK26" s="73"/>
      <c r="FAL26" s="73"/>
      <c r="FAM26" s="73"/>
      <c r="FAN26" s="73"/>
      <c r="FAO26" s="73"/>
      <c r="FAP26" s="73"/>
      <c r="FAQ26" s="73"/>
      <c r="FAR26" s="73"/>
      <c r="FAS26" s="73"/>
      <c r="FAT26" s="73"/>
      <c r="FAU26" s="73"/>
      <c r="FAV26" s="73"/>
      <c r="FAW26" s="73"/>
      <c r="FAX26" s="73"/>
      <c r="FAY26" s="73"/>
      <c r="FAZ26" s="73"/>
      <c r="FBA26" s="73"/>
      <c r="FBB26" s="73"/>
      <c r="FBC26" s="73"/>
      <c r="FBD26" s="73"/>
      <c r="FBE26" s="73"/>
      <c r="FBF26" s="73"/>
      <c r="FBG26" s="73"/>
      <c r="FBH26" s="73"/>
      <c r="FBI26" s="73"/>
      <c r="FBJ26" s="73"/>
      <c r="FBK26" s="73"/>
      <c r="FBL26" s="73"/>
      <c r="FBM26" s="73"/>
      <c r="FBN26" s="73"/>
      <c r="FBO26" s="73"/>
      <c r="FBP26" s="73"/>
      <c r="FBQ26" s="73"/>
      <c r="FBR26" s="73"/>
      <c r="FBS26" s="73"/>
      <c r="FBT26" s="73"/>
      <c r="FBU26" s="73"/>
      <c r="FBV26" s="73"/>
      <c r="FBW26" s="73"/>
      <c r="FBX26" s="73"/>
      <c r="FBY26" s="73"/>
      <c r="FBZ26" s="73"/>
      <c r="FCA26" s="73"/>
      <c r="FCB26" s="73"/>
      <c r="FCC26" s="73"/>
      <c r="FCD26" s="73"/>
      <c r="FCE26" s="73"/>
      <c r="FCF26" s="73"/>
      <c r="FCG26" s="73"/>
      <c r="FCH26" s="73"/>
      <c r="FCI26" s="73"/>
      <c r="FCJ26" s="73"/>
      <c r="FCK26" s="73"/>
      <c r="FCL26" s="73"/>
      <c r="FCM26" s="73"/>
      <c r="FCN26" s="73"/>
      <c r="FCO26" s="73"/>
      <c r="FCP26" s="73"/>
      <c r="FCQ26" s="73"/>
      <c r="FCR26" s="73"/>
      <c r="FCS26" s="73"/>
      <c r="FCT26" s="73"/>
      <c r="FCU26" s="73"/>
      <c r="FCV26" s="73"/>
      <c r="FCW26" s="73"/>
      <c r="FCX26" s="73"/>
      <c r="FCY26" s="73"/>
      <c r="FCZ26" s="73"/>
      <c r="FDA26" s="73"/>
      <c r="FDB26" s="73"/>
      <c r="FDC26" s="73"/>
      <c r="FDD26" s="73"/>
      <c r="FDE26" s="73"/>
      <c r="FDF26" s="73"/>
      <c r="FDG26" s="73"/>
      <c r="FDH26" s="73"/>
      <c r="FDI26" s="73"/>
      <c r="FDJ26" s="73"/>
      <c r="FDK26" s="73"/>
      <c r="FDL26" s="73"/>
      <c r="FDM26" s="73"/>
      <c r="FDN26" s="73"/>
      <c r="FDO26" s="73"/>
      <c r="FDP26" s="73"/>
      <c r="FDQ26" s="73"/>
      <c r="FDR26" s="73"/>
      <c r="FDS26" s="73"/>
      <c r="FDT26" s="73"/>
      <c r="FDU26" s="73"/>
      <c r="FDV26" s="73"/>
      <c r="FDW26" s="73"/>
      <c r="FDX26" s="73"/>
      <c r="FDY26" s="73"/>
      <c r="FDZ26" s="73"/>
      <c r="FEA26" s="73"/>
      <c r="FEB26" s="73"/>
      <c r="FEC26" s="73"/>
      <c r="FED26" s="73"/>
      <c r="FEE26" s="73"/>
      <c r="FEF26" s="73"/>
      <c r="FEG26" s="73"/>
      <c r="FEH26" s="73"/>
      <c r="FEI26" s="73"/>
      <c r="FEJ26" s="73"/>
      <c r="FEK26" s="73"/>
      <c r="FEL26" s="73"/>
      <c r="FEM26" s="73"/>
      <c r="FEN26" s="73"/>
      <c r="FEO26" s="73"/>
      <c r="FEP26" s="73"/>
      <c r="FEQ26" s="73"/>
      <c r="FER26" s="73"/>
      <c r="FES26" s="73"/>
      <c r="FET26" s="73"/>
      <c r="FEU26" s="73"/>
      <c r="FEV26" s="73"/>
      <c r="FEW26" s="73"/>
      <c r="FEX26" s="73"/>
      <c r="FEY26" s="73"/>
      <c r="FEZ26" s="73"/>
      <c r="FFA26" s="73"/>
      <c r="FFB26" s="73"/>
      <c r="FFC26" s="73"/>
      <c r="FFD26" s="73"/>
      <c r="FFE26" s="73"/>
      <c r="FFF26" s="73"/>
      <c r="FFG26" s="73"/>
      <c r="FFH26" s="73"/>
      <c r="FFI26" s="73"/>
      <c r="FFJ26" s="73"/>
      <c r="FFK26" s="73"/>
      <c r="FFL26" s="73"/>
      <c r="FFM26" s="73"/>
      <c r="FFN26" s="73"/>
      <c r="FFO26" s="73"/>
      <c r="FFP26" s="73"/>
      <c r="FFQ26" s="73"/>
      <c r="FFR26" s="73"/>
      <c r="FFS26" s="73"/>
      <c r="FFT26" s="73"/>
      <c r="FFU26" s="73"/>
      <c r="FFV26" s="73"/>
      <c r="FFW26" s="73"/>
      <c r="FFX26" s="73"/>
      <c r="FFY26" s="73"/>
      <c r="FFZ26" s="73"/>
      <c r="FGA26" s="73"/>
      <c r="FGB26" s="73"/>
      <c r="FGC26" s="73"/>
      <c r="FGD26" s="73"/>
      <c r="FGE26" s="73"/>
      <c r="FGF26" s="73"/>
      <c r="FGG26" s="73"/>
      <c r="FGH26" s="73"/>
      <c r="FGI26" s="73"/>
      <c r="FGJ26" s="73"/>
      <c r="FGK26" s="73"/>
      <c r="FGL26" s="73"/>
      <c r="FGM26" s="73"/>
      <c r="FGN26" s="73"/>
      <c r="FGO26" s="73"/>
      <c r="FGP26" s="73"/>
      <c r="FGQ26" s="73"/>
      <c r="FGR26" s="73"/>
      <c r="FGS26" s="73"/>
      <c r="FGT26" s="73"/>
      <c r="FGU26" s="73"/>
      <c r="FGV26" s="73"/>
      <c r="FGW26" s="73"/>
      <c r="FGX26" s="73"/>
      <c r="FGY26" s="73"/>
      <c r="FGZ26" s="73"/>
      <c r="FHA26" s="73"/>
      <c r="FHB26" s="73"/>
      <c r="FHC26" s="73"/>
      <c r="FHD26" s="73"/>
      <c r="FHE26" s="73"/>
      <c r="FHF26" s="73"/>
      <c r="FHG26" s="73"/>
      <c r="FHH26" s="73"/>
      <c r="FHI26" s="73"/>
      <c r="FHJ26" s="73"/>
      <c r="FHK26" s="73"/>
      <c r="FHL26" s="73"/>
      <c r="FHM26" s="73"/>
      <c r="FHN26" s="73"/>
      <c r="FHO26" s="73"/>
      <c r="FHP26" s="73"/>
      <c r="FHQ26" s="73"/>
      <c r="FHR26" s="73"/>
      <c r="FHS26" s="73"/>
      <c r="FHT26" s="73"/>
      <c r="FHU26" s="73"/>
      <c r="FHV26" s="73"/>
      <c r="FHW26" s="73"/>
      <c r="FHX26" s="73"/>
      <c r="FHY26" s="73"/>
      <c r="FHZ26" s="73"/>
      <c r="FIA26" s="73"/>
      <c r="FIB26" s="73"/>
      <c r="FIC26" s="73"/>
      <c r="FID26" s="73"/>
      <c r="FIE26" s="73"/>
      <c r="FIF26" s="73"/>
      <c r="FIG26" s="73"/>
      <c r="FIH26" s="73"/>
      <c r="FII26" s="73"/>
      <c r="FIJ26" s="73"/>
      <c r="FIK26" s="73"/>
      <c r="FIL26" s="73"/>
      <c r="FIM26" s="73"/>
      <c r="FIN26" s="73"/>
      <c r="FIO26" s="73"/>
      <c r="FIP26" s="73"/>
      <c r="FIQ26" s="73"/>
      <c r="FIR26" s="73"/>
      <c r="FIS26" s="73"/>
      <c r="FIT26" s="73"/>
      <c r="FIU26" s="73"/>
      <c r="FIV26" s="73"/>
      <c r="FIW26" s="73"/>
      <c r="FIX26" s="73"/>
      <c r="FIY26" s="73"/>
      <c r="FIZ26" s="73"/>
      <c r="FJA26" s="73"/>
      <c r="FJB26" s="73"/>
      <c r="FJC26" s="73"/>
      <c r="FJD26" s="73"/>
      <c r="FJE26" s="73"/>
      <c r="FJF26" s="73"/>
      <c r="FJG26" s="73"/>
      <c r="FJH26" s="73"/>
      <c r="FJI26" s="73"/>
      <c r="FJJ26" s="73"/>
      <c r="FJK26" s="73"/>
      <c r="FJL26" s="73"/>
      <c r="FJM26" s="73"/>
      <c r="FJN26" s="73"/>
      <c r="FJO26" s="73"/>
      <c r="FJP26" s="73"/>
      <c r="FJQ26" s="73"/>
      <c r="FJR26" s="73"/>
      <c r="FJS26" s="73"/>
      <c r="FJT26" s="73"/>
      <c r="FJU26" s="73"/>
      <c r="FJV26" s="73"/>
      <c r="FJW26" s="73"/>
      <c r="FJX26" s="73"/>
      <c r="FJY26" s="73"/>
      <c r="FJZ26" s="73"/>
      <c r="FKA26" s="73"/>
      <c r="FKB26" s="73"/>
      <c r="FKC26" s="73"/>
      <c r="FKD26" s="73"/>
      <c r="FKE26" s="73"/>
      <c r="FKF26" s="73"/>
      <c r="FKG26" s="73"/>
      <c r="FKH26" s="73"/>
      <c r="FKI26" s="73"/>
      <c r="FKJ26" s="73"/>
      <c r="FKK26" s="73"/>
      <c r="FKL26" s="73"/>
      <c r="FKM26" s="73"/>
      <c r="FKN26" s="73"/>
      <c r="FKO26" s="73"/>
      <c r="FKP26" s="73"/>
      <c r="FKQ26" s="73"/>
      <c r="FKR26" s="73"/>
      <c r="FKS26" s="73"/>
      <c r="FKT26" s="73"/>
      <c r="FKU26" s="73"/>
      <c r="FKV26" s="73"/>
      <c r="FKW26" s="73"/>
      <c r="FKX26" s="73"/>
      <c r="FKY26" s="73"/>
      <c r="FKZ26" s="73"/>
      <c r="FLA26" s="73"/>
      <c r="FLB26" s="73"/>
      <c r="FLC26" s="73"/>
      <c r="FLD26" s="73"/>
      <c r="FLE26" s="73"/>
      <c r="FLF26" s="73"/>
      <c r="FLG26" s="73"/>
      <c r="FLH26" s="73"/>
      <c r="FLI26" s="73"/>
      <c r="FLJ26" s="73"/>
      <c r="FLK26" s="73"/>
      <c r="FLL26" s="73"/>
      <c r="FLM26" s="73"/>
      <c r="FLN26" s="73"/>
      <c r="FLO26" s="73"/>
      <c r="FLP26" s="73"/>
      <c r="FLQ26" s="73"/>
      <c r="FLR26" s="73"/>
      <c r="FLS26" s="73"/>
      <c r="FLT26" s="73"/>
      <c r="FLU26" s="73"/>
      <c r="FLV26" s="73"/>
      <c r="FLW26" s="73"/>
      <c r="FLX26" s="73"/>
      <c r="FLY26" s="73"/>
      <c r="FLZ26" s="73"/>
      <c r="FMA26" s="73"/>
      <c r="FMB26" s="73"/>
      <c r="FMC26" s="73"/>
      <c r="FMD26" s="73"/>
      <c r="FME26" s="73"/>
      <c r="FMF26" s="73"/>
      <c r="FMG26" s="73"/>
      <c r="FMH26" s="73"/>
      <c r="FMI26" s="73"/>
      <c r="FMJ26" s="73"/>
      <c r="FMK26" s="73"/>
      <c r="FML26" s="73"/>
      <c r="FMM26" s="73"/>
      <c r="FMN26" s="73"/>
      <c r="FMO26" s="73"/>
      <c r="FMP26" s="73"/>
      <c r="FMQ26" s="73"/>
      <c r="FMR26" s="73"/>
      <c r="FMS26" s="73"/>
      <c r="FMT26" s="73"/>
      <c r="FMU26" s="73"/>
      <c r="FMV26" s="73"/>
      <c r="FMW26" s="73"/>
      <c r="FMX26" s="73"/>
      <c r="FMY26" s="73"/>
      <c r="FMZ26" s="73"/>
      <c r="FNA26" s="73"/>
      <c r="FNB26" s="73"/>
      <c r="FNC26" s="73"/>
      <c r="FND26" s="73"/>
      <c r="FNE26" s="73"/>
      <c r="FNF26" s="73"/>
      <c r="FNG26" s="73"/>
      <c r="FNH26" s="73"/>
      <c r="FNI26" s="73"/>
      <c r="FNJ26" s="73"/>
      <c r="FNK26" s="73"/>
      <c r="FNL26" s="73"/>
      <c r="FNM26" s="73"/>
      <c r="FNN26" s="73"/>
      <c r="FNO26" s="73"/>
      <c r="FNP26" s="73"/>
      <c r="FNQ26" s="73"/>
      <c r="FNR26" s="73"/>
      <c r="FNS26" s="73"/>
      <c r="FNT26" s="73"/>
      <c r="FNU26" s="73"/>
      <c r="FNV26" s="73"/>
      <c r="FNW26" s="73"/>
      <c r="FNX26" s="73"/>
      <c r="FNY26" s="73"/>
      <c r="FNZ26" s="73"/>
      <c r="FOA26" s="73"/>
      <c r="FOB26" s="73"/>
      <c r="FOC26" s="73"/>
      <c r="FOD26" s="73"/>
      <c r="FOE26" s="73"/>
      <c r="FOF26" s="73"/>
      <c r="FOG26" s="73"/>
      <c r="FOH26" s="73"/>
      <c r="FOI26" s="73"/>
      <c r="FOJ26" s="73"/>
      <c r="FOK26" s="73"/>
      <c r="FOL26" s="73"/>
      <c r="FOM26" s="73"/>
      <c r="FON26" s="73"/>
      <c r="FOO26" s="73"/>
      <c r="FOP26" s="73"/>
      <c r="FOQ26" s="73"/>
      <c r="FOR26" s="73"/>
      <c r="FOS26" s="73"/>
      <c r="FOT26" s="73"/>
      <c r="FOU26" s="73"/>
      <c r="FOV26" s="73"/>
      <c r="FOW26" s="73"/>
      <c r="FOX26" s="73"/>
      <c r="FOY26" s="73"/>
      <c r="FOZ26" s="73"/>
      <c r="FPA26" s="73"/>
      <c r="FPB26" s="73"/>
      <c r="FPC26" s="73"/>
      <c r="FPD26" s="73"/>
      <c r="FPE26" s="73"/>
      <c r="FPF26" s="73"/>
      <c r="FPG26" s="73"/>
      <c r="FPH26" s="73"/>
      <c r="FPI26" s="73"/>
      <c r="FPJ26" s="73"/>
      <c r="FPK26" s="73"/>
      <c r="FPL26" s="73"/>
      <c r="FPM26" s="73"/>
      <c r="FPN26" s="73"/>
      <c r="FPO26" s="73"/>
      <c r="FPP26" s="73"/>
      <c r="FPQ26" s="73"/>
      <c r="FPR26" s="73"/>
      <c r="FPS26" s="73"/>
      <c r="FPT26" s="73"/>
      <c r="FPU26" s="73"/>
      <c r="FPV26" s="73"/>
      <c r="FPW26" s="73"/>
      <c r="FPX26" s="73"/>
      <c r="FPY26" s="73"/>
      <c r="FPZ26" s="73"/>
      <c r="FQA26" s="73"/>
      <c r="FQB26" s="73"/>
      <c r="FQC26" s="73"/>
      <c r="FQD26" s="73"/>
      <c r="FQE26" s="73"/>
      <c r="FQF26" s="73"/>
      <c r="FQG26" s="73"/>
      <c r="FQH26" s="73"/>
      <c r="FQI26" s="73"/>
      <c r="FQJ26" s="73"/>
      <c r="FQK26" s="73"/>
      <c r="FQL26" s="73"/>
      <c r="FQM26" s="73"/>
      <c r="FQN26" s="73"/>
      <c r="FQO26" s="73"/>
      <c r="FQP26" s="73"/>
      <c r="FQQ26" s="73"/>
      <c r="FQR26" s="73"/>
      <c r="FQS26" s="73"/>
      <c r="FQT26" s="73"/>
      <c r="FQU26" s="73"/>
      <c r="FQV26" s="73"/>
      <c r="FQW26" s="73"/>
      <c r="FQX26" s="73"/>
      <c r="FQY26" s="73"/>
      <c r="FQZ26" s="73"/>
      <c r="FRA26" s="73"/>
      <c r="FRB26" s="73"/>
      <c r="FRC26" s="73"/>
      <c r="FRD26" s="73"/>
      <c r="FRE26" s="73"/>
      <c r="FRF26" s="73"/>
      <c r="FRG26" s="73"/>
      <c r="FRH26" s="73"/>
      <c r="FRI26" s="73"/>
      <c r="FRJ26" s="73"/>
      <c r="FRK26" s="73"/>
      <c r="FRL26" s="73"/>
      <c r="FRM26" s="73"/>
      <c r="FRN26" s="73"/>
      <c r="FRO26" s="73"/>
      <c r="FRP26" s="73"/>
      <c r="FRQ26" s="73"/>
      <c r="FRR26" s="73"/>
      <c r="FRS26" s="73"/>
      <c r="FRT26" s="73"/>
      <c r="FRU26" s="73"/>
      <c r="FRV26" s="73"/>
      <c r="FRW26" s="73"/>
      <c r="FRX26" s="73"/>
      <c r="FRY26" s="73"/>
      <c r="FRZ26" s="73"/>
      <c r="FSA26" s="73"/>
      <c r="FSB26" s="73"/>
      <c r="FSC26" s="73"/>
      <c r="FSD26" s="73"/>
      <c r="FSE26" s="73"/>
      <c r="FSF26" s="73"/>
      <c r="FSG26" s="73"/>
      <c r="FSH26" s="73"/>
      <c r="FSI26" s="73"/>
      <c r="FSJ26" s="73"/>
      <c r="FSK26" s="73"/>
      <c r="FSL26" s="73"/>
      <c r="FSM26" s="73"/>
      <c r="FSN26" s="73"/>
      <c r="FSO26" s="73"/>
      <c r="FSP26" s="73"/>
      <c r="FSQ26" s="73"/>
      <c r="FSR26" s="73"/>
      <c r="FSS26" s="73"/>
      <c r="FST26" s="73"/>
      <c r="FSU26" s="73"/>
      <c r="FSV26" s="73"/>
      <c r="FSW26" s="73"/>
      <c r="FSX26" s="73"/>
      <c r="FSY26" s="73"/>
      <c r="FSZ26" s="73"/>
      <c r="FTA26" s="73"/>
      <c r="FTB26" s="73"/>
      <c r="FTC26" s="73"/>
      <c r="FTD26" s="73"/>
      <c r="FTE26" s="73"/>
      <c r="FTF26" s="73"/>
      <c r="FTG26" s="73"/>
      <c r="FTH26" s="73"/>
      <c r="FTI26" s="73"/>
      <c r="FTJ26" s="73"/>
      <c r="FTK26" s="73"/>
      <c r="FTL26" s="73"/>
      <c r="FTM26" s="73"/>
      <c r="FTN26" s="73"/>
      <c r="FTO26" s="73"/>
      <c r="FTP26" s="73"/>
      <c r="FTQ26" s="73"/>
      <c r="FTR26" s="73"/>
      <c r="FTS26" s="73"/>
      <c r="FTT26" s="73"/>
      <c r="FTU26" s="73"/>
      <c r="FTV26" s="73"/>
      <c r="FTW26" s="73"/>
      <c r="FTX26" s="73"/>
      <c r="FTY26" s="73"/>
      <c r="FTZ26" s="73"/>
      <c r="FUA26" s="73"/>
      <c r="FUB26" s="73"/>
      <c r="FUC26" s="73"/>
      <c r="FUD26" s="73"/>
      <c r="FUE26" s="73"/>
      <c r="FUF26" s="73"/>
      <c r="FUG26" s="73"/>
      <c r="FUH26" s="73"/>
      <c r="FUI26" s="73"/>
      <c r="FUJ26" s="73"/>
      <c r="FUK26" s="73"/>
      <c r="FUL26" s="73"/>
      <c r="FUM26" s="73"/>
      <c r="FUN26" s="73"/>
      <c r="FUO26" s="73"/>
      <c r="FUP26" s="73"/>
      <c r="FUQ26" s="73"/>
      <c r="FUR26" s="73"/>
      <c r="FUS26" s="73"/>
      <c r="FUT26" s="73"/>
      <c r="FUU26" s="73"/>
      <c r="FUV26" s="73"/>
      <c r="FUW26" s="73"/>
      <c r="FUX26" s="73"/>
      <c r="FUY26" s="73"/>
      <c r="FUZ26" s="73"/>
      <c r="FVA26" s="73"/>
      <c r="FVB26" s="73"/>
      <c r="FVC26" s="73"/>
      <c r="FVD26" s="73"/>
      <c r="FVE26" s="73"/>
      <c r="FVF26" s="73"/>
      <c r="FVG26" s="73"/>
      <c r="FVH26" s="73"/>
      <c r="FVI26" s="73"/>
      <c r="FVJ26" s="73"/>
      <c r="FVK26" s="73"/>
      <c r="FVL26" s="73"/>
      <c r="FVM26" s="73"/>
      <c r="FVN26" s="73"/>
      <c r="FVO26" s="73"/>
      <c r="FVP26" s="73"/>
      <c r="FVQ26" s="73"/>
      <c r="FVR26" s="73"/>
      <c r="FVS26" s="73"/>
      <c r="FVT26" s="73"/>
      <c r="FVU26" s="73"/>
      <c r="FVV26" s="73"/>
      <c r="FVW26" s="73"/>
      <c r="FVX26" s="73"/>
      <c r="FVY26" s="73"/>
      <c r="FVZ26" s="73"/>
      <c r="FWA26" s="73"/>
      <c r="FWB26" s="73"/>
      <c r="FWC26" s="73"/>
      <c r="FWD26" s="73"/>
      <c r="FWE26" s="73"/>
      <c r="FWF26" s="73"/>
      <c r="FWG26" s="73"/>
      <c r="FWH26" s="73"/>
      <c r="FWI26" s="73"/>
      <c r="FWJ26" s="73"/>
      <c r="FWK26" s="73"/>
      <c r="FWL26" s="73"/>
      <c r="FWM26" s="73"/>
      <c r="FWN26" s="73"/>
      <c r="FWO26" s="73"/>
      <c r="FWP26" s="73"/>
      <c r="FWQ26" s="73"/>
      <c r="FWR26" s="73"/>
      <c r="FWS26" s="73"/>
      <c r="FWT26" s="73"/>
      <c r="FWU26" s="73"/>
      <c r="FWV26" s="73"/>
      <c r="FWW26" s="73"/>
      <c r="FWX26" s="73"/>
      <c r="FWY26" s="73"/>
      <c r="FWZ26" s="73"/>
      <c r="FXA26" s="73"/>
      <c r="FXB26" s="73"/>
      <c r="FXC26" s="73"/>
      <c r="FXD26" s="73"/>
      <c r="FXE26" s="73"/>
      <c r="FXF26" s="73"/>
      <c r="FXG26" s="73"/>
      <c r="FXH26" s="73"/>
      <c r="FXI26" s="73"/>
      <c r="FXJ26" s="73"/>
      <c r="FXK26" s="73"/>
      <c r="FXL26" s="73"/>
      <c r="FXM26" s="73"/>
      <c r="FXN26" s="73"/>
      <c r="FXO26" s="73"/>
      <c r="FXP26" s="73"/>
      <c r="FXQ26" s="73"/>
      <c r="FXR26" s="73"/>
      <c r="FXS26" s="73"/>
      <c r="FXT26" s="73"/>
      <c r="FXU26" s="73"/>
      <c r="FXV26" s="73"/>
      <c r="FXW26" s="73"/>
      <c r="FXX26" s="73"/>
      <c r="FXY26" s="73"/>
      <c r="FXZ26" s="73"/>
      <c r="FYA26" s="73"/>
      <c r="FYB26" s="73"/>
      <c r="FYC26" s="73"/>
      <c r="FYD26" s="73"/>
      <c r="FYE26" s="73"/>
      <c r="FYF26" s="73"/>
      <c r="FYG26" s="73"/>
      <c r="FYH26" s="73"/>
      <c r="FYI26" s="73"/>
      <c r="FYJ26" s="73"/>
      <c r="FYK26" s="73"/>
      <c r="FYL26" s="73"/>
      <c r="FYM26" s="73"/>
      <c r="FYN26" s="73"/>
      <c r="FYO26" s="73"/>
      <c r="FYP26" s="73"/>
      <c r="FYQ26" s="73"/>
      <c r="FYR26" s="73"/>
      <c r="FYS26" s="73"/>
      <c r="FYT26" s="73"/>
      <c r="FYU26" s="73"/>
      <c r="FYV26" s="73"/>
      <c r="FYW26" s="73"/>
      <c r="FYX26" s="73"/>
      <c r="FYY26" s="73"/>
      <c r="FYZ26" s="73"/>
      <c r="FZA26" s="73"/>
      <c r="FZB26" s="73"/>
      <c r="FZC26" s="73"/>
      <c r="FZD26" s="73"/>
      <c r="FZE26" s="73"/>
      <c r="FZF26" s="73"/>
      <c r="FZG26" s="73"/>
      <c r="FZH26" s="73"/>
      <c r="FZI26" s="73"/>
      <c r="FZJ26" s="73"/>
      <c r="FZK26" s="73"/>
      <c r="FZL26" s="73"/>
      <c r="FZM26" s="73"/>
      <c r="FZN26" s="73"/>
      <c r="FZO26" s="73"/>
      <c r="FZP26" s="73"/>
      <c r="FZQ26" s="73"/>
      <c r="FZR26" s="73"/>
      <c r="FZS26" s="73"/>
      <c r="FZT26" s="73"/>
      <c r="FZU26" s="73"/>
      <c r="FZV26" s="73"/>
      <c r="FZW26" s="73"/>
      <c r="FZX26" s="73"/>
      <c r="FZY26" s="73"/>
      <c r="FZZ26" s="73"/>
      <c r="GAA26" s="73"/>
      <c r="GAB26" s="73"/>
      <c r="GAC26" s="73"/>
      <c r="GAD26" s="73"/>
      <c r="GAE26" s="73"/>
      <c r="GAF26" s="73"/>
      <c r="GAG26" s="73"/>
      <c r="GAH26" s="73"/>
      <c r="GAI26" s="73"/>
      <c r="GAJ26" s="73"/>
      <c r="GAK26" s="73"/>
      <c r="GAL26" s="73"/>
      <c r="GAM26" s="73"/>
      <c r="GAN26" s="73"/>
      <c r="GAO26" s="73"/>
      <c r="GAP26" s="73"/>
      <c r="GAQ26" s="73"/>
      <c r="GAR26" s="73"/>
      <c r="GAS26" s="73"/>
      <c r="GAT26" s="73"/>
      <c r="GAU26" s="73"/>
      <c r="GAV26" s="73"/>
      <c r="GAW26" s="73"/>
      <c r="GAX26" s="73"/>
      <c r="GAY26" s="73"/>
      <c r="GAZ26" s="73"/>
      <c r="GBA26" s="73"/>
      <c r="GBB26" s="73"/>
      <c r="GBC26" s="73"/>
      <c r="GBD26" s="73"/>
      <c r="GBE26" s="73"/>
      <c r="GBF26" s="73"/>
      <c r="GBG26" s="73"/>
      <c r="GBH26" s="73"/>
      <c r="GBI26" s="73"/>
      <c r="GBJ26" s="73"/>
      <c r="GBK26" s="73"/>
      <c r="GBL26" s="73"/>
      <c r="GBM26" s="73"/>
      <c r="GBN26" s="73"/>
      <c r="GBO26" s="73"/>
      <c r="GBP26" s="73"/>
      <c r="GBQ26" s="73"/>
      <c r="GBR26" s="73"/>
      <c r="GBS26" s="73"/>
      <c r="GBT26" s="73"/>
      <c r="GBU26" s="73"/>
      <c r="GBV26" s="73"/>
      <c r="GBW26" s="73"/>
      <c r="GBX26" s="73"/>
      <c r="GBY26" s="73"/>
      <c r="GBZ26" s="73"/>
      <c r="GCA26" s="73"/>
      <c r="GCB26" s="73"/>
      <c r="GCC26" s="73"/>
      <c r="GCD26" s="73"/>
      <c r="GCE26" s="73"/>
      <c r="GCF26" s="73"/>
      <c r="GCG26" s="73"/>
      <c r="GCH26" s="73"/>
      <c r="GCI26" s="73"/>
      <c r="GCJ26" s="73"/>
      <c r="GCK26" s="73"/>
      <c r="GCL26" s="73"/>
      <c r="GCM26" s="73"/>
      <c r="GCN26" s="73"/>
      <c r="GCO26" s="73"/>
      <c r="GCP26" s="73"/>
      <c r="GCQ26" s="73"/>
      <c r="GCR26" s="73"/>
      <c r="GCS26" s="73"/>
      <c r="GCT26" s="73"/>
      <c r="GCU26" s="73"/>
      <c r="GCV26" s="73"/>
      <c r="GCW26" s="73"/>
      <c r="GCX26" s="73"/>
      <c r="GCY26" s="73"/>
      <c r="GCZ26" s="73"/>
      <c r="GDA26" s="73"/>
      <c r="GDB26" s="73"/>
      <c r="GDC26" s="73"/>
      <c r="GDD26" s="73"/>
      <c r="GDE26" s="73"/>
      <c r="GDF26" s="73"/>
      <c r="GDG26" s="73"/>
      <c r="GDH26" s="73"/>
      <c r="GDI26" s="73"/>
      <c r="GDJ26" s="73"/>
      <c r="GDK26" s="73"/>
      <c r="GDL26" s="73"/>
      <c r="GDM26" s="73"/>
      <c r="GDN26" s="73"/>
      <c r="GDO26" s="73"/>
      <c r="GDP26" s="73"/>
      <c r="GDQ26" s="73"/>
      <c r="GDR26" s="73"/>
      <c r="GDS26" s="73"/>
      <c r="GDT26" s="73"/>
      <c r="GDU26" s="73"/>
      <c r="GDV26" s="73"/>
      <c r="GDW26" s="73"/>
      <c r="GDX26" s="73"/>
      <c r="GDY26" s="73"/>
      <c r="GDZ26" s="73"/>
      <c r="GEA26" s="73"/>
      <c r="GEB26" s="73"/>
      <c r="GEC26" s="73"/>
      <c r="GED26" s="73"/>
      <c r="GEE26" s="73"/>
      <c r="GEF26" s="73"/>
      <c r="GEG26" s="73"/>
      <c r="GEH26" s="73"/>
      <c r="GEI26" s="73"/>
      <c r="GEJ26" s="73"/>
      <c r="GEK26" s="73"/>
      <c r="GEL26" s="73"/>
      <c r="GEM26" s="73"/>
      <c r="GEN26" s="73"/>
      <c r="GEO26" s="73"/>
      <c r="GEP26" s="73"/>
      <c r="GEQ26" s="73"/>
      <c r="GER26" s="73"/>
      <c r="GES26" s="73"/>
      <c r="GET26" s="73"/>
      <c r="GEU26" s="73"/>
      <c r="GEV26" s="73"/>
      <c r="GEW26" s="73"/>
      <c r="GEX26" s="73"/>
      <c r="GEY26" s="73"/>
      <c r="GEZ26" s="73"/>
      <c r="GFA26" s="73"/>
      <c r="GFB26" s="73"/>
      <c r="GFC26" s="73"/>
      <c r="GFD26" s="73"/>
      <c r="GFE26" s="73"/>
      <c r="GFF26" s="73"/>
      <c r="GFG26" s="73"/>
      <c r="GFH26" s="73"/>
      <c r="GFI26" s="73"/>
      <c r="GFJ26" s="73"/>
      <c r="GFK26" s="73"/>
      <c r="GFL26" s="73"/>
      <c r="GFM26" s="73"/>
      <c r="GFN26" s="73"/>
      <c r="GFO26" s="73"/>
      <c r="GFP26" s="73"/>
      <c r="GFQ26" s="73"/>
      <c r="GFR26" s="73"/>
      <c r="GFS26" s="73"/>
      <c r="GFT26" s="73"/>
      <c r="GFU26" s="73"/>
      <c r="GFV26" s="73"/>
      <c r="GFW26" s="73"/>
      <c r="GFX26" s="73"/>
      <c r="GFY26" s="73"/>
      <c r="GFZ26" s="73"/>
      <c r="GGA26" s="73"/>
      <c r="GGB26" s="73"/>
      <c r="GGC26" s="73"/>
      <c r="GGD26" s="73"/>
      <c r="GGE26" s="73"/>
      <c r="GGF26" s="73"/>
      <c r="GGG26" s="73"/>
      <c r="GGH26" s="73"/>
      <c r="GGI26" s="73"/>
      <c r="GGJ26" s="73"/>
      <c r="GGK26" s="73"/>
      <c r="GGL26" s="73"/>
      <c r="GGM26" s="73"/>
      <c r="GGN26" s="73"/>
      <c r="GGO26" s="73"/>
      <c r="GGP26" s="73"/>
      <c r="GGQ26" s="73"/>
      <c r="GGR26" s="73"/>
      <c r="GGS26" s="73"/>
      <c r="GGT26" s="73"/>
      <c r="GGU26" s="73"/>
      <c r="GGV26" s="73"/>
      <c r="GGW26" s="73"/>
      <c r="GGX26" s="73"/>
      <c r="GGY26" s="73"/>
      <c r="GGZ26" s="73"/>
      <c r="GHA26" s="73"/>
      <c r="GHB26" s="73"/>
      <c r="GHC26" s="73"/>
      <c r="GHD26" s="73"/>
      <c r="GHE26" s="73"/>
      <c r="GHF26" s="73"/>
      <c r="GHG26" s="73"/>
      <c r="GHH26" s="73"/>
      <c r="GHI26" s="73"/>
      <c r="GHJ26" s="73"/>
      <c r="GHK26" s="73"/>
      <c r="GHL26" s="73"/>
      <c r="GHM26" s="73"/>
      <c r="GHN26" s="73"/>
      <c r="GHO26" s="73"/>
      <c r="GHP26" s="73"/>
      <c r="GHQ26" s="73"/>
      <c r="GHR26" s="73"/>
      <c r="GHS26" s="73"/>
      <c r="GHT26" s="73"/>
      <c r="GHU26" s="73"/>
      <c r="GHV26" s="73"/>
      <c r="GHW26" s="73"/>
      <c r="GHX26" s="73"/>
      <c r="GHY26" s="73"/>
      <c r="GHZ26" s="73"/>
      <c r="GIA26" s="73"/>
      <c r="GIB26" s="73"/>
      <c r="GIC26" s="73"/>
      <c r="GID26" s="73"/>
      <c r="GIE26" s="73"/>
      <c r="GIF26" s="73"/>
      <c r="GIG26" s="73"/>
      <c r="GIH26" s="73"/>
      <c r="GII26" s="73"/>
      <c r="GIJ26" s="73"/>
      <c r="GIK26" s="73"/>
      <c r="GIL26" s="73"/>
      <c r="GIM26" s="73"/>
      <c r="GIN26" s="73"/>
      <c r="GIO26" s="73"/>
      <c r="GIP26" s="73"/>
      <c r="GIQ26" s="73"/>
      <c r="GIR26" s="73"/>
      <c r="GIS26" s="73"/>
      <c r="GIT26" s="73"/>
      <c r="GIU26" s="73"/>
      <c r="GIV26" s="73"/>
      <c r="GIW26" s="73"/>
      <c r="GIX26" s="73"/>
      <c r="GIY26" s="73"/>
      <c r="GIZ26" s="73"/>
      <c r="GJA26" s="73"/>
      <c r="GJB26" s="73"/>
      <c r="GJC26" s="73"/>
      <c r="GJD26" s="73"/>
      <c r="GJE26" s="73"/>
      <c r="GJF26" s="73"/>
      <c r="GJG26" s="73"/>
      <c r="GJH26" s="73"/>
      <c r="GJI26" s="73"/>
      <c r="GJJ26" s="73"/>
      <c r="GJK26" s="73"/>
      <c r="GJL26" s="73"/>
      <c r="GJM26" s="73"/>
      <c r="GJN26" s="73"/>
      <c r="GJO26" s="73"/>
      <c r="GJP26" s="73"/>
      <c r="GJQ26" s="73"/>
      <c r="GJR26" s="73"/>
      <c r="GJS26" s="73"/>
      <c r="GJT26" s="73"/>
      <c r="GJU26" s="73"/>
      <c r="GJV26" s="73"/>
      <c r="GJW26" s="73"/>
      <c r="GJX26" s="73"/>
      <c r="GJY26" s="73"/>
      <c r="GJZ26" s="73"/>
      <c r="GKA26" s="73"/>
      <c r="GKB26" s="73"/>
      <c r="GKC26" s="73"/>
      <c r="GKD26" s="73"/>
      <c r="GKE26" s="73"/>
      <c r="GKF26" s="73"/>
      <c r="GKG26" s="73"/>
      <c r="GKH26" s="73"/>
      <c r="GKI26" s="73"/>
      <c r="GKJ26" s="73"/>
      <c r="GKK26" s="73"/>
      <c r="GKL26" s="73"/>
      <c r="GKM26" s="73"/>
      <c r="GKN26" s="73"/>
      <c r="GKO26" s="73"/>
      <c r="GKP26" s="73"/>
      <c r="GKQ26" s="73"/>
      <c r="GKR26" s="73"/>
      <c r="GKS26" s="73"/>
      <c r="GKT26" s="73"/>
      <c r="GKU26" s="73"/>
      <c r="GKV26" s="73"/>
      <c r="GKW26" s="73"/>
      <c r="GKX26" s="73"/>
      <c r="GKY26" s="73"/>
      <c r="GKZ26" s="73"/>
      <c r="GLA26" s="73"/>
      <c r="GLB26" s="73"/>
      <c r="GLC26" s="73"/>
      <c r="GLD26" s="73"/>
      <c r="GLE26" s="73"/>
      <c r="GLF26" s="73"/>
      <c r="GLG26" s="73"/>
      <c r="GLH26" s="73"/>
      <c r="GLI26" s="73"/>
      <c r="GLJ26" s="73"/>
      <c r="GLK26" s="73"/>
      <c r="GLL26" s="73"/>
      <c r="GLM26" s="73"/>
      <c r="GLN26" s="73"/>
      <c r="GLO26" s="73"/>
      <c r="GLP26" s="73"/>
      <c r="GLQ26" s="73"/>
      <c r="GLR26" s="73"/>
      <c r="GLS26" s="73"/>
      <c r="GLT26" s="73"/>
      <c r="GLU26" s="73"/>
      <c r="GLV26" s="73"/>
      <c r="GLW26" s="73"/>
      <c r="GLX26" s="73"/>
      <c r="GLY26" s="73"/>
      <c r="GLZ26" s="73"/>
      <c r="GMA26" s="73"/>
      <c r="GMB26" s="73"/>
      <c r="GMC26" s="73"/>
      <c r="GMD26" s="73"/>
      <c r="GME26" s="73"/>
      <c r="GMF26" s="73"/>
      <c r="GMG26" s="73"/>
      <c r="GMH26" s="73"/>
      <c r="GMI26" s="73"/>
      <c r="GMJ26" s="73"/>
      <c r="GMK26" s="73"/>
      <c r="GML26" s="73"/>
      <c r="GMM26" s="73"/>
      <c r="GMN26" s="73"/>
      <c r="GMO26" s="73"/>
      <c r="GMP26" s="73"/>
      <c r="GMQ26" s="73"/>
      <c r="GMR26" s="73"/>
      <c r="GMS26" s="73"/>
      <c r="GMT26" s="73"/>
      <c r="GMU26" s="73"/>
      <c r="GMV26" s="73"/>
      <c r="GMW26" s="73"/>
      <c r="GMX26" s="73"/>
      <c r="GMY26" s="73"/>
      <c r="GMZ26" s="73"/>
      <c r="GNA26" s="73"/>
      <c r="GNB26" s="73"/>
      <c r="GNC26" s="73"/>
      <c r="GND26" s="73"/>
      <c r="GNE26" s="73"/>
      <c r="GNF26" s="73"/>
      <c r="GNG26" s="73"/>
      <c r="GNH26" s="73"/>
      <c r="GNI26" s="73"/>
      <c r="GNJ26" s="73"/>
      <c r="GNK26" s="73"/>
      <c r="GNL26" s="73"/>
      <c r="GNM26" s="73"/>
      <c r="GNN26" s="73"/>
      <c r="GNO26" s="73"/>
      <c r="GNP26" s="73"/>
      <c r="GNQ26" s="73"/>
      <c r="GNR26" s="73"/>
      <c r="GNS26" s="73"/>
      <c r="GNT26" s="73"/>
      <c r="GNU26" s="73"/>
      <c r="GNV26" s="73"/>
      <c r="GNW26" s="73"/>
      <c r="GNX26" s="73"/>
      <c r="GNY26" s="73"/>
      <c r="GNZ26" s="73"/>
      <c r="GOA26" s="73"/>
      <c r="GOB26" s="73"/>
      <c r="GOC26" s="73"/>
      <c r="GOD26" s="73"/>
      <c r="GOE26" s="73"/>
      <c r="GOF26" s="73"/>
      <c r="GOG26" s="73"/>
      <c r="GOH26" s="73"/>
      <c r="GOI26" s="73"/>
      <c r="GOJ26" s="73"/>
      <c r="GOK26" s="73"/>
      <c r="GOL26" s="73"/>
      <c r="GOM26" s="73"/>
      <c r="GON26" s="73"/>
      <c r="GOO26" s="73"/>
      <c r="GOP26" s="73"/>
      <c r="GOQ26" s="73"/>
      <c r="GOR26" s="73"/>
      <c r="GOS26" s="73"/>
      <c r="GOT26" s="73"/>
      <c r="GOU26" s="73"/>
      <c r="GOV26" s="73"/>
      <c r="GOW26" s="73"/>
      <c r="GOX26" s="73"/>
      <c r="GOY26" s="73"/>
      <c r="GOZ26" s="73"/>
      <c r="GPA26" s="73"/>
      <c r="GPB26" s="73"/>
      <c r="GPC26" s="73"/>
      <c r="GPD26" s="73"/>
      <c r="GPE26" s="73"/>
      <c r="GPF26" s="73"/>
      <c r="GPG26" s="73"/>
      <c r="GPH26" s="73"/>
      <c r="GPI26" s="73"/>
      <c r="GPJ26" s="73"/>
      <c r="GPK26" s="73"/>
      <c r="GPL26" s="73"/>
      <c r="GPM26" s="73"/>
      <c r="GPN26" s="73"/>
      <c r="GPO26" s="73"/>
      <c r="GPP26" s="73"/>
      <c r="GPQ26" s="73"/>
      <c r="GPR26" s="73"/>
      <c r="GPS26" s="73"/>
      <c r="GPT26" s="73"/>
      <c r="GPU26" s="73"/>
      <c r="GPV26" s="73"/>
      <c r="GPW26" s="73"/>
      <c r="GPX26" s="73"/>
      <c r="GPY26" s="73"/>
      <c r="GPZ26" s="73"/>
      <c r="GQA26" s="73"/>
      <c r="GQB26" s="73"/>
      <c r="GQC26" s="73"/>
      <c r="GQD26" s="73"/>
      <c r="GQE26" s="73"/>
      <c r="GQF26" s="73"/>
      <c r="GQG26" s="73"/>
      <c r="GQH26" s="73"/>
      <c r="GQI26" s="73"/>
      <c r="GQJ26" s="73"/>
      <c r="GQK26" s="73"/>
      <c r="GQL26" s="73"/>
      <c r="GQM26" s="73"/>
      <c r="GQN26" s="73"/>
      <c r="GQO26" s="73"/>
      <c r="GQP26" s="73"/>
      <c r="GQQ26" s="73"/>
      <c r="GQR26" s="73"/>
      <c r="GQS26" s="73"/>
      <c r="GQT26" s="73"/>
      <c r="GQU26" s="73"/>
      <c r="GQV26" s="73"/>
      <c r="GQW26" s="73"/>
      <c r="GQX26" s="73"/>
      <c r="GQY26" s="73"/>
      <c r="GQZ26" s="73"/>
      <c r="GRA26" s="73"/>
      <c r="GRB26" s="73"/>
      <c r="GRC26" s="73"/>
      <c r="GRD26" s="73"/>
      <c r="GRE26" s="73"/>
      <c r="GRF26" s="73"/>
      <c r="GRG26" s="73"/>
      <c r="GRH26" s="73"/>
      <c r="GRI26" s="73"/>
      <c r="GRJ26" s="73"/>
      <c r="GRK26" s="73"/>
      <c r="GRL26" s="73"/>
      <c r="GRM26" s="73"/>
      <c r="GRN26" s="73"/>
      <c r="GRO26" s="73"/>
      <c r="GRP26" s="73"/>
      <c r="GRQ26" s="73"/>
      <c r="GRR26" s="73"/>
      <c r="GRS26" s="73"/>
      <c r="GRT26" s="73"/>
      <c r="GRU26" s="73"/>
      <c r="GRV26" s="73"/>
      <c r="GRW26" s="73"/>
      <c r="GRX26" s="73"/>
      <c r="GRY26" s="73"/>
      <c r="GRZ26" s="73"/>
      <c r="GSA26" s="73"/>
      <c r="GSB26" s="73"/>
      <c r="GSC26" s="73"/>
      <c r="GSD26" s="73"/>
      <c r="GSE26" s="73"/>
      <c r="GSF26" s="73"/>
      <c r="GSG26" s="73"/>
      <c r="GSH26" s="73"/>
      <c r="GSI26" s="73"/>
      <c r="GSJ26" s="73"/>
      <c r="GSK26" s="73"/>
      <c r="GSL26" s="73"/>
      <c r="GSM26" s="73"/>
      <c r="GSN26" s="73"/>
      <c r="GSO26" s="73"/>
      <c r="GSP26" s="73"/>
      <c r="GSQ26" s="73"/>
      <c r="GSR26" s="73"/>
      <c r="GSS26" s="73"/>
      <c r="GST26" s="73"/>
      <c r="GSU26" s="73"/>
      <c r="GSV26" s="73"/>
      <c r="GSW26" s="73"/>
      <c r="GSX26" s="73"/>
      <c r="GSY26" s="73"/>
      <c r="GSZ26" s="73"/>
      <c r="GTA26" s="73"/>
      <c r="GTB26" s="73"/>
      <c r="GTC26" s="73"/>
      <c r="GTD26" s="73"/>
      <c r="GTE26" s="73"/>
      <c r="GTF26" s="73"/>
      <c r="GTG26" s="73"/>
      <c r="GTH26" s="73"/>
      <c r="GTI26" s="73"/>
      <c r="GTJ26" s="73"/>
      <c r="GTK26" s="73"/>
      <c r="GTL26" s="73"/>
      <c r="GTM26" s="73"/>
      <c r="GTN26" s="73"/>
      <c r="GTO26" s="73"/>
      <c r="GTP26" s="73"/>
      <c r="GTQ26" s="73"/>
      <c r="GTR26" s="73"/>
      <c r="GTS26" s="73"/>
      <c r="GTT26" s="73"/>
      <c r="GTU26" s="73"/>
      <c r="GTV26" s="73"/>
      <c r="GTW26" s="73"/>
      <c r="GTX26" s="73"/>
      <c r="GTY26" s="73"/>
      <c r="GTZ26" s="73"/>
      <c r="GUA26" s="73"/>
      <c r="GUB26" s="73"/>
      <c r="GUC26" s="73"/>
      <c r="GUD26" s="73"/>
      <c r="GUE26" s="73"/>
      <c r="GUF26" s="73"/>
      <c r="GUG26" s="73"/>
      <c r="GUH26" s="73"/>
      <c r="GUI26" s="73"/>
      <c r="GUJ26" s="73"/>
      <c r="GUK26" s="73"/>
      <c r="GUL26" s="73"/>
      <c r="GUM26" s="73"/>
      <c r="GUN26" s="73"/>
      <c r="GUO26" s="73"/>
      <c r="GUP26" s="73"/>
      <c r="GUQ26" s="73"/>
      <c r="GUR26" s="73"/>
      <c r="GUS26" s="73"/>
      <c r="GUT26" s="73"/>
      <c r="GUU26" s="73"/>
      <c r="GUV26" s="73"/>
      <c r="GUW26" s="73"/>
      <c r="GUX26" s="73"/>
      <c r="GUY26" s="73"/>
      <c r="GUZ26" s="73"/>
      <c r="GVA26" s="73"/>
      <c r="GVB26" s="73"/>
      <c r="GVC26" s="73"/>
      <c r="GVD26" s="73"/>
      <c r="GVE26" s="73"/>
      <c r="GVF26" s="73"/>
      <c r="GVG26" s="73"/>
      <c r="GVH26" s="73"/>
      <c r="GVI26" s="73"/>
      <c r="GVJ26" s="73"/>
      <c r="GVK26" s="73"/>
      <c r="GVL26" s="73"/>
      <c r="GVM26" s="73"/>
      <c r="GVN26" s="73"/>
      <c r="GVO26" s="73"/>
      <c r="GVP26" s="73"/>
      <c r="GVQ26" s="73"/>
      <c r="GVR26" s="73"/>
      <c r="GVS26" s="73"/>
      <c r="GVT26" s="73"/>
      <c r="GVU26" s="73"/>
      <c r="GVV26" s="73"/>
      <c r="GVW26" s="73"/>
      <c r="GVX26" s="73"/>
      <c r="GVY26" s="73"/>
      <c r="GVZ26" s="73"/>
      <c r="GWA26" s="73"/>
      <c r="GWB26" s="73"/>
      <c r="GWC26" s="73"/>
      <c r="GWD26" s="73"/>
      <c r="GWE26" s="73"/>
      <c r="GWF26" s="73"/>
      <c r="GWG26" s="73"/>
      <c r="GWH26" s="73"/>
      <c r="GWI26" s="73"/>
      <c r="GWJ26" s="73"/>
      <c r="GWK26" s="73"/>
      <c r="GWL26" s="73"/>
      <c r="GWM26" s="73"/>
      <c r="GWN26" s="73"/>
      <c r="GWO26" s="73"/>
      <c r="GWP26" s="73"/>
      <c r="GWQ26" s="73"/>
      <c r="GWR26" s="73"/>
      <c r="GWS26" s="73"/>
      <c r="GWT26" s="73"/>
      <c r="GWU26" s="73"/>
      <c r="GWV26" s="73"/>
      <c r="GWW26" s="73"/>
      <c r="GWX26" s="73"/>
      <c r="GWY26" s="73"/>
      <c r="GWZ26" s="73"/>
      <c r="GXA26" s="73"/>
      <c r="GXB26" s="73"/>
      <c r="GXC26" s="73"/>
      <c r="GXD26" s="73"/>
      <c r="GXE26" s="73"/>
      <c r="GXF26" s="73"/>
      <c r="GXG26" s="73"/>
      <c r="GXH26" s="73"/>
      <c r="GXI26" s="73"/>
      <c r="GXJ26" s="73"/>
      <c r="GXK26" s="73"/>
      <c r="GXL26" s="73"/>
      <c r="GXM26" s="73"/>
      <c r="GXN26" s="73"/>
      <c r="GXO26" s="73"/>
      <c r="GXP26" s="73"/>
      <c r="GXQ26" s="73"/>
      <c r="GXR26" s="73"/>
      <c r="GXS26" s="73"/>
      <c r="GXT26" s="73"/>
      <c r="GXU26" s="73"/>
      <c r="GXV26" s="73"/>
      <c r="GXW26" s="73"/>
      <c r="GXX26" s="73"/>
      <c r="GXY26" s="73"/>
      <c r="GXZ26" s="73"/>
      <c r="GYA26" s="73"/>
      <c r="GYB26" s="73"/>
      <c r="GYC26" s="73"/>
      <c r="GYD26" s="73"/>
      <c r="GYE26" s="73"/>
      <c r="GYF26" s="73"/>
      <c r="GYG26" s="73"/>
      <c r="GYH26" s="73"/>
      <c r="GYI26" s="73"/>
      <c r="GYJ26" s="73"/>
      <c r="GYK26" s="73"/>
      <c r="GYL26" s="73"/>
      <c r="GYM26" s="73"/>
      <c r="GYN26" s="73"/>
      <c r="GYO26" s="73"/>
      <c r="GYP26" s="73"/>
      <c r="GYQ26" s="73"/>
      <c r="GYR26" s="73"/>
      <c r="GYS26" s="73"/>
      <c r="GYT26" s="73"/>
      <c r="GYU26" s="73"/>
      <c r="GYV26" s="73"/>
      <c r="GYW26" s="73"/>
      <c r="GYX26" s="73"/>
      <c r="GYY26" s="73"/>
      <c r="GYZ26" s="73"/>
      <c r="GZA26" s="73"/>
      <c r="GZB26" s="73"/>
      <c r="GZC26" s="73"/>
      <c r="GZD26" s="73"/>
      <c r="GZE26" s="73"/>
      <c r="GZF26" s="73"/>
      <c r="GZG26" s="73"/>
      <c r="GZH26" s="73"/>
      <c r="GZI26" s="73"/>
      <c r="GZJ26" s="73"/>
      <c r="GZK26" s="73"/>
      <c r="GZL26" s="73"/>
      <c r="GZM26" s="73"/>
      <c r="GZN26" s="73"/>
      <c r="GZO26" s="73"/>
      <c r="GZP26" s="73"/>
      <c r="GZQ26" s="73"/>
      <c r="GZR26" s="73"/>
      <c r="GZS26" s="73"/>
      <c r="GZT26" s="73"/>
      <c r="GZU26" s="73"/>
      <c r="GZV26" s="73"/>
      <c r="GZW26" s="73"/>
      <c r="GZX26" s="73"/>
      <c r="GZY26" s="73"/>
      <c r="GZZ26" s="73"/>
      <c r="HAA26" s="73"/>
      <c r="HAB26" s="73"/>
      <c r="HAC26" s="73"/>
      <c r="HAD26" s="73"/>
      <c r="HAE26" s="73"/>
      <c r="HAF26" s="73"/>
      <c r="HAG26" s="73"/>
      <c r="HAH26" s="73"/>
      <c r="HAI26" s="73"/>
      <c r="HAJ26" s="73"/>
      <c r="HAK26" s="73"/>
      <c r="HAL26" s="73"/>
      <c r="HAM26" s="73"/>
      <c r="HAN26" s="73"/>
      <c r="HAO26" s="73"/>
      <c r="HAP26" s="73"/>
      <c r="HAQ26" s="73"/>
      <c r="HAR26" s="73"/>
      <c r="HAS26" s="73"/>
      <c r="HAT26" s="73"/>
      <c r="HAU26" s="73"/>
      <c r="HAV26" s="73"/>
      <c r="HAW26" s="73"/>
      <c r="HAX26" s="73"/>
      <c r="HAY26" s="73"/>
      <c r="HAZ26" s="73"/>
      <c r="HBA26" s="73"/>
      <c r="HBB26" s="73"/>
      <c r="HBC26" s="73"/>
      <c r="HBD26" s="73"/>
      <c r="HBE26" s="73"/>
      <c r="HBF26" s="73"/>
      <c r="HBG26" s="73"/>
      <c r="HBH26" s="73"/>
      <c r="HBI26" s="73"/>
      <c r="HBJ26" s="73"/>
      <c r="HBK26" s="73"/>
      <c r="HBL26" s="73"/>
      <c r="HBM26" s="73"/>
      <c r="HBN26" s="73"/>
      <c r="HBO26" s="73"/>
      <c r="HBP26" s="73"/>
      <c r="HBQ26" s="73"/>
      <c r="HBR26" s="73"/>
      <c r="HBS26" s="73"/>
      <c r="HBT26" s="73"/>
      <c r="HBU26" s="73"/>
      <c r="HBV26" s="73"/>
      <c r="HBW26" s="73"/>
      <c r="HBX26" s="73"/>
      <c r="HBY26" s="73"/>
      <c r="HBZ26" s="73"/>
      <c r="HCA26" s="73"/>
      <c r="HCB26" s="73"/>
      <c r="HCC26" s="73"/>
      <c r="HCD26" s="73"/>
      <c r="HCE26" s="73"/>
      <c r="HCF26" s="73"/>
      <c r="HCG26" s="73"/>
      <c r="HCH26" s="73"/>
      <c r="HCI26" s="73"/>
      <c r="HCJ26" s="73"/>
      <c r="HCK26" s="73"/>
      <c r="HCL26" s="73"/>
      <c r="HCM26" s="73"/>
      <c r="HCN26" s="73"/>
      <c r="HCO26" s="73"/>
      <c r="HCP26" s="73"/>
      <c r="HCQ26" s="73"/>
      <c r="HCR26" s="73"/>
      <c r="HCS26" s="73"/>
      <c r="HCT26" s="73"/>
      <c r="HCU26" s="73"/>
      <c r="HCV26" s="73"/>
      <c r="HCW26" s="73"/>
      <c r="HCX26" s="73"/>
      <c r="HCY26" s="73"/>
      <c r="HCZ26" s="73"/>
      <c r="HDA26" s="73"/>
      <c r="HDB26" s="73"/>
      <c r="HDC26" s="73"/>
      <c r="HDD26" s="73"/>
      <c r="HDE26" s="73"/>
      <c r="HDF26" s="73"/>
      <c r="HDG26" s="73"/>
      <c r="HDH26" s="73"/>
      <c r="HDI26" s="73"/>
      <c r="HDJ26" s="73"/>
      <c r="HDK26" s="73"/>
      <c r="HDL26" s="73"/>
      <c r="HDM26" s="73"/>
      <c r="HDN26" s="73"/>
      <c r="HDO26" s="73"/>
      <c r="HDP26" s="73"/>
      <c r="HDQ26" s="73"/>
      <c r="HDR26" s="73"/>
      <c r="HDS26" s="73"/>
      <c r="HDT26" s="73"/>
      <c r="HDU26" s="73"/>
      <c r="HDV26" s="73"/>
      <c r="HDW26" s="73"/>
      <c r="HDX26" s="73"/>
      <c r="HDY26" s="73"/>
      <c r="HDZ26" s="73"/>
      <c r="HEA26" s="73"/>
      <c r="HEB26" s="73"/>
      <c r="HEC26" s="73"/>
      <c r="HED26" s="73"/>
      <c r="HEE26" s="73"/>
      <c r="HEF26" s="73"/>
      <c r="HEG26" s="73"/>
      <c r="HEH26" s="73"/>
      <c r="HEI26" s="73"/>
      <c r="HEJ26" s="73"/>
      <c r="HEK26" s="73"/>
      <c r="HEL26" s="73"/>
      <c r="HEM26" s="73"/>
      <c r="HEN26" s="73"/>
      <c r="HEO26" s="73"/>
      <c r="HEP26" s="73"/>
      <c r="HEQ26" s="73"/>
      <c r="HER26" s="73"/>
      <c r="HES26" s="73"/>
      <c r="HET26" s="73"/>
      <c r="HEU26" s="73"/>
      <c r="HEV26" s="73"/>
      <c r="HEW26" s="73"/>
      <c r="HEX26" s="73"/>
      <c r="HEY26" s="73"/>
      <c r="HEZ26" s="73"/>
      <c r="HFA26" s="73"/>
      <c r="HFB26" s="73"/>
      <c r="HFC26" s="73"/>
      <c r="HFD26" s="73"/>
      <c r="HFE26" s="73"/>
      <c r="HFF26" s="73"/>
      <c r="HFG26" s="73"/>
      <c r="HFH26" s="73"/>
      <c r="HFI26" s="73"/>
      <c r="HFJ26" s="73"/>
      <c r="HFK26" s="73"/>
      <c r="HFL26" s="73"/>
      <c r="HFM26" s="73"/>
      <c r="HFN26" s="73"/>
      <c r="HFO26" s="73"/>
      <c r="HFP26" s="73"/>
      <c r="HFQ26" s="73"/>
      <c r="HFR26" s="73"/>
      <c r="HFS26" s="73"/>
      <c r="HFT26" s="73"/>
      <c r="HFU26" s="73"/>
      <c r="HFV26" s="73"/>
      <c r="HFW26" s="73"/>
      <c r="HFX26" s="73"/>
      <c r="HFY26" s="73"/>
      <c r="HFZ26" s="73"/>
      <c r="HGA26" s="73"/>
      <c r="HGB26" s="73"/>
      <c r="HGC26" s="73"/>
      <c r="HGD26" s="73"/>
      <c r="HGE26" s="73"/>
      <c r="HGF26" s="73"/>
      <c r="HGG26" s="73"/>
      <c r="HGH26" s="73"/>
      <c r="HGI26" s="73"/>
      <c r="HGJ26" s="73"/>
      <c r="HGK26" s="73"/>
      <c r="HGL26" s="73"/>
      <c r="HGM26" s="73"/>
      <c r="HGN26" s="73"/>
      <c r="HGO26" s="73"/>
      <c r="HGP26" s="73"/>
      <c r="HGQ26" s="73"/>
      <c r="HGR26" s="73"/>
      <c r="HGS26" s="73"/>
      <c r="HGT26" s="73"/>
      <c r="HGU26" s="73"/>
      <c r="HGV26" s="73"/>
      <c r="HGW26" s="73"/>
      <c r="HGX26" s="73"/>
      <c r="HGY26" s="73"/>
      <c r="HGZ26" s="73"/>
      <c r="HHA26" s="73"/>
      <c r="HHB26" s="73"/>
      <c r="HHC26" s="73"/>
      <c r="HHD26" s="73"/>
      <c r="HHE26" s="73"/>
      <c r="HHF26" s="73"/>
      <c r="HHG26" s="73"/>
      <c r="HHH26" s="73"/>
      <c r="HHI26" s="73"/>
      <c r="HHJ26" s="73"/>
      <c r="HHK26" s="73"/>
      <c r="HHL26" s="73"/>
      <c r="HHM26" s="73"/>
      <c r="HHN26" s="73"/>
      <c r="HHO26" s="73"/>
      <c r="HHP26" s="73"/>
      <c r="HHQ26" s="73"/>
      <c r="HHR26" s="73"/>
      <c r="HHS26" s="73"/>
      <c r="HHT26" s="73"/>
      <c r="HHU26" s="73"/>
      <c r="HHV26" s="73"/>
      <c r="HHW26" s="73"/>
      <c r="HHX26" s="73"/>
      <c r="HHY26" s="73"/>
      <c r="HHZ26" s="73"/>
      <c r="HIA26" s="73"/>
      <c r="HIB26" s="73"/>
      <c r="HIC26" s="73"/>
      <c r="HID26" s="73"/>
      <c r="HIE26" s="73"/>
      <c r="HIF26" s="73"/>
      <c r="HIG26" s="73"/>
      <c r="HIH26" s="73"/>
      <c r="HII26" s="73"/>
      <c r="HIJ26" s="73"/>
      <c r="HIK26" s="73"/>
      <c r="HIL26" s="73"/>
      <c r="HIM26" s="73"/>
      <c r="HIN26" s="73"/>
      <c r="HIO26" s="73"/>
      <c r="HIP26" s="73"/>
      <c r="HIQ26" s="73"/>
      <c r="HIR26" s="73"/>
      <c r="HIS26" s="73"/>
      <c r="HIT26" s="73"/>
      <c r="HIU26" s="73"/>
      <c r="HIV26" s="73"/>
      <c r="HIW26" s="73"/>
      <c r="HIX26" s="73"/>
      <c r="HIY26" s="73"/>
      <c r="HIZ26" s="73"/>
      <c r="HJA26" s="73"/>
      <c r="HJB26" s="73"/>
      <c r="HJC26" s="73"/>
      <c r="HJD26" s="73"/>
      <c r="HJE26" s="73"/>
      <c r="HJF26" s="73"/>
      <c r="HJG26" s="73"/>
      <c r="HJH26" s="73"/>
      <c r="HJI26" s="73"/>
      <c r="HJJ26" s="73"/>
      <c r="HJK26" s="73"/>
      <c r="HJL26" s="73"/>
      <c r="HJM26" s="73"/>
      <c r="HJN26" s="73"/>
      <c r="HJO26" s="73"/>
      <c r="HJP26" s="73"/>
      <c r="HJQ26" s="73"/>
      <c r="HJR26" s="73"/>
      <c r="HJS26" s="73"/>
      <c r="HJT26" s="73"/>
      <c r="HJU26" s="73"/>
      <c r="HJV26" s="73"/>
      <c r="HJW26" s="73"/>
      <c r="HJX26" s="73"/>
      <c r="HJY26" s="73"/>
      <c r="HJZ26" s="73"/>
      <c r="HKA26" s="73"/>
      <c r="HKB26" s="73"/>
      <c r="HKC26" s="73"/>
      <c r="HKD26" s="73"/>
      <c r="HKE26" s="73"/>
      <c r="HKF26" s="73"/>
      <c r="HKG26" s="73"/>
      <c r="HKH26" s="73"/>
      <c r="HKI26" s="73"/>
      <c r="HKJ26" s="73"/>
      <c r="HKK26" s="73"/>
      <c r="HKL26" s="73"/>
      <c r="HKM26" s="73"/>
      <c r="HKN26" s="73"/>
      <c r="HKO26" s="73"/>
      <c r="HKP26" s="73"/>
      <c r="HKQ26" s="73"/>
      <c r="HKR26" s="73"/>
      <c r="HKS26" s="73"/>
      <c r="HKT26" s="73"/>
      <c r="HKU26" s="73"/>
      <c r="HKV26" s="73"/>
      <c r="HKW26" s="73"/>
      <c r="HKX26" s="73"/>
      <c r="HKY26" s="73"/>
      <c r="HKZ26" s="73"/>
      <c r="HLA26" s="73"/>
      <c r="HLB26" s="73"/>
      <c r="HLC26" s="73"/>
      <c r="HLD26" s="73"/>
      <c r="HLE26" s="73"/>
      <c r="HLF26" s="73"/>
      <c r="HLG26" s="73"/>
      <c r="HLH26" s="73"/>
      <c r="HLI26" s="73"/>
      <c r="HLJ26" s="73"/>
      <c r="HLK26" s="73"/>
      <c r="HLL26" s="73"/>
      <c r="HLM26" s="73"/>
      <c r="HLN26" s="73"/>
      <c r="HLO26" s="73"/>
      <c r="HLP26" s="73"/>
      <c r="HLQ26" s="73"/>
      <c r="HLR26" s="73"/>
      <c r="HLS26" s="73"/>
      <c r="HLT26" s="73"/>
      <c r="HLU26" s="73"/>
      <c r="HLV26" s="73"/>
      <c r="HLW26" s="73"/>
      <c r="HLX26" s="73"/>
      <c r="HLY26" s="73"/>
      <c r="HLZ26" s="73"/>
      <c r="HMA26" s="73"/>
      <c r="HMB26" s="73"/>
      <c r="HMC26" s="73"/>
      <c r="HMD26" s="73"/>
      <c r="HME26" s="73"/>
      <c r="HMF26" s="73"/>
      <c r="HMG26" s="73"/>
      <c r="HMH26" s="73"/>
      <c r="HMI26" s="73"/>
      <c r="HMJ26" s="73"/>
      <c r="HMK26" s="73"/>
      <c r="HML26" s="73"/>
      <c r="HMM26" s="73"/>
      <c r="HMN26" s="73"/>
      <c r="HMO26" s="73"/>
      <c r="HMP26" s="73"/>
      <c r="HMQ26" s="73"/>
      <c r="HMR26" s="73"/>
      <c r="HMS26" s="73"/>
      <c r="HMT26" s="73"/>
      <c r="HMU26" s="73"/>
      <c r="HMV26" s="73"/>
      <c r="HMW26" s="73"/>
      <c r="HMX26" s="73"/>
      <c r="HMY26" s="73"/>
      <c r="HMZ26" s="73"/>
      <c r="HNA26" s="73"/>
      <c r="HNB26" s="73"/>
      <c r="HNC26" s="73"/>
      <c r="HND26" s="73"/>
      <c r="HNE26" s="73"/>
      <c r="HNF26" s="73"/>
      <c r="HNG26" s="73"/>
      <c r="HNH26" s="73"/>
      <c r="HNI26" s="73"/>
      <c r="HNJ26" s="73"/>
      <c r="HNK26" s="73"/>
      <c r="HNL26" s="73"/>
      <c r="HNM26" s="73"/>
      <c r="HNN26" s="73"/>
      <c r="HNO26" s="73"/>
      <c r="HNP26" s="73"/>
      <c r="HNQ26" s="73"/>
      <c r="HNR26" s="73"/>
      <c r="HNS26" s="73"/>
      <c r="HNT26" s="73"/>
      <c r="HNU26" s="73"/>
      <c r="HNV26" s="73"/>
      <c r="HNW26" s="73"/>
      <c r="HNX26" s="73"/>
      <c r="HNY26" s="73"/>
      <c r="HNZ26" s="73"/>
      <c r="HOA26" s="73"/>
      <c r="HOB26" s="73"/>
      <c r="HOC26" s="73"/>
      <c r="HOD26" s="73"/>
      <c r="HOE26" s="73"/>
      <c r="HOF26" s="73"/>
      <c r="HOG26" s="73"/>
      <c r="HOH26" s="73"/>
      <c r="HOI26" s="73"/>
      <c r="HOJ26" s="73"/>
      <c r="HOK26" s="73"/>
      <c r="HOL26" s="73"/>
      <c r="HOM26" s="73"/>
      <c r="HON26" s="73"/>
      <c r="HOO26" s="73"/>
      <c r="HOP26" s="73"/>
      <c r="HOQ26" s="73"/>
      <c r="HOR26" s="73"/>
      <c r="HOS26" s="73"/>
      <c r="HOT26" s="73"/>
      <c r="HOU26" s="73"/>
      <c r="HOV26" s="73"/>
      <c r="HOW26" s="73"/>
      <c r="HOX26" s="73"/>
      <c r="HOY26" s="73"/>
      <c r="HOZ26" s="73"/>
      <c r="HPA26" s="73"/>
      <c r="HPB26" s="73"/>
      <c r="HPC26" s="73"/>
      <c r="HPD26" s="73"/>
      <c r="HPE26" s="73"/>
      <c r="HPF26" s="73"/>
      <c r="HPG26" s="73"/>
      <c r="HPH26" s="73"/>
      <c r="HPI26" s="73"/>
      <c r="HPJ26" s="73"/>
      <c r="HPK26" s="73"/>
      <c r="HPL26" s="73"/>
      <c r="HPM26" s="73"/>
      <c r="HPN26" s="73"/>
      <c r="HPO26" s="73"/>
      <c r="HPP26" s="73"/>
      <c r="HPQ26" s="73"/>
      <c r="HPR26" s="73"/>
      <c r="HPS26" s="73"/>
      <c r="HPT26" s="73"/>
      <c r="HPU26" s="73"/>
      <c r="HPV26" s="73"/>
      <c r="HPW26" s="73"/>
      <c r="HPX26" s="73"/>
      <c r="HPY26" s="73"/>
      <c r="HPZ26" s="73"/>
      <c r="HQA26" s="73"/>
      <c r="HQB26" s="73"/>
      <c r="HQC26" s="73"/>
      <c r="HQD26" s="73"/>
      <c r="HQE26" s="73"/>
      <c r="HQF26" s="73"/>
      <c r="HQG26" s="73"/>
      <c r="HQH26" s="73"/>
      <c r="HQI26" s="73"/>
      <c r="HQJ26" s="73"/>
      <c r="HQK26" s="73"/>
      <c r="HQL26" s="73"/>
      <c r="HQM26" s="73"/>
      <c r="HQN26" s="73"/>
      <c r="HQO26" s="73"/>
      <c r="HQP26" s="73"/>
      <c r="HQQ26" s="73"/>
      <c r="HQR26" s="73"/>
      <c r="HQS26" s="73"/>
      <c r="HQT26" s="73"/>
      <c r="HQU26" s="73"/>
      <c r="HQV26" s="73"/>
      <c r="HQW26" s="73"/>
      <c r="HQX26" s="73"/>
      <c r="HQY26" s="73"/>
      <c r="HQZ26" s="73"/>
      <c r="HRA26" s="73"/>
      <c r="HRB26" s="73"/>
      <c r="HRC26" s="73"/>
      <c r="HRD26" s="73"/>
      <c r="HRE26" s="73"/>
      <c r="HRF26" s="73"/>
      <c r="HRG26" s="73"/>
      <c r="HRH26" s="73"/>
      <c r="HRI26" s="73"/>
      <c r="HRJ26" s="73"/>
      <c r="HRK26" s="73"/>
      <c r="HRL26" s="73"/>
      <c r="HRM26" s="73"/>
      <c r="HRN26" s="73"/>
      <c r="HRO26" s="73"/>
      <c r="HRP26" s="73"/>
      <c r="HRQ26" s="73"/>
      <c r="HRR26" s="73"/>
      <c r="HRS26" s="73"/>
      <c r="HRT26" s="73"/>
      <c r="HRU26" s="73"/>
      <c r="HRV26" s="73"/>
      <c r="HRW26" s="73"/>
      <c r="HRX26" s="73"/>
      <c r="HRY26" s="73"/>
      <c r="HRZ26" s="73"/>
      <c r="HSA26" s="73"/>
      <c r="HSB26" s="73"/>
      <c r="HSC26" s="73"/>
      <c r="HSD26" s="73"/>
      <c r="HSE26" s="73"/>
      <c r="HSF26" s="73"/>
      <c r="HSG26" s="73"/>
      <c r="HSH26" s="73"/>
      <c r="HSI26" s="73"/>
      <c r="HSJ26" s="73"/>
      <c r="HSK26" s="73"/>
      <c r="HSL26" s="73"/>
      <c r="HSM26" s="73"/>
      <c r="HSN26" s="73"/>
      <c r="HSO26" s="73"/>
      <c r="HSP26" s="73"/>
      <c r="HSQ26" s="73"/>
      <c r="HSR26" s="73"/>
      <c r="HSS26" s="73"/>
      <c r="HST26" s="73"/>
      <c r="HSU26" s="73"/>
      <c r="HSV26" s="73"/>
      <c r="HSW26" s="73"/>
      <c r="HSX26" s="73"/>
      <c r="HSY26" s="73"/>
      <c r="HSZ26" s="73"/>
      <c r="HTA26" s="73"/>
      <c r="HTB26" s="73"/>
      <c r="HTC26" s="73"/>
      <c r="HTD26" s="73"/>
      <c r="HTE26" s="73"/>
      <c r="HTF26" s="73"/>
      <c r="HTG26" s="73"/>
      <c r="HTH26" s="73"/>
      <c r="HTI26" s="73"/>
      <c r="HTJ26" s="73"/>
      <c r="HTK26" s="73"/>
      <c r="HTL26" s="73"/>
      <c r="HTM26" s="73"/>
      <c r="HTN26" s="73"/>
      <c r="HTO26" s="73"/>
      <c r="HTP26" s="73"/>
      <c r="HTQ26" s="73"/>
      <c r="HTR26" s="73"/>
      <c r="HTS26" s="73"/>
      <c r="HTT26" s="73"/>
      <c r="HTU26" s="73"/>
      <c r="HTV26" s="73"/>
      <c r="HTW26" s="73"/>
      <c r="HTX26" s="73"/>
      <c r="HTY26" s="73"/>
      <c r="HTZ26" s="73"/>
      <c r="HUA26" s="73"/>
      <c r="HUB26" s="73"/>
      <c r="HUC26" s="73"/>
      <c r="HUD26" s="73"/>
      <c r="HUE26" s="73"/>
      <c r="HUF26" s="73"/>
      <c r="HUG26" s="73"/>
      <c r="HUH26" s="73"/>
      <c r="HUI26" s="73"/>
      <c r="HUJ26" s="73"/>
      <c r="HUK26" s="73"/>
      <c r="HUL26" s="73"/>
      <c r="HUM26" s="73"/>
      <c r="HUN26" s="73"/>
      <c r="HUO26" s="73"/>
      <c r="HUP26" s="73"/>
      <c r="HUQ26" s="73"/>
      <c r="HUR26" s="73"/>
      <c r="HUS26" s="73"/>
      <c r="HUT26" s="73"/>
      <c r="HUU26" s="73"/>
      <c r="HUV26" s="73"/>
      <c r="HUW26" s="73"/>
      <c r="HUX26" s="73"/>
      <c r="HUY26" s="73"/>
      <c r="HUZ26" s="73"/>
      <c r="HVA26" s="73"/>
      <c r="HVB26" s="73"/>
      <c r="HVC26" s="73"/>
      <c r="HVD26" s="73"/>
      <c r="HVE26" s="73"/>
      <c r="HVF26" s="73"/>
      <c r="HVG26" s="73"/>
      <c r="HVH26" s="73"/>
      <c r="HVI26" s="73"/>
      <c r="HVJ26" s="73"/>
      <c r="HVK26" s="73"/>
      <c r="HVL26" s="73"/>
      <c r="HVM26" s="73"/>
      <c r="HVN26" s="73"/>
      <c r="HVO26" s="73"/>
      <c r="HVP26" s="73"/>
      <c r="HVQ26" s="73"/>
      <c r="HVR26" s="73"/>
      <c r="HVS26" s="73"/>
      <c r="HVT26" s="73"/>
      <c r="HVU26" s="73"/>
      <c r="HVV26" s="73"/>
      <c r="HVW26" s="73"/>
      <c r="HVX26" s="73"/>
      <c r="HVY26" s="73"/>
      <c r="HVZ26" s="73"/>
      <c r="HWA26" s="73"/>
      <c r="HWB26" s="73"/>
      <c r="HWC26" s="73"/>
      <c r="HWD26" s="73"/>
      <c r="HWE26" s="73"/>
      <c r="HWF26" s="73"/>
      <c r="HWG26" s="73"/>
      <c r="HWH26" s="73"/>
      <c r="HWI26" s="73"/>
      <c r="HWJ26" s="73"/>
      <c r="HWK26" s="73"/>
      <c r="HWL26" s="73"/>
      <c r="HWM26" s="73"/>
      <c r="HWN26" s="73"/>
      <c r="HWO26" s="73"/>
      <c r="HWP26" s="73"/>
      <c r="HWQ26" s="73"/>
      <c r="HWR26" s="73"/>
      <c r="HWS26" s="73"/>
      <c r="HWT26" s="73"/>
      <c r="HWU26" s="73"/>
      <c r="HWV26" s="73"/>
      <c r="HWW26" s="73"/>
      <c r="HWX26" s="73"/>
      <c r="HWY26" s="73"/>
      <c r="HWZ26" s="73"/>
      <c r="HXA26" s="73"/>
      <c r="HXB26" s="73"/>
      <c r="HXC26" s="73"/>
      <c r="HXD26" s="73"/>
      <c r="HXE26" s="73"/>
      <c r="HXF26" s="73"/>
      <c r="HXG26" s="73"/>
      <c r="HXH26" s="73"/>
      <c r="HXI26" s="73"/>
      <c r="HXJ26" s="73"/>
      <c r="HXK26" s="73"/>
      <c r="HXL26" s="73"/>
      <c r="HXM26" s="73"/>
      <c r="HXN26" s="73"/>
      <c r="HXO26" s="73"/>
      <c r="HXP26" s="73"/>
      <c r="HXQ26" s="73"/>
      <c r="HXR26" s="73"/>
      <c r="HXS26" s="73"/>
      <c r="HXT26" s="73"/>
      <c r="HXU26" s="73"/>
      <c r="HXV26" s="73"/>
      <c r="HXW26" s="73"/>
      <c r="HXX26" s="73"/>
      <c r="HXY26" s="73"/>
      <c r="HXZ26" s="73"/>
      <c r="HYA26" s="73"/>
      <c r="HYB26" s="73"/>
      <c r="HYC26" s="73"/>
      <c r="HYD26" s="73"/>
      <c r="HYE26" s="73"/>
      <c r="HYF26" s="73"/>
      <c r="HYG26" s="73"/>
      <c r="HYH26" s="73"/>
      <c r="HYI26" s="73"/>
      <c r="HYJ26" s="73"/>
      <c r="HYK26" s="73"/>
      <c r="HYL26" s="73"/>
      <c r="HYM26" s="73"/>
      <c r="HYN26" s="73"/>
      <c r="HYO26" s="73"/>
      <c r="HYP26" s="73"/>
      <c r="HYQ26" s="73"/>
      <c r="HYR26" s="73"/>
      <c r="HYS26" s="73"/>
      <c r="HYT26" s="73"/>
      <c r="HYU26" s="73"/>
      <c r="HYV26" s="73"/>
      <c r="HYW26" s="73"/>
      <c r="HYX26" s="73"/>
      <c r="HYY26" s="73"/>
      <c r="HYZ26" s="73"/>
      <c r="HZA26" s="73"/>
      <c r="HZB26" s="73"/>
      <c r="HZC26" s="73"/>
      <c r="HZD26" s="73"/>
      <c r="HZE26" s="73"/>
      <c r="HZF26" s="73"/>
      <c r="HZG26" s="73"/>
      <c r="HZH26" s="73"/>
      <c r="HZI26" s="73"/>
      <c r="HZJ26" s="73"/>
      <c r="HZK26" s="73"/>
      <c r="HZL26" s="73"/>
      <c r="HZM26" s="73"/>
      <c r="HZN26" s="73"/>
      <c r="HZO26" s="73"/>
      <c r="HZP26" s="73"/>
      <c r="HZQ26" s="73"/>
      <c r="HZR26" s="73"/>
      <c r="HZS26" s="73"/>
      <c r="HZT26" s="73"/>
      <c r="HZU26" s="73"/>
      <c r="HZV26" s="73"/>
      <c r="HZW26" s="73"/>
      <c r="HZX26" s="73"/>
      <c r="HZY26" s="73"/>
      <c r="HZZ26" s="73"/>
      <c r="IAA26" s="73"/>
      <c r="IAB26" s="73"/>
      <c r="IAC26" s="73"/>
      <c r="IAD26" s="73"/>
      <c r="IAE26" s="73"/>
      <c r="IAF26" s="73"/>
      <c r="IAG26" s="73"/>
      <c r="IAH26" s="73"/>
      <c r="IAI26" s="73"/>
      <c r="IAJ26" s="73"/>
      <c r="IAK26" s="73"/>
      <c r="IAL26" s="73"/>
      <c r="IAM26" s="73"/>
      <c r="IAN26" s="73"/>
      <c r="IAO26" s="73"/>
      <c r="IAP26" s="73"/>
      <c r="IAQ26" s="73"/>
      <c r="IAR26" s="73"/>
      <c r="IAS26" s="73"/>
      <c r="IAT26" s="73"/>
      <c r="IAU26" s="73"/>
      <c r="IAV26" s="73"/>
      <c r="IAW26" s="73"/>
      <c r="IAX26" s="73"/>
      <c r="IAY26" s="73"/>
      <c r="IAZ26" s="73"/>
      <c r="IBA26" s="73"/>
      <c r="IBB26" s="73"/>
      <c r="IBC26" s="73"/>
      <c r="IBD26" s="73"/>
      <c r="IBE26" s="73"/>
      <c r="IBF26" s="73"/>
      <c r="IBG26" s="73"/>
      <c r="IBH26" s="73"/>
      <c r="IBI26" s="73"/>
      <c r="IBJ26" s="73"/>
      <c r="IBK26" s="73"/>
      <c r="IBL26" s="73"/>
      <c r="IBM26" s="73"/>
      <c r="IBN26" s="73"/>
      <c r="IBO26" s="73"/>
      <c r="IBP26" s="73"/>
      <c r="IBQ26" s="73"/>
      <c r="IBR26" s="73"/>
      <c r="IBS26" s="73"/>
      <c r="IBT26" s="73"/>
      <c r="IBU26" s="73"/>
      <c r="IBV26" s="73"/>
      <c r="IBW26" s="73"/>
      <c r="IBX26" s="73"/>
      <c r="IBY26" s="73"/>
      <c r="IBZ26" s="73"/>
      <c r="ICA26" s="73"/>
      <c r="ICB26" s="73"/>
      <c r="ICC26" s="73"/>
      <c r="ICD26" s="73"/>
      <c r="ICE26" s="73"/>
      <c r="ICF26" s="73"/>
      <c r="ICG26" s="73"/>
      <c r="ICH26" s="73"/>
      <c r="ICI26" s="73"/>
      <c r="ICJ26" s="73"/>
      <c r="ICK26" s="73"/>
      <c r="ICL26" s="73"/>
      <c r="ICM26" s="73"/>
      <c r="ICN26" s="73"/>
      <c r="ICO26" s="73"/>
      <c r="ICP26" s="73"/>
      <c r="ICQ26" s="73"/>
      <c r="ICR26" s="73"/>
      <c r="ICS26" s="73"/>
      <c r="ICT26" s="73"/>
      <c r="ICU26" s="73"/>
      <c r="ICV26" s="73"/>
      <c r="ICW26" s="73"/>
      <c r="ICX26" s="73"/>
      <c r="ICY26" s="73"/>
      <c r="ICZ26" s="73"/>
      <c r="IDA26" s="73"/>
      <c r="IDB26" s="73"/>
      <c r="IDC26" s="73"/>
      <c r="IDD26" s="73"/>
      <c r="IDE26" s="73"/>
      <c r="IDF26" s="73"/>
      <c r="IDG26" s="73"/>
      <c r="IDH26" s="73"/>
      <c r="IDI26" s="73"/>
      <c r="IDJ26" s="73"/>
      <c r="IDK26" s="73"/>
      <c r="IDL26" s="73"/>
      <c r="IDM26" s="73"/>
      <c r="IDN26" s="73"/>
      <c r="IDO26" s="73"/>
      <c r="IDP26" s="73"/>
      <c r="IDQ26" s="73"/>
      <c r="IDR26" s="73"/>
      <c r="IDS26" s="73"/>
      <c r="IDT26" s="73"/>
      <c r="IDU26" s="73"/>
      <c r="IDV26" s="73"/>
      <c r="IDW26" s="73"/>
      <c r="IDX26" s="73"/>
      <c r="IDY26" s="73"/>
      <c r="IDZ26" s="73"/>
      <c r="IEA26" s="73"/>
      <c r="IEB26" s="73"/>
      <c r="IEC26" s="73"/>
      <c r="IED26" s="73"/>
      <c r="IEE26" s="73"/>
      <c r="IEF26" s="73"/>
      <c r="IEG26" s="73"/>
      <c r="IEH26" s="73"/>
      <c r="IEI26" s="73"/>
      <c r="IEJ26" s="73"/>
      <c r="IEK26" s="73"/>
      <c r="IEL26" s="73"/>
      <c r="IEM26" s="73"/>
      <c r="IEN26" s="73"/>
      <c r="IEO26" s="73"/>
      <c r="IEP26" s="73"/>
      <c r="IEQ26" s="73"/>
      <c r="IER26" s="73"/>
      <c r="IES26" s="73"/>
      <c r="IET26" s="73"/>
      <c r="IEU26" s="73"/>
      <c r="IEV26" s="73"/>
      <c r="IEW26" s="73"/>
      <c r="IEX26" s="73"/>
      <c r="IEY26" s="73"/>
      <c r="IEZ26" s="73"/>
      <c r="IFA26" s="73"/>
      <c r="IFB26" s="73"/>
      <c r="IFC26" s="73"/>
      <c r="IFD26" s="73"/>
      <c r="IFE26" s="73"/>
      <c r="IFF26" s="73"/>
      <c r="IFG26" s="73"/>
      <c r="IFH26" s="73"/>
      <c r="IFI26" s="73"/>
      <c r="IFJ26" s="73"/>
      <c r="IFK26" s="73"/>
      <c r="IFL26" s="73"/>
      <c r="IFM26" s="73"/>
      <c r="IFN26" s="73"/>
      <c r="IFO26" s="73"/>
      <c r="IFP26" s="73"/>
      <c r="IFQ26" s="73"/>
      <c r="IFR26" s="73"/>
      <c r="IFS26" s="73"/>
      <c r="IFT26" s="73"/>
      <c r="IFU26" s="73"/>
      <c r="IFV26" s="73"/>
      <c r="IFW26" s="73"/>
      <c r="IFX26" s="73"/>
      <c r="IFY26" s="73"/>
      <c r="IFZ26" s="73"/>
      <c r="IGA26" s="73"/>
      <c r="IGB26" s="73"/>
      <c r="IGC26" s="73"/>
      <c r="IGD26" s="73"/>
      <c r="IGE26" s="73"/>
      <c r="IGF26" s="73"/>
      <c r="IGG26" s="73"/>
      <c r="IGH26" s="73"/>
      <c r="IGI26" s="73"/>
      <c r="IGJ26" s="73"/>
      <c r="IGK26" s="73"/>
      <c r="IGL26" s="73"/>
      <c r="IGM26" s="73"/>
      <c r="IGN26" s="73"/>
      <c r="IGO26" s="73"/>
      <c r="IGP26" s="73"/>
      <c r="IGQ26" s="73"/>
      <c r="IGR26" s="73"/>
      <c r="IGS26" s="73"/>
      <c r="IGT26" s="73"/>
      <c r="IGU26" s="73"/>
      <c r="IGV26" s="73"/>
      <c r="IGW26" s="73"/>
      <c r="IGX26" s="73"/>
      <c r="IGY26" s="73"/>
      <c r="IGZ26" s="73"/>
      <c r="IHA26" s="73"/>
      <c r="IHB26" s="73"/>
      <c r="IHC26" s="73"/>
      <c r="IHD26" s="73"/>
      <c r="IHE26" s="73"/>
      <c r="IHF26" s="73"/>
      <c r="IHG26" s="73"/>
      <c r="IHH26" s="73"/>
      <c r="IHI26" s="73"/>
      <c r="IHJ26" s="73"/>
      <c r="IHK26" s="73"/>
      <c r="IHL26" s="73"/>
      <c r="IHM26" s="73"/>
      <c r="IHN26" s="73"/>
      <c r="IHO26" s="73"/>
      <c r="IHP26" s="73"/>
      <c r="IHQ26" s="73"/>
      <c r="IHR26" s="73"/>
      <c r="IHS26" s="73"/>
      <c r="IHT26" s="73"/>
      <c r="IHU26" s="73"/>
      <c r="IHV26" s="73"/>
      <c r="IHW26" s="73"/>
      <c r="IHX26" s="73"/>
      <c r="IHY26" s="73"/>
      <c r="IHZ26" s="73"/>
      <c r="IIA26" s="73"/>
      <c r="IIB26" s="73"/>
      <c r="IIC26" s="73"/>
      <c r="IID26" s="73"/>
      <c r="IIE26" s="73"/>
      <c r="IIF26" s="73"/>
      <c r="IIG26" s="73"/>
      <c r="IIH26" s="73"/>
      <c r="III26" s="73"/>
      <c r="IIJ26" s="73"/>
      <c r="IIK26" s="73"/>
      <c r="IIL26" s="73"/>
      <c r="IIM26" s="73"/>
      <c r="IIN26" s="73"/>
      <c r="IIO26" s="73"/>
      <c r="IIP26" s="73"/>
      <c r="IIQ26" s="73"/>
      <c r="IIR26" s="73"/>
      <c r="IIS26" s="73"/>
      <c r="IIT26" s="73"/>
      <c r="IIU26" s="73"/>
      <c r="IIV26" s="73"/>
      <c r="IIW26" s="73"/>
      <c r="IIX26" s="73"/>
      <c r="IIY26" s="73"/>
      <c r="IIZ26" s="73"/>
      <c r="IJA26" s="73"/>
      <c r="IJB26" s="73"/>
      <c r="IJC26" s="73"/>
      <c r="IJD26" s="73"/>
      <c r="IJE26" s="73"/>
      <c r="IJF26" s="73"/>
      <c r="IJG26" s="73"/>
      <c r="IJH26" s="73"/>
      <c r="IJI26" s="73"/>
      <c r="IJJ26" s="73"/>
      <c r="IJK26" s="73"/>
      <c r="IJL26" s="73"/>
      <c r="IJM26" s="73"/>
      <c r="IJN26" s="73"/>
      <c r="IJO26" s="73"/>
      <c r="IJP26" s="73"/>
      <c r="IJQ26" s="73"/>
      <c r="IJR26" s="73"/>
      <c r="IJS26" s="73"/>
      <c r="IJT26" s="73"/>
      <c r="IJU26" s="73"/>
      <c r="IJV26" s="73"/>
      <c r="IJW26" s="73"/>
      <c r="IJX26" s="73"/>
      <c r="IJY26" s="73"/>
      <c r="IJZ26" s="73"/>
      <c r="IKA26" s="73"/>
      <c r="IKB26" s="73"/>
      <c r="IKC26" s="73"/>
      <c r="IKD26" s="73"/>
      <c r="IKE26" s="73"/>
      <c r="IKF26" s="73"/>
      <c r="IKG26" s="73"/>
      <c r="IKH26" s="73"/>
      <c r="IKI26" s="73"/>
      <c r="IKJ26" s="73"/>
      <c r="IKK26" s="73"/>
      <c r="IKL26" s="73"/>
      <c r="IKM26" s="73"/>
      <c r="IKN26" s="73"/>
      <c r="IKO26" s="73"/>
      <c r="IKP26" s="73"/>
      <c r="IKQ26" s="73"/>
      <c r="IKR26" s="73"/>
      <c r="IKS26" s="73"/>
      <c r="IKT26" s="73"/>
      <c r="IKU26" s="73"/>
      <c r="IKV26" s="73"/>
      <c r="IKW26" s="73"/>
      <c r="IKX26" s="73"/>
      <c r="IKY26" s="73"/>
      <c r="IKZ26" s="73"/>
      <c r="ILA26" s="73"/>
      <c r="ILB26" s="73"/>
      <c r="ILC26" s="73"/>
      <c r="ILD26" s="73"/>
      <c r="ILE26" s="73"/>
      <c r="ILF26" s="73"/>
      <c r="ILG26" s="73"/>
      <c r="ILH26" s="73"/>
      <c r="ILI26" s="73"/>
      <c r="ILJ26" s="73"/>
      <c r="ILK26" s="73"/>
      <c r="ILL26" s="73"/>
      <c r="ILM26" s="73"/>
      <c r="ILN26" s="73"/>
      <c r="ILO26" s="73"/>
      <c r="ILP26" s="73"/>
      <c r="ILQ26" s="73"/>
      <c r="ILR26" s="73"/>
      <c r="ILS26" s="73"/>
      <c r="ILT26" s="73"/>
      <c r="ILU26" s="73"/>
      <c r="ILV26" s="73"/>
      <c r="ILW26" s="73"/>
      <c r="ILX26" s="73"/>
      <c r="ILY26" s="73"/>
      <c r="ILZ26" s="73"/>
      <c r="IMA26" s="73"/>
      <c r="IMB26" s="73"/>
      <c r="IMC26" s="73"/>
      <c r="IMD26" s="73"/>
      <c r="IME26" s="73"/>
      <c r="IMF26" s="73"/>
      <c r="IMG26" s="73"/>
      <c r="IMH26" s="73"/>
      <c r="IMI26" s="73"/>
      <c r="IMJ26" s="73"/>
      <c r="IMK26" s="73"/>
      <c r="IML26" s="73"/>
      <c r="IMM26" s="73"/>
      <c r="IMN26" s="73"/>
      <c r="IMO26" s="73"/>
      <c r="IMP26" s="73"/>
      <c r="IMQ26" s="73"/>
      <c r="IMR26" s="73"/>
      <c r="IMS26" s="73"/>
      <c r="IMT26" s="73"/>
      <c r="IMU26" s="73"/>
      <c r="IMV26" s="73"/>
      <c r="IMW26" s="73"/>
      <c r="IMX26" s="73"/>
      <c r="IMY26" s="73"/>
      <c r="IMZ26" s="73"/>
      <c r="INA26" s="73"/>
      <c r="INB26" s="73"/>
      <c r="INC26" s="73"/>
      <c r="IND26" s="73"/>
      <c r="INE26" s="73"/>
      <c r="INF26" s="73"/>
      <c r="ING26" s="73"/>
      <c r="INH26" s="73"/>
      <c r="INI26" s="73"/>
      <c r="INJ26" s="73"/>
      <c r="INK26" s="73"/>
      <c r="INL26" s="73"/>
      <c r="INM26" s="73"/>
      <c r="INN26" s="73"/>
      <c r="INO26" s="73"/>
      <c r="INP26" s="73"/>
      <c r="INQ26" s="73"/>
      <c r="INR26" s="73"/>
      <c r="INS26" s="73"/>
      <c r="INT26" s="73"/>
      <c r="INU26" s="73"/>
      <c r="INV26" s="73"/>
      <c r="INW26" s="73"/>
      <c r="INX26" s="73"/>
      <c r="INY26" s="73"/>
      <c r="INZ26" s="73"/>
      <c r="IOA26" s="73"/>
      <c r="IOB26" s="73"/>
      <c r="IOC26" s="73"/>
      <c r="IOD26" s="73"/>
      <c r="IOE26" s="73"/>
      <c r="IOF26" s="73"/>
      <c r="IOG26" s="73"/>
      <c r="IOH26" s="73"/>
      <c r="IOI26" s="73"/>
      <c r="IOJ26" s="73"/>
      <c r="IOK26" s="73"/>
      <c r="IOL26" s="73"/>
      <c r="IOM26" s="73"/>
      <c r="ION26" s="73"/>
      <c r="IOO26" s="73"/>
      <c r="IOP26" s="73"/>
      <c r="IOQ26" s="73"/>
      <c r="IOR26" s="73"/>
      <c r="IOS26" s="73"/>
      <c r="IOT26" s="73"/>
      <c r="IOU26" s="73"/>
      <c r="IOV26" s="73"/>
      <c r="IOW26" s="73"/>
      <c r="IOX26" s="73"/>
      <c r="IOY26" s="73"/>
      <c r="IOZ26" s="73"/>
      <c r="IPA26" s="73"/>
      <c r="IPB26" s="73"/>
      <c r="IPC26" s="73"/>
      <c r="IPD26" s="73"/>
      <c r="IPE26" s="73"/>
      <c r="IPF26" s="73"/>
      <c r="IPG26" s="73"/>
      <c r="IPH26" s="73"/>
      <c r="IPI26" s="73"/>
      <c r="IPJ26" s="73"/>
      <c r="IPK26" s="73"/>
      <c r="IPL26" s="73"/>
      <c r="IPM26" s="73"/>
      <c r="IPN26" s="73"/>
      <c r="IPO26" s="73"/>
      <c r="IPP26" s="73"/>
      <c r="IPQ26" s="73"/>
      <c r="IPR26" s="73"/>
      <c r="IPS26" s="73"/>
      <c r="IPT26" s="73"/>
      <c r="IPU26" s="73"/>
      <c r="IPV26" s="73"/>
      <c r="IPW26" s="73"/>
      <c r="IPX26" s="73"/>
      <c r="IPY26" s="73"/>
      <c r="IPZ26" s="73"/>
      <c r="IQA26" s="73"/>
      <c r="IQB26" s="73"/>
      <c r="IQC26" s="73"/>
      <c r="IQD26" s="73"/>
      <c r="IQE26" s="73"/>
      <c r="IQF26" s="73"/>
      <c r="IQG26" s="73"/>
      <c r="IQH26" s="73"/>
      <c r="IQI26" s="73"/>
      <c r="IQJ26" s="73"/>
      <c r="IQK26" s="73"/>
      <c r="IQL26" s="73"/>
      <c r="IQM26" s="73"/>
      <c r="IQN26" s="73"/>
      <c r="IQO26" s="73"/>
      <c r="IQP26" s="73"/>
      <c r="IQQ26" s="73"/>
      <c r="IQR26" s="73"/>
      <c r="IQS26" s="73"/>
      <c r="IQT26" s="73"/>
      <c r="IQU26" s="73"/>
      <c r="IQV26" s="73"/>
      <c r="IQW26" s="73"/>
      <c r="IQX26" s="73"/>
      <c r="IQY26" s="73"/>
      <c r="IQZ26" s="73"/>
      <c r="IRA26" s="73"/>
      <c r="IRB26" s="73"/>
      <c r="IRC26" s="73"/>
      <c r="IRD26" s="73"/>
      <c r="IRE26" s="73"/>
      <c r="IRF26" s="73"/>
      <c r="IRG26" s="73"/>
      <c r="IRH26" s="73"/>
      <c r="IRI26" s="73"/>
      <c r="IRJ26" s="73"/>
      <c r="IRK26" s="73"/>
      <c r="IRL26" s="73"/>
      <c r="IRM26" s="73"/>
      <c r="IRN26" s="73"/>
      <c r="IRO26" s="73"/>
      <c r="IRP26" s="73"/>
      <c r="IRQ26" s="73"/>
      <c r="IRR26" s="73"/>
      <c r="IRS26" s="73"/>
      <c r="IRT26" s="73"/>
      <c r="IRU26" s="73"/>
      <c r="IRV26" s="73"/>
      <c r="IRW26" s="73"/>
      <c r="IRX26" s="73"/>
      <c r="IRY26" s="73"/>
      <c r="IRZ26" s="73"/>
      <c r="ISA26" s="73"/>
      <c r="ISB26" s="73"/>
      <c r="ISC26" s="73"/>
      <c r="ISD26" s="73"/>
      <c r="ISE26" s="73"/>
      <c r="ISF26" s="73"/>
      <c r="ISG26" s="73"/>
      <c r="ISH26" s="73"/>
      <c r="ISI26" s="73"/>
      <c r="ISJ26" s="73"/>
      <c r="ISK26" s="73"/>
      <c r="ISL26" s="73"/>
      <c r="ISM26" s="73"/>
      <c r="ISN26" s="73"/>
      <c r="ISO26" s="73"/>
      <c r="ISP26" s="73"/>
      <c r="ISQ26" s="73"/>
      <c r="ISR26" s="73"/>
      <c r="ISS26" s="73"/>
      <c r="IST26" s="73"/>
      <c r="ISU26" s="73"/>
      <c r="ISV26" s="73"/>
      <c r="ISW26" s="73"/>
      <c r="ISX26" s="73"/>
      <c r="ISY26" s="73"/>
      <c r="ISZ26" s="73"/>
      <c r="ITA26" s="73"/>
      <c r="ITB26" s="73"/>
      <c r="ITC26" s="73"/>
      <c r="ITD26" s="73"/>
      <c r="ITE26" s="73"/>
      <c r="ITF26" s="73"/>
      <c r="ITG26" s="73"/>
      <c r="ITH26" s="73"/>
      <c r="ITI26" s="73"/>
      <c r="ITJ26" s="73"/>
      <c r="ITK26" s="73"/>
      <c r="ITL26" s="73"/>
      <c r="ITM26" s="73"/>
      <c r="ITN26" s="73"/>
      <c r="ITO26" s="73"/>
      <c r="ITP26" s="73"/>
      <c r="ITQ26" s="73"/>
      <c r="ITR26" s="73"/>
      <c r="ITS26" s="73"/>
      <c r="ITT26" s="73"/>
      <c r="ITU26" s="73"/>
      <c r="ITV26" s="73"/>
      <c r="ITW26" s="73"/>
      <c r="ITX26" s="73"/>
      <c r="ITY26" s="73"/>
      <c r="ITZ26" s="73"/>
      <c r="IUA26" s="73"/>
      <c r="IUB26" s="73"/>
      <c r="IUC26" s="73"/>
      <c r="IUD26" s="73"/>
      <c r="IUE26" s="73"/>
      <c r="IUF26" s="73"/>
      <c r="IUG26" s="73"/>
      <c r="IUH26" s="73"/>
      <c r="IUI26" s="73"/>
      <c r="IUJ26" s="73"/>
      <c r="IUK26" s="73"/>
      <c r="IUL26" s="73"/>
      <c r="IUM26" s="73"/>
      <c r="IUN26" s="73"/>
      <c r="IUO26" s="73"/>
      <c r="IUP26" s="73"/>
      <c r="IUQ26" s="73"/>
      <c r="IUR26" s="73"/>
      <c r="IUS26" s="73"/>
      <c r="IUT26" s="73"/>
      <c r="IUU26" s="73"/>
      <c r="IUV26" s="73"/>
      <c r="IUW26" s="73"/>
      <c r="IUX26" s="73"/>
      <c r="IUY26" s="73"/>
      <c r="IUZ26" s="73"/>
      <c r="IVA26" s="73"/>
      <c r="IVB26" s="73"/>
      <c r="IVC26" s="73"/>
      <c r="IVD26" s="73"/>
      <c r="IVE26" s="73"/>
      <c r="IVF26" s="73"/>
      <c r="IVG26" s="73"/>
      <c r="IVH26" s="73"/>
      <c r="IVI26" s="73"/>
      <c r="IVJ26" s="73"/>
      <c r="IVK26" s="73"/>
      <c r="IVL26" s="73"/>
      <c r="IVM26" s="73"/>
      <c r="IVN26" s="73"/>
      <c r="IVO26" s="73"/>
      <c r="IVP26" s="73"/>
      <c r="IVQ26" s="73"/>
      <c r="IVR26" s="73"/>
      <c r="IVS26" s="73"/>
      <c r="IVT26" s="73"/>
      <c r="IVU26" s="73"/>
      <c r="IVV26" s="73"/>
      <c r="IVW26" s="73"/>
      <c r="IVX26" s="73"/>
      <c r="IVY26" s="73"/>
      <c r="IVZ26" s="73"/>
      <c r="IWA26" s="73"/>
      <c r="IWB26" s="73"/>
      <c r="IWC26" s="73"/>
      <c r="IWD26" s="73"/>
      <c r="IWE26" s="73"/>
      <c r="IWF26" s="73"/>
      <c r="IWG26" s="73"/>
      <c r="IWH26" s="73"/>
      <c r="IWI26" s="73"/>
      <c r="IWJ26" s="73"/>
      <c r="IWK26" s="73"/>
      <c r="IWL26" s="73"/>
      <c r="IWM26" s="73"/>
      <c r="IWN26" s="73"/>
      <c r="IWO26" s="73"/>
      <c r="IWP26" s="73"/>
      <c r="IWQ26" s="73"/>
      <c r="IWR26" s="73"/>
      <c r="IWS26" s="73"/>
      <c r="IWT26" s="73"/>
      <c r="IWU26" s="73"/>
      <c r="IWV26" s="73"/>
      <c r="IWW26" s="73"/>
      <c r="IWX26" s="73"/>
      <c r="IWY26" s="73"/>
      <c r="IWZ26" s="73"/>
      <c r="IXA26" s="73"/>
      <c r="IXB26" s="73"/>
      <c r="IXC26" s="73"/>
      <c r="IXD26" s="73"/>
      <c r="IXE26" s="73"/>
      <c r="IXF26" s="73"/>
      <c r="IXG26" s="73"/>
      <c r="IXH26" s="73"/>
      <c r="IXI26" s="73"/>
      <c r="IXJ26" s="73"/>
      <c r="IXK26" s="73"/>
      <c r="IXL26" s="73"/>
      <c r="IXM26" s="73"/>
      <c r="IXN26" s="73"/>
      <c r="IXO26" s="73"/>
      <c r="IXP26" s="73"/>
      <c r="IXQ26" s="73"/>
      <c r="IXR26" s="73"/>
      <c r="IXS26" s="73"/>
      <c r="IXT26" s="73"/>
      <c r="IXU26" s="73"/>
      <c r="IXV26" s="73"/>
      <c r="IXW26" s="73"/>
      <c r="IXX26" s="73"/>
      <c r="IXY26" s="73"/>
      <c r="IXZ26" s="73"/>
      <c r="IYA26" s="73"/>
      <c r="IYB26" s="73"/>
      <c r="IYC26" s="73"/>
      <c r="IYD26" s="73"/>
      <c r="IYE26" s="73"/>
      <c r="IYF26" s="73"/>
      <c r="IYG26" s="73"/>
      <c r="IYH26" s="73"/>
      <c r="IYI26" s="73"/>
      <c r="IYJ26" s="73"/>
      <c r="IYK26" s="73"/>
      <c r="IYL26" s="73"/>
      <c r="IYM26" s="73"/>
      <c r="IYN26" s="73"/>
      <c r="IYO26" s="73"/>
      <c r="IYP26" s="73"/>
      <c r="IYQ26" s="73"/>
      <c r="IYR26" s="73"/>
      <c r="IYS26" s="73"/>
      <c r="IYT26" s="73"/>
      <c r="IYU26" s="73"/>
      <c r="IYV26" s="73"/>
      <c r="IYW26" s="73"/>
      <c r="IYX26" s="73"/>
      <c r="IYY26" s="73"/>
      <c r="IYZ26" s="73"/>
      <c r="IZA26" s="73"/>
      <c r="IZB26" s="73"/>
      <c r="IZC26" s="73"/>
      <c r="IZD26" s="73"/>
      <c r="IZE26" s="73"/>
      <c r="IZF26" s="73"/>
      <c r="IZG26" s="73"/>
      <c r="IZH26" s="73"/>
      <c r="IZI26" s="73"/>
      <c r="IZJ26" s="73"/>
      <c r="IZK26" s="73"/>
      <c r="IZL26" s="73"/>
      <c r="IZM26" s="73"/>
      <c r="IZN26" s="73"/>
      <c r="IZO26" s="73"/>
      <c r="IZP26" s="73"/>
      <c r="IZQ26" s="73"/>
      <c r="IZR26" s="73"/>
      <c r="IZS26" s="73"/>
      <c r="IZT26" s="73"/>
      <c r="IZU26" s="73"/>
      <c r="IZV26" s="73"/>
      <c r="IZW26" s="73"/>
      <c r="IZX26" s="73"/>
      <c r="IZY26" s="73"/>
      <c r="IZZ26" s="73"/>
      <c r="JAA26" s="73"/>
      <c r="JAB26" s="73"/>
      <c r="JAC26" s="73"/>
      <c r="JAD26" s="73"/>
      <c r="JAE26" s="73"/>
      <c r="JAF26" s="73"/>
      <c r="JAG26" s="73"/>
      <c r="JAH26" s="73"/>
      <c r="JAI26" s="73"/>
      <c r="JAJ26" s="73"/>
      <c r="JAK26" s="73"/>
      <c r="JAL26" s="73"/>
      <c r="JAM26" s="73"/>
      <c r="JAN26" s="73"/>
      <c r="JAO26" s="73"/>
      <c r="JAP26" s="73"/>
      <c r="JAQ26" s="73"/>
      <c r="JAR26" s="73"/>
      <c r="JAS26" s="73"/>
      <c r="JAT26" s="73"/>
      <c r="JAU26" s="73"/>
      <c r="JAV26" s="73"/>
      <c r="JAW26" s="73"/>
      <c r="JAX26" s="73"/>
      <c r="JAY26" s="73"/>
      <c r="JAZ26" s="73"/>
      <c r="JBA26" s="73"/>
      <c r="JBB26" s="73"/>
      <c r="JBC26" s="73"/>
      <c r="JBD26" s="73"/>
      <c r="JBE26" s="73"/>
      <c r="JBF26" s="73"/>
      <c r="JBG26" s="73"/>
      <c r="JBH26" s="73"/>
      <c r="JBI26" s="73"/>
      <c r="JBJ26" s="73"/>
      <c r="JBK26" s="73"/>
      <c r="JBL26" s="73"/>
      <c r="JBM26" s="73"/>
      <c r="JBN26" s="73"/>
      <c r="JBO26" s="73"/>
      <c r="JBP26" s="73"/>
      <c r="JBQ26" s="73"/>
      <c r="JBR26" s="73"/>
      <c r="JBS26" s="73"/>
      <c r="JBT26" s="73"/>
      <c r="JBU26" s="73"/>
      <c r="JBV26" s="73"/>
      <c r="JBW26" s="73"/>
      <c r="JBX26" s="73"/>
      <c r="JBY26" s="73"/>
      <c r="JBZ26" s="73"/>
      <c r="JCA26" s="73"/>
      <c r="JCB26" s="73"/>
      <c r="JCC26" s="73"/>
      <c r="JCD26" s="73"/>
      <c r="JCE26" s="73"/>
      <c r="JCF26" s="73"/>
      <c r="JCG26" s="73"/>
      <c r="JCH26" s="73"/>
      <c r="JCI26" s="73"/>
      <c r="JCJ26" s="73"/>
      <c r="JCK26" s="73"/>
      <c r="JCL26" s="73"/>
      <c r="JCM26" s="73"/>
      <c r="JCN26" s="73"/>
      <c r="JCO26" s="73"/>
      <c r="JCP26" s="73"/>
      <c r="JCQ26" s="73"/>
      <c r="JCR26" s="73"/>
      <c r="JCS26" s="73"/>
      <c r="JCT26" s="73"/>
      <c r="JCU26" s="73"/>
      <c r="JCV26" s="73"/>
      <c r="JCW26" s="73"/>
      <c r="JCX26" s="73"/>
      <c r="JCY26" s="73"/>
      <c r="JCZ26" s="73"/>
      <c r="JDA26" s="73"/>
      <c r="JDB26" s="73"/>
      <c r="JDC26" s="73"/>
      <c r="JDD26" s="73"/>
      <c r="JDE26" s="73"/>
      <c r="JDF26" s="73"/>
      <c r="JDG26" s="73"/>
      <c r="JDH26" s="73"/>
      <c r="JDI26" s="73"/>
      <c r="JDJ26" s="73"/>
      <c r="JDK26" s="73"/>
      <c r="JDL26" s="73"/>
      <c r="JDM26" s="73"/>
      <c r="JDN26" s="73"/>
      <c r="JDO26" s="73"/>
      <c r="JDP26" s="73"/>
      <c r="JDQ26" s="73"/>
      <c r="JDR26" s="73"/>
      <c r="JDS26" s="73"/>
      <c r="JDT26" s="73"/>
      <c r="JDU26" s="73"/>
      <c r="JDV26" s="73"/>
      <c r="JDW26" s="73"/>
      <c r="JDX26" s="73"/>
      <c r="JDY26" s="73"/>
      <c r="JDZ26" s="73"/>
      <c r="JEA26" s="73"/>
      <c r="JEB26" s="73"/>
      <c r="JEC26" s="73"/>
      <c r="JED26" s="73"/>
      <c r="JEE26" s="73"/>
      <c r="JEF26" s="73"/>
      <c r="JEG26" s="73"/>
      <c r="JEH26" s="73"/>
      <c r="JEI26" s="73"/>
      <c r="JEJ26" s="73"/>
      <c r="JEK26" s="73"/>
      <c r="JEL26" s="73"/>
      <c r="JEM26" s="73"/>
      <c r="JEN26" s="73"/>
      <c r="JEO26" s="73"/>
      <c r="JEP26" s="73"/>
      <c r="JEQ26" s="73"/>
      <c r="JER26" s="73"/>
      <c r="JES26" s="73"/>
      <c r="JET26" s="73"/>
      <c r="JEU26" s="73"/>
      <c r="JEV26" s="73"/>
      <c r="JEW26" s="73"/>
      <c r="JEX26" s="73"/>
      <c r="JEY26" s="73"/>
      <c r="JEZ26" s="73"/>
      <c r="JFA26" s="73"/>
      <c r="JFB26" s="73"/>
      <c r="JFC26" s="73"/>
      <c r="JFD26" s="73"/>
      <c r="JFE26" s="73"/>
      <c r="JFF26" s="73"/>
      <c r="JFG26" s="73"/>
      <c r="JFH26" s="73"/>
      <c r="JFI26" s="73"/>
      <c r="JFJ26" s="73"/>
      <c r="JFK26" s="73"/>
      <c r="JFL26" s="73"/>
      <c r="JFM26" s="73"/>
      <c r="JFN26" s="73"/>
      <c r="JFO26" s="73"/>
      <c r="JFP26" s="73"/>
      <c r="JFQ26" s="73"/>
      <c r="JFR26" s="73"/>
      <c r="JFS26" s="73"/>
      <c r="JFT26" s="73"/>
      <c r="JFU26" s="73"/>
      <c r="JFV26" s="73"/>
      <c r="JFW26" s="73"/>
      <c r="JFX26" s="73"/>
      <c r="JFY26" s="73"/>
      <c r="JFZ26" s="73"/>
      <c r="JGA26" s="73"/>
      <c r="JGB26" s="73"/>
      <c r="JGC26" s="73"/>
      <c r="JGD26" s="73"/>
      <c r="JGE26" s="73"/>
      <c r="JGF26" s="73"/>
      <c r="JGG26" s="73"/>
      <c r="JGH26" s="73"/>
      <c r="JGI26" s="73"/>
      <c r="JGJ26" s="73"/>
      <c r="JGK26" s="73"/>
      <c r="JGL26" s="73"/>
      <c r="JGM26" s="73"/>
      <c r="JGN26" s="73"/>
      <c r="JGO26" s="73"/>
      <c r="JGP26" s="73"/>
      <c r="JGQ26" s="73"/>
      <c r="JGR26" s="73"/>
      <c r="JGS26" s="73"/>
      <c r="JGT26" s="73"/>
      <c r="JGU26" s="73"/>
      <c r="JGV26" s="73"/>
      <c r="JGW26" s="73"/>
      <c r="JGX26" s="73"/>
      <c r="JGY26" s="73"/>
      <c r="JGZ26" s="73"/>
      <c r="JHA26" s="73"/>
      <c r="JHB26" s="73"/>
      <c r="JHC26" s="73"/>
      <c r="JHD26" s="73"/>
      <c r="JHE26" s="73"/>
      <c r="JHF26" s="73"/>
      <c r="JHG26" s="73"/>
      <c r="JHH26" s="73"/>
      <c r="JHI26" s="73"/>
      <c r="JHJ26" s="73"/>
      <c r="JHK26" s="73"/>
      <c r="JHL26" s="73"/>
      <c r="JHM26" s="73"/>
      <c r="JHN26" s="73"/>
      <c r="JHO26" s="73"/>
      <c r="JHP26" s="73"/>
      <c r="JHQ26" s="73"/>
      <c r="JHR26" s="73"/>
      <c r="JHS26" s="73"/>
      <c r="JHT26" s="73"/>
      <c r="JHU26" s="73"/>
      <c r="JHV26" s="73"/>
      <c r="JHW26" s="73"/>
      <c r="JHX26" s="73"/>
      <c r="JHY26" s="73"/>
      <c r="JHZ26" s="73"/>
      <c r="JIA26" s="73"/>
      <c r="JIB26" s="73"/>
      <c r="JIC26" s="73"/>
      <c r="JID26" s="73"/>
      <c r="JIE26" s="73"/>
      <c r="JIF26" s="73"/>
      <c r="JIG26" s="73"/>
      <c r="JIH26" s="73"/>
      <c r="JII26" s="73"/>
      <c r="JIJ26" s="73"/>
      <c r="JIK26" s="73"/>
      <c r="JIL26" s="73"/>
      <c r="JIM26" s="73"/>
      <c r="JIN26" s="73"/>
      <c r="JIO26" s="73"/>
      <c r="JIP26" s="73"/>
      <c r="JIQ26" s="73"/>
      <c r="JIR26" s="73"/>
      <c r="JIS26" s="73"/>
      <c r="JIT26" s="73"/>
      <c r="JIU26" s="73"/>
      <c r="JIV26" s="73"/>
      <c r="JIW26" s="73"/>
      <c r="JIX26" s="73"/>
      <c r="JIY26" s="73"/>
      <c r="JIZ26" s="73"/>
      <c r="JJA26" s="73"/>
      <c r="JJB26" s="73"/>
      <c r="JJC26" s="73"/>
      <c r="JJD26" s="73"/>
      <c r="JJE26" s="73"/>
      <c r="JJF26" s="73"/>
      <c r="JJG26" s="73"/>
      <c r="JJH26" s="73"/>
      <c r="JJI26" s="73"/>
      <c r="JJJ26" s="73"/>
      <c r="JJK26" s="73"/>
      <c r="JJL26" s="73"/>
      <c r="JJM26" s="73"/>
      <c r="JJN26" s="73"/>
      <c r="JJO26" s="73"/>
      <c r="JJP26" s="73"/>
      <c r="JJQ26" s="73"/>
      <c r="JJR26" s="73"/>
      <c r="JJS26" s="73"/>
      <c r="JJT26" s="73"/>
      <c r="JJU26" s="73"/>
      <c r="JJV26" s="73"/>
      <c r="JJW26" s="73"/>
      <c r="JJX26" s="73"/>
      <c r="JJY26" s="73"/>
      <c r="JJZ26" s="73"/>
      <c r="JKA26" s="73"/>
      <c r="JKB26" s="73"/>
      <c r="JKC26" s="73"/>
      <c r="JKD26" s="73"/>
      <c r="JKE26" s="73"/>
      <c r="JKF26" s="73"/>
      <c r="JKG26" s="73"/>
      <c r="JKH26" s="73"/>
      <c r="JKI26" s="73"/>
      <c r="JKJ26" s="73"/>
      <c r="JKK26" s="73"/>
      <c r="JKL26" s="73"/>
      <c r="JKM26" s="73"/>
      <c r="JKN26" s="73"/>
      <c r="JKO26" s="73"/>
      <c r="JKP26" s="73"/>
      <c r="JKQ26" s="73"/>
      <c r="JKR26" s="73"/>
      <c r="JKS26" s="73"/>
      <c r="JKT26" s="73"/>
      <c r="JKU26" s="73"/>
      <c r="JKV26" s="73"/>
      <c r="JKW26" s="73"/>
      <c r="JKX26" s="73"/>
      <c r="JKY26" s="73"/>
      <c r="JKZ26" s="73"/>
      <c r="JLA26" s="73"/>
      <c r="JLB26" s="73"/>
      <c r="JLC26" s="73"/>
      <c r="JLD26" s="73"/>
      <c r="JLE26" s="73"/>
      <c r="JLF26" s="73"/>
      <c r="JLG26" s="73"/>
      <c r="JLH26" s="73"/>
      <c r="JLI26" s="73"/>
      <c r="JLJ26" s="73"/>
      <c r="JLK26" s="73"/>
      <c r="JLL26" s="73"/>
      <c r="JLM26" s="73"/>
      <c r="JLN26" s="73"/>
      <c r="JLO26" s="73"/>
      <c r="JLP26" s="73"/>
      <c r="JLQ26" s="73"/>
      <c r="JLR26" s="73"/>
      <c r="JLS26" s="73"/>
      <c r="JLT26" s="73"/>
      <c r="JLU26" s="73"/>
      <c r="JLV26" s="73"/>
      <c r="JLW26" s="73"/>
      <c r="JLX26" s="73"/>
      <c r="JLY26" s="73"/>
      <c r="JLZ26" s="73"/>
      <c r="JMA26" s="73"/>
      <c r="JMB26" s="73"/>
      <c r="JMC26" s="73"/>
      <c r="JMD26" s="73"/>
      <c r="JME26" s="73"/>
      <c r="JMF26" s="73"/>
      <c r="JMG26" s="73"/>
      <c r="JMH26" s="73"/>
      <c r="JMI26" s="73"/>
      <c r="JMJ26" s="73"/>
      <c r="JMK26" s="73"/>
      <c r="JML26" s="73"/>
      <c r="JMM26" s="73"/>
      <c r="JMN26" s="73"/>
      <c r="JMO26" s="73"/>
      <c r="JMP26" s="73"/>
      <c r="JMQ26" s="73"/>
      <c r="JMR26" s="73"/>
      <c r="JMS26" s="73"/>
      <c r="JMT26" s="73"/>
      <c r="JMU26" s="73"/>
      <c r="JMV26" s="73"/>
      <c r="JMW26" s="73"/>
      <c r="JMX26" s="73"/>
      <c r="JMY26" s="73"/>
      <c r="JMZ26" s="73"/>
      <c r="JNA26" s="73"/>
      <c r="JNB26" s="73"/>
      <c r="JNC26" s="73"/>
      <c r="JND26" s="73"/>
      <c r="JNE26" s="73"/>
      <c r="JNF26" s="73"/>
      <c r="JNG26" s="73"/>
      <c r="JNH26" s="73"/>
      <c r="JNI26" s="73"/>
      <c r="JNJ26" s="73"/>
      <c r="JNK26" s="73"/>
      <c r="JNL26" s="73"/>
      <c r="JNM26" s="73"/>
      <c r="JNN26" s="73"/>
      <c r="JNO26" s="73"/>
      <c r="JNP26" s="73"/>
      <c r="JNQ26" s="73"/>
      <c r="JNR26" s="73"/>
      <c r="JNS26" s="73"/>
      <c r="JNT26" s="73"/>
      <c r="JNU26" s="73"/>
      <c r="JNV26" s="73"/>
      <c r="JNW26" s="73"/>
      <c r="JNX26" s="73"/>
      <c r="JNY26" s="73"/>
      <c r="JNZ26" s="73"/>
      <c r="JOA26" s="73"/>
      <c r="JOB26" s="73"/>
      <c r="JOC26" s="73"/>
      <c r="JOD26" s="73"/>
      <c r="JOE26" s="73"/>
      <c r="JOF26" s="73"/>
      <c r="JOG26" s="73"/>
      <c r="JOH26" s="73"/>
      <c r="JOI26" s="73"/>
      <c r="JOJ26" s="73"/>
      <c r="JOK26" s="73"/>
      <c r="JOL26" s="73"/>
      <c r="JOM26" s="73"/>
      <c r="JON26" s="73"/>
      <c r="JOO26" s="73"/>
      <c r="JOP26" s="73"/>
      <c r="JOQ26" s="73"/>
      <c r="JOR26" s="73"/>
      <c r="JOS26" s="73"/>
      <c r="JOT26" s="73"/>
      <c r="JOU26" s="73"/>
      <c r="JOV26" s="73"/>
      <c r="JOW26" s="73"/>
      <c r="JOX26" s="73"/>
      <c r="JOY26" s="73"/>
      <c r="JOZ26" s="73"/>
      <c r="JPA26" s="73"/>
      <c r="JPB26" s="73"/>
      <c r="JPC26" s="73"/>
      <c r="JPD26" s="73"/>
      <c r="JPE26" s="73"/>
      <c r="JPF26" s="73"/>
      <c r="JPG26" s="73"/>
      <c r="JPH26" s="73"/>
      <c r="JPI26" s="73"/>
      <c r="JPJ26" s="73"/>
      <c r="JPK26" s="73"/>
      <c r="JPL26" s="73"/>
      <c r="JPM26" s="73"/>
      <c r="JPN26" s="73"/>
      <c r="JPO26" s="73"/>
      <c r="JPP26" s="73"/>
      <c r="JPQ26" s="73"/>
      <c r="JPR26" s="73"/>
      <c r="JPS26" s="73"/>
      <c r="JPT26" s="73"/>
      <c r="JPU26" s="73"/>
      <c r="JPV26" s="73"/>
      <c r="JPW26" s="73"/>
      <c r="JPX26" s="73"/>
      <c r="JPY26" s="73"/>
      <c r="JPZ26" s="73"/>
      <c r="JQA26" s="73"/>
      <c r="JQB26" s="73"/>
      <c r="JQC26" s="73"/>
      <c r="JQD26" s="73"/>
      <c r="JQE26" s="73"/>
      <c r="JQF26" s="73"/>
      <c r="JQG26" s="73"/>
      <c r="JQH26" s="73"/>
      <c r="JQI26" s="73"/>
      <c r="JQJ26" s="73"/>
      <c r="JQK26" s="73"/>
      <c r="JQL26" s="73"/>
      <c r="JQM26" s="73"/>
      <c r="JQN26" s="73"/>
      <c r="JQO26" s="73"/>
      <c r="JQP26" s="73"/>
      <c r="JQQ26" s="73"/>
      <c r="JQR26" s="73"/>
      <c r="JQS26" s="73"/>
      <c r="JQT26" s="73"/>
      <c r="JQU26" s="73"/>
      <c r="JQV26" s="73"/>
      <c r="JQW26" s="73"/>
      <c r="JQX26" s="73"/>
      <c r="JQY26" s="73"/>
      <c r="JQZ26" s="73"/>
      <c r="JRA26" s="73"/>
      <c r="JRB26" s="73"/>
      <c r="JRC26" s="73"/>
      <c r="JRD26" s="73"/>
      <c r="JRE26" s="73"/>
      <c r="JRF26" s="73"/>
      <c r="JRG26" s="73"/>
      <c r="JRH26" s="73"/>
      <c r="JRI26" s="73"/>
      <c r="JRJ26" s="73"/>
      <c r="JRK26" s="73"/>
      <c r="JRL26" s="73"/>
      <c r="JRM26" s="73"/>
      <c r="JRN26" s="73"/>
      <c r="JRO26" s="73"/>
      <c r="JRP26" s="73"/>
      <c r="JRQ26" s="73"/>
      <c r="JRR26" s="73"/>
      <c r="JRS26" s="73"/>
      <c r="JRT26" s="73"/>
      <c r="JRU26" s="73"/>
      <c r="JRV26" s="73"/>
      <c r="JRW26" s="73"/>
      <c r="JRX26" s="73"/>
      <c r="JRY26" s="73"/>
      <c r="JRZ26" s="73"/>
      <c r="JSA26" s="73"/>
      <c r="JSB26" s="73"/>
      <c r="JSC26" s="73"/>
      <c r="JSD26" s="73"/>
      <c r="JSE26" s="73"/>
      <c r="JSF26" s="73"/>
      <c r="JSG26" s="73"/>
      <c r="JSH26" s="73"/>
      <c r="JSI26" s="73"/>
      <c r="JSJ26" s="73"/>
      <c r="JSK26" s="73"/>
      <c r="JSL26" s="73"/>
      <c r="JSM26" s="73"/>
      <c r="JSN26" s="73"/>
      <c r="JSO26" s="73"/>
      <c r="JSP26" s="73"/>
      <c r="JSQ26" s="73"/>
      <c r="JSR26" s="73"/>
      <c r="JSS26" s="73"/>
      <c r="JST26" s="73"/>
      <c r="JSU26" s="73"/>
      <c r="JSV26" s="73"/>
      <c r="JSW26" s="73"/>
      <c r="JSX26" s="73"/>
      <c r="JSY26" s="73"/>
      <c r="JSZ26" s="73"/>
      <c r="JTA26" s="73"/>
      <c r="JTB26" s="73"/>
      <c r="JTC26" s="73"/>
      <c r="JTD26" s="73"/>
      <c r="JTE26" s="73"/>
      <c r="JTF26" s="73"/>
      <c r="JTG26" s="73"/>
      <c r="JTH26" s="73"/>
      <c r="JTI26" s="73"/>
      <c r="JTJ26" s="73"/>
      <c r="JTK26" s="73"/>
      <c r="JTL26" s="73"/>
      <c r="JTM26" s="73"/>
      <c r="JTN26" s="73"/>
      <c r="JTO26" s="73"/>
      <c r="JTP26" s="73"/>
      <c r="JTQ26" s="73"/>
      <c r="JTR26" s="73"/>
      <c r="JTS26" s="73"/>
      <c r="JTT26" s="73"/>
      <c r="JTU26" s="73"/>
      <c r="JTV26" s="73"/>
      <c r="JTW26" s="73"/>
      <c r="JTX26" s="73"/>
      <c r="JTY26" s="73"/>
      <c r="JTZ26" s="73"/>
      <c r="JUA26" s="73"/>
      <c r="JUB26" s="73"/>
      <c r="JUC26" s="73"/>
      <c r="JUD26" s="73"/>
      <c r="JUE26" s="73"/>
      <c r="JUF26" s="73"/>
      <c r="JUG26" s="73"/>
      <c r="JUH26" s="73"/>
      <c r="JUI26" s="73"/>
      <c r="JUJ26" s="73"/>
      <c r="JUK26" s="73"/>
      <c r="JUL26" s="73"/>
      <c r="JUM26" s="73"/>
      <c r="JUN26" s="73"/>
      <c r="JUO26" s="73"/>
      <c r="JUP26" s="73"/>
      <c r="JUQ26" s="73"/>
      <c r="JUR26" s="73"/>
      <c r="JUS26" s="73"/>
      <c r="JUT26" s="73"/>
      <c r="JUU26" s="73"/>
      <c r="JUV26" s="73"/>
      <c r="JUW26" s="73"/>
      <c r="JUX26" s="73"/>
      <c r="JUY26" s="73"/>
      <c r="JUZ26" s="73"/>
      <c r="JVA26" s="73"/>
      <c r="JVB26" s="73"/>
      <c r="JVC26" s="73"/>
      <c r="JVD26" s="73"/>
      <c r="JVE26" s="73"/>
      <c r="JVF26" s="73"/>
      <c r="JVG26" s="73"/>
      <c r="JVH26" s="73"/>
      <c r="JVI26" s="73"/>
      <c r="JVJ26" s="73"/>
      <c r="JVK26" s="73"/>
      <c r="JVL26" s="73"/>
      <c r="JVM26" s="73"/>
      <c r="JVN26" s="73"/>
      <c r="JVO26" s="73"/>
      <c r="JVP26" s="73"/>
      <c r="JVQ26" s="73"/>
      <c r="JVR26" s="73"/>
      <c r="JVS26" s="73"/>
      <c r="JVT26" s="73"/>
      <c r="JVU26" s="73"/>
      <c r="JVV26" s="73"/>
      <c r="JVW26" s="73"/>
      <c r="JVX26" s="73"/>
      <c r="JVY26" s="73"/>
      <c r="JVZ26" s="73"/>
      <c r="JWA26" s="73"/>
      <c r="JWB26" s="73"/>
      <c r="JWC26" s="73"/>
      <c r="JWD26" s="73"/>
      <c r="JWE26" s="73"/>
      <c r="JWF26" s="73"/>
      <c r="JWG26" s="73"/>
      <c r="JWH26" s="73"/>
      <c r="JWI26" s="73"/>
      <c r="JWJ26" s="73"/>
      <c r="JWK26" s="73"/>
      <c r="JWL26" s="73"/>
      <c r="JWM26" s="73"/>
      <c r="JWN26" s="73"/>
      <c r="JWO26" s="73"/>
      <c r="JWP26" s="73"/>
      <c r="JWQ26" s="73"/>
      <c r="JWR26" s="73"/>
      <c r="JWS26" s="73"/>
      <c r="JWT26" s="73"/>
      <c r="JWU26" s="73"/>
      <c r="JWV26" s="73"/>
      <c r="JWW26" s="73"/>
      <c r="JWX26" s="73"/>
      <c r="JWY26" s="73"/>
      <c r="JWZ26" s="73"/>
      <c r="JXA26" s="73"/>
      <c r="JXB26" s="73"/>
      <c r="JXC26" s="73"/>
      <c r="JXD26" s="73"/>
      <c r="JXE26" s="73"/>
      <c r="JXF26" s="73"/>
      <c r="JXG26" s="73"/>
      <c r="JXH26" s="73"/>
      <c r="JXI26" s="73"/>
      <c r="JXJ26" s="73"/>
      <c r="JXK26" s="73"/>
      <c r="JXL26" s="73"/>
      <c r="JXM26" s="73"/>
      <c r="JXN26" s="73"/>
      <c r="JXO26" s="73"/>
      <c r="JXP26" s="73"/>
      <c r="JXQ26" s="73"/>
      <c r="JXR26" s="73"/>
      <c r="JXS26" s="73"/>
      <c r="JXT26" s="73"/>
      <c r="JXU26" s="73"/>
      <c r="JXV26" s="73"/>
      <c r="JXW26" s="73"/>
      <c r="JXX26" s="73"/>
      <c r="JXY26" s="73"/>
      <c r="JXZ26" s="73"/>
      <c r="JYA26" s="73"/>
      <c r="JYB26" s="73"/>
      <c r="JYC26" s="73"/>
      <c r="JYD26" s="73"/>
      <c r="JYE26" s="73"/>
      <c r="JYF26" s="73"/>
      <c r="JYG26" s="73"/>
      <c r="JYH26" s="73"/>
      <c r="JYI26" s="73"/>
      <c r="JYJ26" s="73"/>
      <c r="JYK26" s="73"/>
      <c r="JYL26" s="73"/>
      <c r="JYM26" s="73"/>
      <c r="JYN26" s="73"/>
      <c r="JYO26" s="73"/>
      <c r="JYP26" s="73"/>
      <c r="JYQ26" s="73"/>
      <c r="JYR26" s="73"/>
      <c r="JYS26" s="73"/>
      <c r="JYT26" s="73"/>
      <c r="JYU26" s="73"/>
      <c r="JYV26" s="73"/>
      <c r="JYW26" s="73"/>
      <c r="JYX26" s="73"/>
      <c r="JYY26" s="73"/>
      <c r="JYZ26" s="73"/>
      <c r="JZA26" s="73"/>
      <c r="JZB26" s="73"/>
      <c r="JZC26" s="73"/>
      <c r="JZD26" s="73"/>
      <c r="JZE26" s="73"/>
      <c r="JZF26" s="73"/>
      <c r="JZG26" s="73"/>
      <c r="JZH26" s="73"/>
      <c r="JZI26" s="73"/>
      <c r="JZJ26" s="73"/>
      <c r="JZK26" s="73"/>
      <c r="JZL26" s="73"/>
      <c r="JZM26" s="73"/>
      <c r="JZN26" s="73"/>
      <c r="JZO26" s="73"/>
      <c r="JZP26" s="73"/>
      <c r="JZQ26" s="73"/>
      <c r="JZR26" s="73"/>
      <c r="JZS26" s="73"/>
      <c r="JZT26" s="73"/>
      <c r="JZU26" s="73"/>
      <c r="JZV26" s="73"/>
      <c r="JZW26" s="73"/>
      <c r="JZX26" s="73"/>
      <c r="JZY26" s="73"/>
      <c r="JZZ26" s="73"/>
      <c r="KAA26" s="73"/>
      <c r="KAB26" s="73"/>
      <c r="KAC26" s="73"/>
      <c r="KAD26" s="73"/>
      <c r="KAE26" s="73"/>
      <c r="KAF26" s="73"/>
      <c r="KAG26" s="73"/>
      <c r="KAH26" s="73"/>
      <c r="KAI26" s="73"/>
      <c r="KAJ26" s="73"/>
      <c r="KAK26" s="73"/>
      <c r="KAL26" s="73"/>
      <c r="KAM26" s="73"/>
      <c r="KAN26" s="73"/>
      <c r="KAO26" s="73"/>
      <c r="KAP26" s="73"/>
      <c r="KAQ26" s="73"/>
      <c r="KAR26" s="73"/>
      <c r="KAS26" s="73"/>
      <c r="KAT26" s="73"/>
      <c r="KAU26" s="73"/>
      <c r="KAV26" s="73"/>
      <c r="KAW26" s="73"/>
      <c r="KAX26" s="73"/>
      <c r="KAY26" s="73"/>
      <c r="KAZ26" s="73"/>
      <c r="KBA26" s="73"/>
      <c r="KBB26" s="73"/>
      <c r="KBC26" s="73"/>
      <c r="KBD26" s="73"/>
      <c r="KBE26" s="73"/>
      <c r="KBF26" s="73"/>
      <c r="KBG26" s="73"/>
      <c r="KBH26" s="73"/>
      <c r="KBI26" s="73"/>
      <c r="KBJ26" s="73"/>
      <c r="KBK26" s="73"/>
      <c r="KBL26" s="73"/>
      <c r="KBM26" s="73"/>
      <c r="KBN26" s="73"/>
      <c r="KBO26" s="73"/>
      <c r="KBP26" s="73"/>
      <c r="KBQ26" s="73"/>
      <c r="KBR26" s="73"/>
      <c r="KBS26" s="73"/>
      <c r="KBT26" s="73"/>
      <c r="KBU26" s="73"/>
      <c r="KBV26" s="73"/>
      <c r="KBW26" s="73"/>
      <c r="KBX26" s="73"/>
      <c r="KBY26" s="73"/>
      <c r="KBZ26" s="73"/>
      <c r="KCA26" s="73"/>
      <c r="KCB26" s="73"/>
      <c r="KCC26" s="73"/>
      <c r="KCD26" s="73"/>
      <c r="KCE26" s="73"/>
      <c r="KCF26" s="73"/>
      <c r="KCG26" s="73"/>
      <c r="KCH26" s="73"/>
      <c r="KCI26" s="73"/>
      <c r="KCJ26" s="73"/>
      <c r="KCK26" s="73"/>
      <c r="KCL26" s="73"/>
      <c r="KCM26" s="73"/>
      <c r="KCN26" s="73"/>
      <c r="KCO26" s="73"/>
      <c r="KCP26" s="73"/>
      <c r="KCQ26" s="73"/>
      <c r="KCR26" s="73"/>
      <c r="KCS26" s="73"/>
      <c r="KCT26" s="73"/>
      <c r="KCU26" s="73"/>
      <c r="KCV26" s="73"/>
      <c r="KCW26" s="73"/>
      <c r="KCX26" s="73"/>
      <c r="KCY26" s="73"/>
      <c r="KCZ26" s="73"/>
      <c r="KDA26" s="73"/>
      <c r="KDB26" s="73"/>
      <c r="KDC26" s="73"/>
      <c r="KDD26" s="73"/>
      <c r="KDE26" s="73"/>
      <c r="KDF26" s="73"/>
      <c r="KDG26" s="73"/>
      <c r="KDH26" s="73"/>
      <c r="KDI26" s="73"/>
      <c r="KDJ26" s="73"/>
      <c r="KDK26" s="73"/>
      <c r="KDL26" s="73"/>
      <c r="KDM26" s="73"/>
      <c r="KDN26" s="73"/>
      <c r="KDO26" s="73"/>
      <c r="KDP26" s="73"/>
      <c r="KDQ26" s="73"/>
      <c r="KDR26" s="73"/>
      <c r="KDS26" s="73"/>
      <c r="KDT26" s="73"/>
      <c r="KDU26" s="73"/>
      <c r="KDV26" s="73"/>
      <c r="KDW26" s="73"/>
      <c r="KDX26" s="73"/>
      <c r="KDY26" s="73"/>
      <c r="KDZ26" s="73"/>
      <c r="KEA26" s="73"/>
      <c r="KEB26" s="73"/>
      <c r="KEC26" s="73"/>
      <c r="KED26" s="73"/>
      <c r="KEE26" s="73"/>
      <c r="KEF26" s="73"/>
      <c r="KEG26" s="73"/>
      <c r="KEH26" s="73"/>
      <c r="KEI26" s="73"/>
      <c r="KEJ26" s="73"/>
      <c r="KEK26" s="73"/>
      <c r="KEL26" s="73"/>
      <c r="KEM26" s="73"/>
      <c r="KEN26" s="73"/>
      <c r="KEO26" s="73"/>
      <c r="KEP26" s="73"/>
      <c r="KEQ26" s="73"/>
      <c r="KER26" s="73"/>
      <c r="KES26" s="73"/>
      <c r="KET26" s="73"/>
      <c r="KEU26" s="73"/>
      <c r="KEV26" s="73"/>
      <c r="KEW26" s="73"/>
      <c r="KEX26" s="73"/>
      <c r="KEY26" s="73"/>
      <c r="KEZ26" s="73"/>
      <c r="KFA26" s="73"/>
      <c r="KFB26" s="73"/>
      <c r="KFC26" s="73"/>
      <c r="KFD26" s="73"/>
      <c r="KFE26" s="73"/>
      <c r="KFF26" s="73"/>
      <c r="KFG26" s="73"/>
      <c r="KFH26" s="73"/>
      <c r="KFI26" s="73"/>
      <c r="KFJ26" s="73"/>
      <c r="KFK26" s="73"/>
      <c r="KFL26" s="73"/>
      <c r="KFM26" s="73"/>
      <c r="KFN26" s="73"/>
      <c r="KFO26" s="73"/>
      <c r="KFP26" s="73"/>
      <c r="KFQ26" s="73"/>
      <c r="KFR26" s="73"/>
      <c r="KFS26" s="73"/>
      <c r="KFT26" s="73"/>
      <c r="KFU26" s="73"/>
      <c r="KFV26" s="73"/>
      <c r="KFW26" s="73"/>
      <c r="KFX26" s="73"/>
      <c r="KFY26" s="73"/>
      <c r="KFZ26" s="73"/>
      <c r="KGA26" s="73"/>
      <c r="KGB26" s="73"/>
      <c r="KGC26" s="73"/>
      <c r="KGD26" s="73"/>
      <c r="KGE26" s="73"/>
      <c r="KGF26" s="73"/>
      <c r="KGG26" s="73"/>
      <c r="KGH26" s="73"/>
      <c r="KGI26" s="73"/>
      <c r="KGJ26" s="73"/>
      <c r="KGK26" s="73"/>
      <c r="KGL26" s="73"/>
      <c r="KGM26" s="73"/>
      <c r="KGN26" s="73"/>
      <c r="KGO26" s="73"/>
      <c r="KGP26" s="73"/>
      <c r="KGQ26" s="73"/>
      <c r="KGR26" s="73"/>
      <c r="KGS26" s="73"/>
      <c r="KGT26" s="73"/>
      <c r="KGU26" s="73"/>
      <c r="KGV26" s="73"/>
      <c r="KGW26" s="73"/>
      <c r="KGX26" s="73"/>
      <c r="KGY26" s="73"/>
      <c r="KGZ26" s="73"/>
      <c r="KHA26" s="73"/>
      <c r="KHB26" s="73"/>
      <c r="KHC26" s="73"/>
      <c r="KHD26" s="73"/>
      <c r="KHE26" s="73"/>
      <c r="KHF26" s="73"/>
      <c r="KHG26" s="73"/>
      <c r="KHH26" s="73"/>
      <c r="KHI26" s="73"/>
      <c r="KHJ26" s="73"/>
      <c r="KHK26" s="73"/>
      <c r="KHL26" s="73"/>
      <c r="KHM26" s="73"/>
      <c r="KHN26" s="73"/>
      <c r="KHO26" s="73"/>
      <c r="KHP26" s="73"/>
      <c r="KHQ26" s="73"/>
      <c r="KHR26" s="73"/>
      <c r="KHS26" s="73"/>
      <c r="KHT26" s="73"/>
      <c r="KHU26" s="73"/>
      <c r="KHV26" s="73"/>
      <c r="KHW26" s="73"/>
      <c r="KHX26" s="73"/>
      <c r="KHY26" s="73"/>
      <c r="KHZ26" s="73"/>
      <c r="KIA26" s="73"/>
      <c r="KIB26" s="73"/>
      <c r="KIC26" s="73"/>
      <c r="KID26" s="73"/>
      <c r="KIE26" s="73"/>
      <c r="KIF26" s="73"/>
      <c r="KIG26" s="73"/>
      <c r="KIH26" s="73"/>
      <c r="KII26" s="73"/>
      <c r="KIJ26" s="73"/>
      <c r="KIK26" s="73"/>
      <c r="KIL26" s="73"/>
      <c r="KIM26" s="73"/>
      <c r="KIN26" s="73"/>
      <c r="KIO26" s="73"/>
      <c r="KIP26" s="73"/>
      <c r="KIQ26" s="73"/>
      <c r="KIR26" s="73"/>
      <c r="KIS26" s="73"/>
      <c r="KIT26" s="73"/>
      <c r="KIU26" s="73"/>
      <c r="KIV26" s="73"/>
      <c r="KIW26" s="73"/>
      <c r="KIX26" s="73"/>
      <c r="KIY26" s="73"/>
      <c r="KIZ26" s="73"/>
      <c r="KJA26" s="73"/>
      <c r="KJB26" s="73"/>
      <c r="KJC26" s="73"/>
      <c r="KJD26" s="73"/>
      <c r="KJE26" s="73"/>
      <c r="KJF26" s="73"/>
      <c r="KJG26" s="73"/>
      <c r="KJH26" s="73"/>
      <c r="KJI26" s="73"/>
      <c r="KJJ26" s="73"/>
      <c r="KJK26" s="73"/>
      <c r="KJL26" s="73"/>
      <c r="KJM26" s="73"/>
      <c r="KJN26" s="73"/>
      <c r="KJO26" s="73"/>
      <c r="KJP26" s="73"/>
      <c r="KJQ26" s="73"/>
      <c r="KJR26" s="73"/>
      <c r="KJS26" s="73"/>
      <c r="KJT26" s="73"/>
      <c r="KJU26" s="73"/>
      <c r="KJV26" s="73"/>
      <c r="KJW26" s="73"/>
      <c r="KJX26" s="73"/>
      <c r="KJY26" s="73"/>
      <c r="KJZ26" s="73"/>
      <c r="KKA26" s="73"/>
      <c r="KKB26" s="73"/>
      <c r="KKC26" s="73"/>
      <c r="KKD26" s="73"/>
      <c r="KKE26" s="73"/>
      <c r="KKF26" s="73"/>
      <c r="KKG26" s="73"/>
      <c r="KKH26" s="73"/>
      <c r="KKI26" s="73"/>
      <c r="KKJ26" s="73"/>
      <c r="KKK26" s="73"/>
      <c r="KKL26" s="73"/>
      <c r="KKM26" s="73"/>
      <c r="KKN26" s="73"/>
      <c r="KKO26" s="73"/>
      <c r="KKP26" s="73"/>
      <c r="KKQ26" s="73"/>
      <c r="KKR26" s="73"/>
      <c r="KKS26" s="73"/>
      <c r="KKT26" s="73"/>
      <c r="KKU26" s="73"/>
      <c r="KKV26" s="73"/>
      <c r="KKW26" s="73"/>
      <c r="KKX26" s="73"/>
      <c r="KKY26" s="73"/>
      <c r="KKZ26" s="73"/>
      <c r="KLA26" s="73"/>
      <c r="KLB26" s="73"/>
      <c r="KLC26" s="73"/>
      <c r="KLD26" s="73"/>
      <c r="KLE26" s="73"/>
      <c r="KLF26" s="73"/>
      <c r="KLG26" s="73"/>
      <c r="KLH26" s="73"/>
      <c r="KLI26" s="73"/>
      <c r="KLJ26" s="73"/>
      <c r="KLK26" s="73"/>
      <c r="KLL26" s="73"/>
      <c r="KLM26" s="73"/>
      <c r="KLN26" s="73"/>
      <c r="KLO26" s="73"/>
      <c r="KLP26" s="73"/>
      <c r="KLQ26" s="73"/>
      <c r="KLR26" s="73"/>
      <c r="KLS26" s="73"/>
      <c r="KLT26" s="73"/>
      <c r="KLU26" s="73"/>
      <c r="KLV26" s="73"/>
      <c r="KLW26" s="73"/>
      <c r="KLX26" s="73"/>
      <c r="KLY26" s="73"/>
      <c r="KLZ26" s="73"/>
      <c r="KMA26" s="73"/>
      <c r="KMB26" s="73"/>
      <c r="KMC26" s="73"/>
      <c r="KMD26" s="73"/>
      <c r="KME26" s="73"/>
      <c r="KMF26" s="73"/>
      <c r="KMG26" s="73"/>
      <c r="KMH26" s="73"/>
      <c r="KMI26" s="73"/>
      <c r="KMJ26" s="73"/>
      <c r="KMK26" s="73"/>
      <c r="KML26" s="73"/>
      <c r="KMM26" s="73"/>
      <c r="KMN26" s="73"/>
      <c r="KMO26" s="73"/>
      <c r="KMP26" s="73"/>
      <c r="KMQ26" s="73"/>
      <c r="KMR26" s="73"/>
      <c r="KMS26" s="73"/>
      <c r="KMT26" s="73"/>
      <c r="KMU26" s="73"/>
      <c r="KMV26" s="73"/>
      <c r="KMW26" s="73"/>
      <c r="KMX26" s="73"/>
      <c r="KMY26" s="73"/>
      <c r="KMZ26" s="73"/>
      <c r="KNA26" s="73"/>
      <c r="KNB26" s="73"/>
      <c r="KNC26" s="73"/>
      <c r="KND26" s="73"/>
      <c r="KNE26" s="73"/>
      <c r="KNF26" s="73"/>
      <c r="KNG26" s="73"/>
      <c r="KNH26" s="73"/>
      <c r="KNI26" s="73"/>
      <c r="KNJ26" s="73"/>
      <c r="KNK26" s="73"/>
      <c r="KNL26" s="73"/>
      <c r="KNM26" s="73"/>
      <c r="KNN26" s="73"/>
      <c r="KNO26" s="73"/>
      <c r="KNP26" s="73"/>
      <c r="KNQ26" s="73"/>
      <c r="KNR26" s="73"/>
      <c r="KNS26" s="73"/>
      <c r="KNT26" s="73"/>
      <c r="KNU26" s="73"/>
      <c r="KNV26" s="73"/>
      <c r="KNW26" s="73"/>
      <c r="KNX26" s="73"/>
      <c r="KNY26" s="73"/>
      <c r="KNZ26" s="73"/>
      <c r="KOA26" s="73"/>
      <c r="KOB26" s="73"/>
      <c r="KOC26" s="73"/>
      <c r="KOD26" s="73"/>
      <c r="KOE26" s="73"/>
      <c r="KOF26" s="73"/>
      <c r="KOG26" s="73"/>
      <c r="KOH26" s="73"/>
      <c r="KOI26" s="73"/>
      <c r="KOJ26" s="73"/>
      <c r="KOK26" s="73"/>
      <c r="KOL26" s="73"/>
      <c r="KOM26" s="73"/>
      <c r="KON26" s="73"/>
      <c r="KOO26" s="73"/>
      <c r="KOP26" s="73"/>
      <c r="KOQ26" s="73"/>
      <c r="KOR26" s="73"/>
      <c r="KOS26" s="73"/>
      <c r="KOT26" s="73"/>
      <c r="KOU26" s="73"/>
      <c r="KOV26" s="73"/>
      <c r="KOW26" s="73"/>
      <c r="KOX26" s="73"/>
      <c r="KOY26" s="73"/>
      <c r="KOZ26" s="73"/>
      <c r="KPA26" s="73"/>
      <c r="KPB26" s="73"/>
      <c r="KPC26" s="73"/>
      <c r="KPD26" s="73"/>
      <c r="KPE26" s="73"/>
      <c r="KPF26" s="73"/>
      <c r="KPG26" s="73"/>
      <c r="KPH26" s="73"/>
      <c r="KPI26" s="73"/>
      <c r="KPJ26" s="73"/>
      <c r="KPK26" s="73"/>
      <c r="KPL26" s="73"/>
      <c r="KPM26" s="73"/>
      <c r="KPN26" s="73"/>
      <c r="KPO26" s="73"/>
      <c r="KPP26" s="73"/>
      <c r="KPQ26" s="73"/>
      <c r="KPR26" s="73"/>
      <c r="KPS26" s="73"/>
      <c r="KPT26" s="73"/>
      <c r="KPU26" s="73"/>
      <c r="KPV26" s="73"/>
      <c r="KPW26" s="73"/>
      <c r="KPX26" s="73"/>
      <c r="KPY26" s="73"/>
      <c r="KPZ26" s="73"/>
      <c r="KQA26" s="73"/>
      <c r="KQB26" s="73"/>
      <c r="KQC26" s="73"/>
      <c r="KQD26" s="73"/>
      <c r="KQE26" s="73"/>
      <c r="KQF26" s="73"/>
      <c r="KQG26" s="73"/>
      <c r="KQH26" s="73"/>
      <c r="KQI26" s="73"/>
      <c r="KQJ26" s="73"/>
      <c r="KQK26" s="73"/>
      <c r="KQL26" s="73"/>
      <c r="KQM26" s="73"/>
      <c r="KQN26" s="73"/>
      <c r="KQO26" s="73"/>
      <c r="KQP26" s="73"/>
      <c r="KQQ26" s="73"/>
      <c r="KQR26" s="73"/>
      <c r="KQS26" s="73"/>
      <c r="KQT26" s="73"/>
      <c r="KQU26" s="73"/>
      <c r="KQV26" s="73"/>
      <c r="KQW26" s="73"/>
      <c r="KQX26" s="73"/>
      <c r="KQY26" s="73"/>
      <c r="KQZ26" s="73"/>
      <c r="KRA26" s="73"/>
      <c r="KRB26" s="73"/>
      <c r="KRC26" s="73"/>
      <c r="KRD26" s="73"/>
      <c r="KRE26" s="73"/>
      <c r="KRF26" s="73"/>
      <c r="KRG26" s="73"/>
      <c r="KRH26" s="73"/>
      <c r="KRI26" s="73"/>
      <c r="KRJ26" s="73"/>
      <c r="KRK26" s="73"/>
      <c r="KRL26" s="73"/>
      <c r="KRM26" s="73"/>
      <c r="KRN26" s="73"/>
      <c r="KRO26" s="73"/>
      <c r="KRP26" s="73"/>
      <c r="KRQ26" s="73"/>
      <c r="KRR26" s="73"/>
      <c r="KRS26" s="73"/>
      <c r="KRT26" s="73"/>
      <c r="KRU26" s="73"/>
      <c r="KRV26" s="73"/>
      <c r="KRW26" s="73"/>
      <c r="KRX26" s="73"/>
      <c r="KRY26" s="73"/>
      <c r="KRZ26" s="73"/>
      <c r="KSA26" s="73"/>
      <c r="KSB26" s="73"/>
      <c r="KSC26" s="73"/>
      <c r="KSD26" s="73"/>
      <c r="KSE26" s="73"/>
      <c r="KSF26" s="73"/>
      <c r="KSG26" s="73"/>
      <c r="KSH26" s="73"/>
      <c r="KSI26" s="73"/>
      <c r="KSJ26" s="73"/>
      <c r="KSK26" s="73"/>
      <c r="KSL26" s="73"/>
      <c r="KSM26" s="73"/>
      <c r="KSN26" s="73"/>
      <c r="KSO26" s="73"/>
      <c r="KSP26" s="73"/>
      <c r="KSQ26" s="73"/>
      <c r="KSR26" s="73"/>
      <c r="KSS26" s="73"/>
      <c r="KST26" s="73"/>
      <c r="KSU26" s="73"/>
      <c r="KSV26" s="73"/>
      <c r="KSW26" s="73"/>
      <c r="KSX26" s="73"/>
      <c r="KSY26" s="73"/>
      <c r="KSZ26" s="73"/>
      <c r="KTA26" s="73"/>
      <c r="KTB26" s="73"/>
      <c r="KTC26" s="73"/>
      <c r="KTD26" s="73"/>
      <c r="KTE26" s="73"/>
      <c r="KTF26" s="73"/>
      <c r="KTG26" s="73"/>
      <c r="KTH26" s="73"/>
      <c r="KTI26" s="73"/>
      <c r="KTJ26" s="73"/>
      <c r="KTK26" s="73"/>
      <c r="KTL26" s="73"/>
      <c r="KTM26" s="73"/>
      <c r="KTN26" s="73"/>
      <c r="KTO26" s="73"/>
      <c r="KTP26" s="73"/>
      <c r="KTQ26" s="73"/>
      <c r="KTR26" s="73"/>
      <c r="KTS26" s="73"/>
      <c r="KTT26" s="73"/>
      <c r="KTU26" s="73"/>
      <c r="KTV26" s="73"/>
      <c r="KTW26" s="73"/>
      <c r="KTX26" s="73"/>
      <c r="KTY26" s="73"/>
      <c r="KTZ26" s="73"/>
      <c r="KUA26" s="73"/>
      <c r="KUB26" s="73"/>
      <c r="KUC26" s="73"/>
      <c r="KUD26" s="73"/>
      <c r="KUE26" s="73"/>
      <c r="KUF26" s="73"/>
      <c r="KUG26" s="73"/>
      <c r="KUH26" s="73"/>
      <c r="KUI26" s="73"/>
      <c r="KUJ26" s="73"/>
      <c r="KUK26" s="73"/>
      <c r="KUL26" s="73"/>
      <c r="KUM26" s="73"/>
      <c r="KUN26" s="73"/>
      <c r="KUO26" s="73"/>
      <c r="KUP26" s="73"/>
      <c r="KUQ26" s="73"/>
      <c r="KUR26" s="73"/>
      <c r="KUS26" s="73"/>
      <c r="KUT26" s="73"/>
      <c r="KUU26" s="73"/>
      <c r="KUV26" s="73"/>
      <c r="KUW26" s="73"/>
      <c r="KUX26" s="73"/>
      <c r="KUY26" s="73"/>
      <c r="KUZ26" s="73"/>
      <c r="KVA26" s="73"/>
      <c r="KVB26" s="73"/>
      <c r="KVC26" s="73"/>
      <c r="KVD26" s="73"/>
      <c r="KVE26" s="73"/>
      <c r="KVF26" s="73"/>
      <c r="KVG26" s="73"/>
      <c r="KVH26" s="73"/>
      <c r="KVI26" s="73"/>
      <c r="KVJ26" s="73"/>
      <c r="KVK26" s="73"/>
      <c r="KVL26" s="73"/>
      <c r="KVM26" s="73"/>
      <c r="KVN26" s="73"/>
      <c r="KVO26" s="73"/>
      <c r="KVP26" s="73"/>
      <c r="KVQ26" s="73"/>
      <c r="KVR26" s="73"/>
      <c r="KVS26" s="73"/>
      <c r="KVT26" s="73"/>
      <c r="KVU26" s="73"/>
      <c r="KVV26" s="73"/>
      <c r="KVW26" s="73"/>
      <c r="KVX26" s="73"/>
      <c r="KVY26" s="73"/>
      <c r="KVZ26" s="73"/>
      <c r="KWA26" s="73"/>
      <c r="KWB26" s="73"/>
      <c r="KWC26" s="73"/>
      <c r="KWD26" s="73"/>
      <c r="KWE26" s="73"/>
      <c r="KWF26" s="73"/>
      <c r="KWG26" s="73"/>
      <c r="KWH26" s="73"/>
      <c r="KWI26" s="73"/>
      <c r="KWJ26" s="73"/>
      <c r="KWK26" s="73"/>
      <c r="KWL26" s="73"/>
      <c r="KWM26" s="73"/>
      <c r="KWN26" s="73"/>
      <c r="KWO26" s="73"/>
      <c r="KWP26" s="73"/>
      <c r="KWQ26" s="73"/>
      <c r="KWR26" s="73"/>
      <c r="KWS26" s="73"/>
      <c r="KWT26" s="73"/>
      <c r="KWU26" s="73"/>
      <c r="KWV26" s="73"/>
      <c r="KWW26" s="73"/>
      <c r="KWX26" s="73"/>
      <c r="KWY26" s="73"/>
      <c r="KWZ26" s="73"/>
      <c r="KXA26" s="73"/>
      <c r="KXB26" s="73"/>
      <c r="KXC26" s="73"/>
      <c r="KXD26" s="73"/>
      <c r="KXE26" s="73"/>
      <c r="KXF26" s="73"/>
      <c r="KXG26" s="73"/>
      <c r="KXH26" s="73"/>
      <c r="KXI26" s="73"/>
      <c r="KXJ26" s="73"/>
      <c r="KXK26" s="73"/>
      <c r="KXL26" s="73"/>
      <c r="KXM26" s="73"/>
      <c r="KXN26" s="73"/>
      <c r="KXO26" s="73"/>
      <c r="KXP26" s="73"/>
      <c r="KXQ26" s="73"/>
      <c r="KXR26" s="73"/>
      <c r="KXS26" s="73"/>
      <c r="KXT26" s="73"/>
      <c r="KXU26" s="73"/>
      <c r="KXV26" s="73"/>
      <c r="KXW26" s="73"/>
      <c r="KXX26" s="73"/>
      <c r="KXY26" s="73"/>
      <c r="KXZ26" s="73"/>
      <c r="KYA26" s="73"/>
      <c r="KYB26" s="73"/>
      <c r="KYC26" s="73"/>
      <c r="KYD26" s="73"/>
      <c r="KYE26" s="73"/>
      <c r="KYF26" s="73"/>
      <c r="KYG26" s="73"/>
      <c r="KYH26" s="73"/>
      <c r="KYI26" s="73"/>
      <c r="KYJ26" s="73"/>
      <c r="KYK26" s="73"/>
      <c r="KYL26" s="73"/>
      <c r="KYM26" s="73"/>
      <c r="KYN26" s="73"/>
      <c r="KYO26" s="73"/>
      <c r="KYP26" s="73"/>
      <c r="KYQ26" s="73"/>
      <c r="KYR26" s="73"/>
      <c r="KYS26" s="73"/>
      <c r="KYT26" s="73"/>
      <c r="KYU26" s="73"/>
      <c r="KYV26" s="73"/>
      <c r="KYW26" s="73"/>
      <c r="KYX26" s="73"/>
      <c r="KYY26" s="73"/>
      <c r="KYZ26" s="73"/>
      <c r="KZA26" s="73"/>
      <c r="KZB26" s="73"/>
      <c r="KZC26" s="73"/>
      <c r="KZD26" s="73"/>
      <c r="KZE26" s="73"/>
      <c r="KZF26" s="73"/>
      <c r="KZG26" s="73"/>
      <c r="KZH26" s="73"/>
      <c r="KZI26" s="73"/>
      <c r="KZJ26" s="73"/>
      <c r="KZK26" s="73"/>
      <c r="KZL26" s="73"/>
      <c r="KZM26" s="73"/>
      <c r="KZN26" s="73"/>
      <c r="KZO26" s="73"/>
      <c r="KZP26" s="73"/>
      <c r="KZQ26" s="73"/>
      <c r="KZR26" s="73"/>
      <c r="KZS26" s="73"/>
      <c r="KZT26" s="73"/>
      <c r="KZU26" s="73"/>
      <c r="KZV26" s="73"/>
      <c r="KZW26" s="73"/>
      <c r="KZX26" s="73"/>
      <c r="KZY26" s="73"/>
      <c r="KZZ26" s="73"/>
      <c r="LAA26" s="73"/>
      <c r="LAB26" s="73"/>
      <c r="LAC26" s="73"/>
      <c r="LAD26" s="73"/>
      <c r="LAE26" s="73"/>
      <c r="LAF26" s="73"/>
      <c r="LAG26" s="73"/>
      <c r="LAH26" s="73"/>
      <c r="LAI26" s="73"/>
      <c r="LAJ26" s="73"/>
      <c r="LAK26" s="73"/>
      <c r="LAL26" s="73"/>
      <c r="LAM26" s="73"/>
      <c r="LAN26" s="73"/>
      <c r="LAO26" s="73"/>
      <c r="LAP26" s="73"/>
      <c r="LAQ26" s="73"/>
      <c r="LAR26" s="73"/>
      <c r="LAS26" s="73"/>
      <c r="LAT26" s="73"/>
      <c r="LAU26" s="73"/>
      <c r="LAV26" s="73"/>
      <c r="LAW26" s="73"/>
      <c r="LAX26" s="73"/>
      <c r="LAY26" s="73"/>
      <c r="LAZ26" s="73"/>
      <c r="LBA26" s="73"/>
      <c r="LBB26" s="73"/>
      <c r="LBC26" s="73"/>
      <c r="LBD26" s="73"/>
      <c r="LBE26" s="73"/>
      <c r="LBF26" s="73"/>
      <c r="LBG26" s="73"/>
      <c r="LBH26" s="73"/>
      <c r="LBI26" s="73"/>
      <c r="LBJ26" s="73"/>
      <c r="LBK26" s="73"/>
      <c r="LBL26" s="73"/>
      <c r="LBM26" s="73"/>
      <c r="LBN26" s="73"/>
      <c r="LBO26" s="73"/>
      <c r="LBP26" s="73"/>
      <c r="LBQ26" s="73"/>
      <c r="LBR26" s="73"/>
      <c r="LBS26" s="73"/>
      <c r="LBT26" s="73"/>
      <c r="LBU26" s="73"/>
      <c r="LBV26" s="73"/>
      <c r="LBW26" s="73"/>
      <c r="LBX26" s="73"/>
      <c r="LBY26" s="73"/>
      <c r="LBZ26" s="73"/>
      <c r="LCA26" s="73"/>
      <c r="LCB26" s="73"/>
      <c r="LCC26" s="73"/>
      <c r="LCD26" s="73"/>
      <c r="LCE26" s="73"/>
      <c r="LCF26" s="73"/>
      <c r="LCG26" s="73"/>
      <c r="LCH26" s="73"/>
      <c r="LCI26" s="73"/>
      <c r="LCJ26" s="73"/>
      <c r="LCK26" s="73"/>
      <c r="LCL26" s="73"/>
      <c r="LCM26" s="73"/>
      <c r="LCN26" s="73"/>
      <c r="LCO26" s="73"/>
      <c r="LCP26" s="73"/>
      <c r="LCQ26" s="73"/>
      <c r="LCR26" s="73"/>
      <c r="LCS26" s="73"/>
      <c r="LCT26" s="73"/>
      <c r="LCU26" s="73"/>
      <c r="LCV26" s="73"/>
      <c r="LCW26" s="73"/>
      <c r="LCX26" s="73"/>
      <c r="LCY26" s="73"/>
      <c r="LCZ26" s="73"/>
      <c r="LDA26" s="73"/>
      <c r="LDB26" s="73"/>
      <c r="LDC26" s="73"/>
      <c r="LDD26" s="73"/>
      <c r="LDE26" s="73"/>
      <c r="LDF26" s="73"/>
      <c r="LDG26" s="73"/>
      <c r="LDH26" s="73"/>
      <c r="LDI26" s="73"/>
      <c r="LDJ26" s="73"/>
      <c r="LDK26" s="73"/>
      <c r="LDL26" s="73"/>
      <c r="LDM26" s="73"/>
      <c r="LDN26" s="73"/>
      <c r="LDO26" s="73"/>
      <c r="LDP26" s="73"/>
      <c r="LDQ26" s="73"/>
      <c r="LDR26" s="73"/>
      <c r="LDS26" s="73"/>
      <c r="LDT26" s="73"/>
      <c r="LDU26" s="73"/>
      <c r="LDV26" s="73"/>
      <c r="LDW26" s="73"/>
      <c r="LDX26" s="73"/>
      <c r="LDY26" s="73"/>
      <c r="LDZ26" s="73"/>
      <c r="LEA26" s="73"/>
      <c r="LEB26" s="73"/>
      <c r="LEC26" s="73"/>
      <c r="LED26" s="73"/>
      <c r="LEE26" s="73"/>
      <c r="LEF26" s="73"/>
      <c r="LEG26" s="73"/>
      <c r="LEH26" s="73"/>
      <c r="LEI26" s="73"/>
      <c r="LEJ26" s="73"/>
      <c r="LEK26" s="73"/>
      <c r="LEL26" s="73"/>
      <c r="LEM26" s="73"/>
      <c r="LEN26" s="73"/>
      <c r="LEO26" s="73"/>
      <c r="LEP26" s="73"/>
      <c r="LEQ26" s="73"/>
      <c r="LER26" s="73"/>
      <c r="LES26" s="73"/>
      <c r="LET26" s="73"/>
      <c r="LEU26" s="73"/>
      <c r="LEV26" s="73"/>
      <c r="LEW26" s="73"/>
      <c r="LEX26" s="73"/>
      <c r="LEY26" s="73"/>
      <c r="LEZ26" s="73"/>
      <c r="LFA26" s="73"/>
      <c r="LFB26" s="73"/>
      <c r="LFC26" s="73"/>
      <c r="LFD26" s="73"/>
      <c r="LFE26" s="73"/>
      <c r="LFF26" s="73"/>
      <c r="LFG26" s="73"/>
      <c r="LFH26" s="73"/>
      <c r="LFI26" s="73"/>
      <c r="LFJ26" s="73"/>
      <c r="LFK26" s="73"/>
      <c r="LFL26" s="73"/>
      <c r="LFM26" s="73"/>
      <c r="LFN26" s="73"/>
      <c r="LFO26" s="73"/>
      <c r="LFP26" s="73"/>
      <c r="LFQ26" s="73"/>
      <c r="LFR26" s="73"/>
      <c r="LFS26" s="73"/>
      <c r="LFT26" s="73"/>
      <c r="LFU26" s="73"/>
      <c r="LFV26" s="73"/>
      <c r="LFW26" s="73"/>
      <c r="LFX26" s="73"/>
      <c r="LFY26" s="73"/>
      <c r="LFZ26" s="73"/>
      <c r="LGA26" s="73"/>
      <c r="LGB26" s="73"/>
      <c r="LGC26" s="73"/>
      <c r="LGD26" s="73"/>
      <c r="LGE26" s="73"/>
      <c r="LGF26" s="73"/>
      <c r="LGG26" s="73"/>
      <c r="LGH26" s="73"/>
      <c r="LGI26" s="73"/>
      <c r="LGJ26" s="73"/>
      <c r="LGK26" s="73"/>
      <c r="LGL26" s="73"/>
      <c r="LGM26" s="73"/>
      <c r="LGN26" s="73"/>
      <c r="LGO26" s="73"/>
      <c r="LGP26" s="73"/>
      <c r="LGQ26" s="73"/>
      <c r="LGR26" s="73"/>
      <c r="LGS26" s="73"/>
      <c r="LGT26" s="73"/>
      <c r="LGU26" s="73"/>
      <c r="LGV26" s="73"/>
      <c r="LGW26" s="73"/>
      <c r="LGX26" s="73"/>
      <c r="LGY26" s="73"/>
      <c r="LGZ26" s="73"/>
      <c r="LHA26" s="73"/>
      <c r="LHB26" s="73"/>
      <c r="LHC26" s="73"/>
      <c r="LHD26" s="73"/>
      <c r="LHE26" s="73"/>
      <c r="LHF26" s="73"/>
      <c r="LHG26" s="73"/>
      <c r="LHH26" s="73"/>
      <c r="LHI26" s="73"/>
      <c r="LHJ26" s="73"/>
      <c r="LHK26" s="73"/>
      <c r="LHL26" s="73"/>
      <c r="LHM26" s="73"/>
      <c r="LHN26" s="73"/>
      <c r="LHO26" s="73"/>
      <c r="LHP26" s="73"/>
      <c r="LHQ26" s="73"/>
      <c r="LHR26" s="73"/>
      <c r="LHS26" s="73"/>
      <c r="LHT26" s="73"/>
      <c r="LHU26" s="73"/>
      <c r="LHV26" s="73"/>
      <c r="LHW26" s="73"/>
      <c r="LHX26" s="73"/>
      <c r="LHY26" s="73"/>
      <c r="LHZ26" s="73"/>
      <c r="LIA26" s="73"/>
      <c r="LIB26" s="73"/>
      <c r="LIC26" s="73"/>
      <c r="LID26" s="73"/>
      <c r="LIE26" s="73"/>
      <c r="LIF26" s="73"/>
      <c r="LIG26" s="73"/>
      <c r="LIH26" s="73"/>
      <c r="LII26" s="73"/>
      <c r="LIJ26" s="73"/>
      <c r="LIK26" s="73"/>
      <c r="LIL26" s="73"/>
      <c r="LIM26" s="73"/>
      <c r="LIN26" s="73"/>
      <c r="LIO26" s="73"/>
      <c r="LIP26" s="73"/>
      <c r="LIQ26" s="73"/>
      <c r="LIR26" s="73"/>
      <c r="LIS26" s="73"/>
      <c r="LIT26" s="73"/>
      <c r="LIU26" s="73"/>
      <c r="LIV26" s="73"/>
      <c r="LIW26" s="73"/>
      <c r="LIX26" s="73"/>
      <c r="LIY26" s="73"/>
      <c r="LIZ26" s="73"/>
      <c r="LJA26" s="73"/>
      <c r="LJB26" s="73"/>
      <c r="LJC26" s="73"/>
      <c r="LJD26" s="73"/>
      <c r="LJE26" s="73"/>
      <c r="LJF26" s="73"/>
      <c r="LJG26" s="73"/>
      <c r="LJH26" s="73"/>
      <c r="LJI26" s="73"/>
      <c r="LJJ26" s="73"/>
      <c r="LJK26" s="73"/>
      <c r="LJL26" s="73"/>
      <c r="LJM26" s="73"/>
      <c r="LJN26" s="73"/>
      <c r="LJO26" s="73"/>
      <c r="LJP26" s="73"/>
      <c r="LJQ26" s="73"/>
      <c r="LJR26" s="73"/>
      <c r="LJS26" s="73"/>
      <c r="LJT26" s="73"/>
      <c r="LJU26" s="73"/>
      <c r="LJV26" s="73"/>
      <c r="LJW26" s="73"/>
      <c r="LJX26" s="73"/>
      <c r="LJY26" s="73"/>
      <c r="LJZ26" s="73"/>
      <c r="LKA26" s="73"/>
      <c r="LKB26" s="73"/>
      <c r="LKC26" s="73"/>
      <c r="LKD26" s="73"/>
      <c r="LKE26" s="73"/>
      <c r="LKF26" s="73"/>
      <c r="LKG26" s="73"/>
      <c r="LKH26" s="73"/>
      <c r="LKI26" s="73"/>
      <c r="LKJ26" s="73"/>
      <c r="LKK26" s="73"/>
      <c r="LKL26" s="73"/>
      <c r="LKM26" s="73"/>
      <c r="LKN26" s="73"/>
      <c r="LKO26" s="73"/>
      <c r="LKP26" s="73"/>
      <c r="LKQ26" s="73"/>
      <c r="LKR26" s="73"/>
      <c r="LKS26" s="73"/>
      <c r="LKT26" s="73"/>
      <c r="LKU26" s="73"/>
      <c r="LKV26" s="73"/>
      <c r="LKW26" s="73"/>
      <c r="LKX26" s="73"/>
      <c r="LKY26" s="73"/>
      <c r="LKZ26" s="73"/>
      <c r="LLA26" s="73"/>
      <c r="LLB26" s="73"/>
      <c r="LLC26" s="73"/>
      <c r="LLD26" s="73"/>
      <c r="LLE26" s="73"/>
      <c r="LLF26" s="73"/>
      <c r="LLG26" s="73"/>
      <c r="LLH26" s="73"/>
      <c r="LLI26" s="73"/>
      <c r="LLJ26" s="73"/>
      <c r="LLK26" s="73"/>
      <c r="LLL26" s="73"/>
      <c r="LLM26" s="73"/>
      <c r="LLN26" s="73"/>
      <c r="LLO26" s="73"/>
      <c r="LLP26" s="73"/>
      <c r="LLQ26" s="73"/>
      <c r="LLR26" s="73"/>
      <c r="LLS26" s="73"/>
      <c r="LLT26" s="73"/>
      <c r="LLU26" s="73"/>
      <c r="LLV26" s="73"/>
      <c r="LLW26" s="73"/>
      <c r="LLX26" s="73"/>
      <c r="LLY26" s="73"/>
      <c r="LLZ26" s="73"/>
      <c r="LMA26" s="73"/>
      <c r="LMB26" s="73"/>
      <c r="LMC26" s="73"/>
      <c r="LMD26" s="73"/>
      <c r="LME26" s="73"/>
      <c r="LMF26" s="73"/>
      <c r="LMG26" s="73"/>
      <c r="LMH26" s="73"/>
      <c r="LMI26" s="73"/>
      <c r="LMJ26" s="73"/>
      <c r="LMK26" s="73"/>
      <c r="LML26" s="73"/>
      <c r="LMM26" s="73"/>
      <c r="LMN26" s="73"/>
      <c r="LMO26" s="73"/>
      <c r="LMP26" s="73"/>
      <c r="LMQ26" s="73"/>
      <c r="LMR26" s="73"/>
      <c r="LMS26" s="73"/>
      <c r="LMT26" s="73"/>
      <c r="LMU26" s="73"/>
      <c r="LMV26" s="73"/>
      <c r="LMW26" s="73"/>
      <c r="LMX26" s="73"/>
      <c r="LMY26" s="73"/>
      <c r="LMZ26" s="73"/>
      <c r="LNA26" s="73"/>
      <c r="LNB26" s="73"/>
      <c r="LNC26" s="73"/>
      <c r="LND26" s="73"/>
      <c r="LNE26" s="73"/>
      <c r="LNF26" s="73"/>
      <c r="LNG26" s="73"/>
      <c r="LNH26" s="73"/>
      <c r="LNI26" s="73"/>
      <c r="LNJ26" s="73"/>
      <c r="LNK26" s="73"/>
      <c r="LNL26" s="73"/>
      <c r="LNM26" s="73"/>
      <c r="LNN26" s="73"/>
      <c r="LNO26" s="73"/>
      <c r="LNP26" s="73"/>
      <c r="LNQ26" s="73"/>
      <c r="LNR26" s="73"/>
      <c r="LNS26" s="73"/>
      <c r="LNT26" s="73"/>
      <c r="LNU26" s="73"/>
      <c r="LNV26" s="73"/>
      <c r="LNW26" s="73"/>
      <c r="LNX26" s="73"/>
      <c r="LNY26" s="73"/>
      <c r="LNZ26" s="73"/>
      <c r="LOA26" s="73"/>
      <c r="LOB26" s="73"/>
      <c r="LOC26" s="73"/>
      <c r="LOD26" s="73"/>
      <c r="LOE26" s="73"/>
      <c r="LOF26" s="73"/>
      <c r="LOG26" s="73"/>
      <c r="LOH26" s="73"/>
      <c r="LOI26" s="73"/>
      <c r="LOJ26" s="73"/>
      <c r="LOK26" s="73"/>
      <c r="LOL26" s="73"/>
      <c r="LOM26" s="73"/>
      <c r="LON26" s="73"/>
      <c r="LOO26" s="73"/>
      <c r="LOP26" s="73"/>
      <c r="LOQ26" s="73"/>
      <c r="LOR26" s="73"/>
      <c r="LOS26" s="73"/>
      <c r="LOT26" s="73"/>
      <c r="LOU26" s="73"/>
      <c r="LOV26" s="73"/>
      <c r="LOW26" s="73"/>
      <c r="LOX26" s="73"/>
      <c r="LOY26" s="73"/>
      <c r="LOZ26" s="73"/>
      <c r="LPA26" s="73"/>
      <c r="LPB26" s="73"/>
      <c r="LPC26" s="73"/>
      <c r="LPD26" s="73"/>
      <c r="LPE26" s="73"/>
      <c r="LPF26" s="73"/>
      <c r="LPG26" s="73"/>
      <c r="LPH26" s="73"/>
      <c r="LPI26" s="73"/>
      <c r="LPJ26" s="73"/>
      <c r="LPK26" s="73"/>
      <c r="LPL26" s="73"/>
      <c r="LPM26" s="73"/>
      <c r="LPN26" s="73"/>
      <c r="LPO26" s="73"/>
      <c r="LPP26" s="73"/>
      <c r="LPQ26" s="73"/>
      <c r="LPR26" s="73"/>
      <c r="LPS26" s="73"/>
      <c r="LPT26" s="73"/>
      <c r="LPU26" s="73"/>
      <c r="LPV26" s="73"/>
      <c r="LPW26" s="73"/>
      <c r="LPX26" s="73"/>
      <c r="LPY26" s="73"/>
      <c r="LPZ26" s="73"/>
      <c r="LQA26" s="73"/>
      <c r="LQB26" s="73"/>
      <c r="LQC26" s="73"/>
      <c r="LQD26" s="73"/>
      <c r="LQE26" s="73"/>
      <c r="LQF26" s="73"/>
      <c r="LQG26" s="73"/>
      <c r="LQH26" s="73"/>
      <c r="LQI26" s="73"/>
      <c r="LQJ26" s="73"/>
      <c r="LQK26" s="73"/>
      <c r="LQL26" s="73"/>
      <c r="LQM26" s="73"/>
      <c r="LQN26" s="73"/>
      <c r="LQO26" s="73"/>
      <c r="LQP26" s="73"/>
      <c r="LQQ26" s="73"/>
      <c r="LQR26" s="73"/>
      <c r="LQS26" s="73"/>
      <c r="LQT26" s="73"/>
      <c r="LQU26" s="73"/>
      <c r="LQV26" s="73"/>
      <c r="LQW26" s="73"/>
      <c r="LQX26" s="73"/>
      <c r="LQY26" s="73"/>
      <c r="LQZ26" s="73"/>
      <c r="LRA26" s="73"/>
      <c r="LRB26" s="73"/>
      <c r="LRC26" s="73"/>
      <c r="LRD26" s="73"/>
      <c r="LRE26" s="73"/>
      <c r="LRF26" s="73"/>
      <c r="LRG26" s="73"/>
      <c r="LRH26" s="73"/>
      <c r="LRI26" s="73"/>
      <c r="LRJ26" s="73"/>
      <c r="LRK26" s="73"/>
      <c r="LRL26" s="73"/>
      <c r="LRM26" s="73"/>
      <c r="LRN26" s="73"/>
      <c r="LRO26" s="73"/>
      <c r="LRP26" s="73"/>
      <c r="LRQ26" s="73"/>
      <c r="LRR26" s="73"/>
      <c r="LRS26" s="73"/>
      <c r="LRT26" s="73"/>
      <c r="LRU26" s="73"/>
      <c r="LRV26" s="73"/>
      <c r="LRW26" s="73"/>
      <c r="LRX26" s="73"/>
      <c r="LRY26" s="73"/>
      <c r="LRZ26" s="73"/>
      <c r="LSA26" s="73"/>
      <c r="LSB26" s="73"/>
      <c r="LSC26" s="73"/>
      <c r="LSD26" s="73"/>
      <c r="LSE26" s="73"/>
      <c r="LSF26" s="73"/>
      <c r="LSG26" s="73"/>
      <c r="LSH26" s="73"/>
      <c r="LSI26" s="73"/>
      <c r="LSJ26" s="73"/>
      <c r="LSK26" s="73"/>
      <c r="LSL26" s="73"/>
      <c r="LSM26" s="73"/>
      <c r="LSN26" s="73"/>
      <c r="LSO26" s="73"/>
      <c r="LSP26" s="73"/>
      <c r="LSQ26" s="73"/>
      <c r="LSR26" s="73"/>
      <c r="LSS26" s="73"/>
      <c r="LST26" s="73"/>
      <c r="LSU26" s="73"/>
      <c r="LSV26" s="73"/>
      <c r="LSW26" s="73"/>
      <c r="LSX26" s="73"/>
      <c r="LSY26" s="73"/>
      <c r="LSZ26" s="73"/>
      <c r="LTA26" s="73"/>
      <c r="LTB26" s="73"/>
      <c r="LTC26" s="73"/>
      <c r="LTD26" s="73"/>
      <c r="LTE26" s="73"/>
      <c r="LTF26" s="73"/>
      <c r="LTG26" s="73"/>
      <c r="LTH26" s="73"/>
      <c r="LTI26" s="73"/>
      <c r="LTJ26" s="73"/>
      <c r="LTK26" s="73"/>
      <c r="LTL26" s="73"/>
      <c r="LTM26" s="73"/>
      <c r="LTN26" s="73"/>
      <c r="LTO26" s="73"/>
      <c r="LTP26" s="73"/>
      <c r="LTQ26" s="73"/>
      <c r="LTR26" s="73"/>
      <c r="LTS26" s="73"/>
      <c r="LTT26" s="73"/>
      <c r="LTU26" s="73"/>
      <c r="LTV26" s="73"/>
      <c r="LTW26" s="73"/>
      <c r="LTX26" s="73"/>
      <c r="LTY26" s="73"/>
      <c r="LTZ26" s="73"/>
      <c r="LUA26" s="73"/>
      <c r="LUB26" s="73"/>
      <c r="LUC26" s="73"/>
      <c r="LUD26" s="73"/>
      <c r="LUE26" s="73"/>
      <c r="LUF26" s="73"/>
      <c r="LUG26" s="73"/>
      <c r="LUH26" s="73"/>
      <c r="LUI26" s="73"/>
      <c r="LUJ26" s="73"/>
      <c r="LUK26" s="73"/>
      <c r="LUL26" s="73"/>
      <c r="LUM26" s="73"/>
      <c r="LUN26" s="73"/>
      <c r="LUO26" s="73"/>
      <c r="LUP26" s="73"/>
      <c r="LUQ26" s="73"/>
      <c r="LUR26" s="73"/>
      <c r="LUS26" s="73"/>
      <c r="LUT26" s="73"/>
      <c r="LUU26" s="73"/>
      <c r="LUV26" s="73"/>
      <c r="LUW26" s="73"/>
      <c r="LUX26" s="73"/>
      <c r="LUY26" s="73"/>
      <c r="LUZ26" s="73"/>
      <c r="LVA26" s="73"/>
      <c r="LVB26" s="73"/>
      <c r="LVC26" s="73"/>
      <c r="LVD26" s="73"/>
      <c r="LVE26" s="73"/>
      <c r="LVF26" s="73"/>
      <c r="LVG26" s="73"/>
      <c r="LVH26" s="73"/>
      <c r="LVI26" s="73"/>
      <c r="LVJ26" s="73"/>
      <c r="LVK26" s="73"/>
      <c r="LVL26" s="73"/>
      <c r="LVM26" s="73"/>
      <c r="LVN26" s="73"/>
      <c r="LVO26" s="73"/>
      <c r="LVP26" s="73"/>
      <c r="LVQ26" s="73"/>
      <c r="LVR26" s="73"/>
      <c r="LVS26" s="73"/>
      <c r="LVT26" s="73"/>
      <c r="LVU26" s="73"/>
      <c r="LVV26" s="73"/>
      <c r="LVW26" s="73"/>
      <c r="LVX26" s="73"/>
      <c r="LVY26" s="73"/>
      <c r="LVZ26" s="73"/>
      <c r="LWA26" s="73"/>
      <c r="LWB26" s="73"/>
      <c r="LWC26" s="73"/>
      <c r="LWD26" s="73"/>
      <c r="LWE26" s="73"/>
      <c r="LWF26" s="73"/>
      <c r="LWG26" s="73"/>
      <c r="LWH26" s="73"/>
      <c r="LWI26" s="73"/>
      <c r="LWJ26" s="73"/>
      <c r="LWK26" s="73"/>
      <c r="LWL26" s="73"/>
      <c r="LWM26" s="73"/>
      <c r="LWN26" s="73"/>
      <c r="LWO26" s="73"/>
      <c r="LWP26" s="73"/>
      <c r="LWQ26" s="73"/>
      <c r="LWR26" s="73"/>
      <c r="LWS26" s="73"/>
      <c r="LWT26" s="73"/>
      <c r="LWU26" s="73"/>
      <c r="LWV26" s="73"/>
      <c r="LWW26" s="73"/>
      <c r="LWX26" s="73"/>
      <c r="LWY26" s="73"/>
      <c r="LWZ26" s="73"/>
      <c r="LXA26" s="73"/>
      <c r="LXB26" s="73"/>
      <c r="LXC26" s="73"/>
      <c r="LXD26" s="73"/>
      <c r="LXE26" s="73"/>
      <c r="LXF26" s="73"/>
      <c r="LXG26" s="73"/>
      <c r="LXH26" s="73"/>
      <c r="LXI26" s="73"/>
      <c r="LXJ26" s="73"/>
      <c r="LXK26" s="73"/>
      <c r="LXL26" s="73"/>
      <c r="LXM26" s="73"/>
      <c r="LXN26" s="73"/>
      <c r="LXO26" s="73"/>
      <c r="LXP26" s="73"/>
      <c r="LXQ26" s="73"/>
      <c r="LXR26" s="73"/>
      <c r="LXS26" s="73"/>
      <c r="LXT26" s="73"/>
      <c r="LXU26" s="73"/>
      <c r="LXV26" s="73"/>
      <c r="LXW26" s="73"/>
      <c r="LXX26" s="73"/>
      <c r="LXY26" s="73"/>
      <c r="LXZ26" s="73"/>
      <c r="LYA26" s="73"/>
      <c r="LYB26" s="73"/>
      <c r="LYC26" s="73"/>
      <c r="LYD26" s="73"/>
      <c r="LYE26" s="73"/>
      <c r="LYF26" s="73"/>
      <c r="LYG26" s="73"/>
      <c r="LYH26" s="73"/>
      <c r="LYI26" s="73"/>
      <c r="LYJ26" s="73"/>
      <c r="LYK26" s="73"/>
      <c r="LYL26" s="73"/>
      <c r="LYM26" s="73"/>
      <c r="LYN26" s="73"/>
      <c r="LYO26" s="73"/>
      <c r="LYP26" s="73"/>
      <c r="LYQ26" s="73"/>
      <c r="LYR26" s="73"/>
      <c r="LYS26" s="73"/>
      <c r="LYT26" s="73"/>
      <c r="LYU26" s="73"/>
      <c r="LYV26" s="73"/>
      <c r="LYW26" s="73"/>
      <c r="LYX26" s="73"/>
      <c r="LYY26" s="73"/>
      <c r="LYZ26" s="73"/>
      <c r="LZA26" s="73"/>
      <c r="LZB26" s="73"/>
      <c r="LZC26" s="73"/>
      <c r="LZD26" s="73"/>
      <c r="LZE26" s="73"/>
      <c r="LZF26" s="73"/>
      <c r="LZG26" s="73"/>
      <c r="LZH26" s="73"/>
      <c r="LZI26" s="73"/>
      <c r="LZJ26" s="73"/>
      <c r="LZK26" s="73"/>
      <c r="LZL26" s="73"/>
      <c r="LZM26" s="73"/>
      <c r="LZN26" s="73"/>
      <c r="LZO26" s="73"/>
      <c r="LZP26" s="73"/>
      <c r="LZQ26" s="73"/>
      <c r="LZR26" s="73"/>
      <c r="LZS26" s="73"/>
      <c r="LZT26" s="73"/>
      <c r="LZU26" s="73"/>
      <c r="LZV26" s="73"/>
      <c r="LZW26" s="73"/>
      <c r="LZX26" s="73"/>
      <c r="LZY26" s="73"/>
      <c r="LZZ26" s="73"/>
      <c r="MAA26" s="73"/>
      <c r="MAB26" s="73"/>
      <c r="MAC26" s="73"/>
      <c r="MAD26" s="73"/>
      <c r="MAE26" s="73"/>
      <c r="MAF26" s="73"/>
      <c r="MAG26" s="73"/>
      <c r="MAH26" s="73"/>
      <c r="MAI26" s="73"/>
      <c r="MAJ26" s="73"/>
      <c r="MAK26" s="73"/>
      <c r="MAL26" s="73"/>
      <c r="MAM26" s="73"/>
      <c r="MAN26" s="73"/>
      <c r="MAO26" s="73"/>
      <c r="MAP26" s="73"/>
      <c r="MAQ26" s="73"/>
      <c r="MAR26" s="73"/>
      <c r="MAS26" s="73"/>
      <c r="MAT26" s="73"/>
      <c r="MAU26" s="73"/>
      <c r="MAV26" s="73"/>
      <c r="MAW26" s="73"/>
      <c r="MAX26" s="73"/>
      <c r="MAY26" s="73"/>
      <c r="MAZ26" s="73"/>
      <c r="MBA26" s="73"/>
      <c r="MBB26" s="73"/>
      <c r="MBC26" s="73"/>
      <c r="MBD26" s="73"/>
      <c r="MBE26" s="73"/>
      <c r="MBF26" s="73"/>
      <c r="MBG26" s="73"/>
      <c r="MBH26" s="73"/>
      <c r="MBI26" s="73"/>
      <c r="MBJ26" s="73"/>
      <c r="MBK26" s="73"/>
      <c r="MBL26" s="73"/>
      <c r="MBM26" s="73"/>
      <c r="MBN26" s="73"/>
      <c r="MBO26" s="73"/>
      <c r="MBP26" s="73"/>
      <c r="MBQ26" s="73"/>
      <c r="MBR26" s="73"/>
      <c r="MBS26" s="73"/>
      <c r="MBT26" s="73"/>
      <c r="MBU26" s="73"/>
      <c r="MBV26" s="73"/>
      <c r="MBW26" s="73"/>
      <c r="MBX26" s="73"/>
      <c r="MBY26" s="73"/>
      <c r="MBZ26" s="73"/>
      <c r="MCA26" s="73"/>
      <c r="MCB26" s="73"/>
      <c r="MCC26" s="73"/>
      <c r="MCD26" s="73"/>
      <c r="MCE26" s="73"/>
      <c r="MCF26" s="73"/>
      <c r="MCG26" s="73"/>
      <c r="MCH26" s="73"/>
      <c r="MCI26" s="73"/>
      <c r="MCJ26" s="73"/>
      <c r="MCK26" s="73"/>
      <c r="MCL26" s="73"/>
      <c r="MCM26" s="73"/>
      <c r="MCN26" s="73"/>
      <c r="MCO26" s="73"/>
      <c r="MCP26" s="73"/>
      <c r="MCQ26" s="73"/>
      <c r="MCR26" s="73"/>
      <c r="MCS26" s="73"/>
      <c r="MCT26" s="73"/>
      <c r="MCU26" s="73"/>
      <c r="MCV26" s="73"/>
      <c r="MCW26" s="73"/>
      <c r="MCX26" s="73"/>
      <c r="MCY26" s="73"/>
      <c r="MCZ26" s="73"/>
      <c r="MDA26" s="73"/>
      <c r="MDB26" s="73"/>
      <c r="MDC26" s="73"/>
      <c r="MDD26" s="73"/>
      <c r="MDE26" s="73"/>
      <c r="MDF26" s="73"/>
      <c r="MDG26" s="73"/>
      <c r="MDH26" s="73"/>
      <c r="MDI26" s="73"/>
      <c r="MDJ26" s="73"/>
      <c r="MDK26" s="73"/>
      <c r="MDL26" s="73"/>
      <c r="MDM26" s="73"/>
      <c r="MDN26" s="73"/>
      <c r="MDO26" s="73"/>
      <c r="MDP26" s="73"/>
      <c r="MDQ26" s="73"/>
      <c r="MDR26" s="73"/>
      <c r="MDS26" s="73"/>
      <c r="MDT26" s="73"/>
      <c r="MDU26" s="73"/>
      <c r="MDV26" s="73"/>
      <c r="MDW26" s="73"/>
      <c r="MDX26" s="73"/>
      <c r="MDY26" s="73"/>
      <c r="MDZ26" s="73"/>
      <c r="MEA26" s="73"/>
      <c r="MEB26" s="73"/>
      <c r="MEC26" s="73"/>
      <c r="MED26" s="73"/>
      <c r="MEE26" s="73"/>
      <c r="MEF26" s="73"/>
      <c r="MEG26" s="73"/>
      <c r="MEH26" s="73"/>
      <c r="MEI26" s="73"/>
      <c r="MEJ26" s="73"/>
      <c r="MEK26" s="73"/>
      <c r="MEL26" s="73"/>
      <c r="MEM26" s="73"/>
      <c r="MEN26" s="73"/>
      <c r="MEO26" s="73"/>
      <c r="MEP26" s="73"/>
      <c r="MEQ26" s="73"/>
      <c r="MER26" s="73"/>
      <c r="MES26" s="73"/>
      <c r="MET26" s="73"/>
      <c r="MEU26" s="73"/>
      <c r="MEV26" s="73"/>
      <c r="MEW26" s="73"/>
      <c r="MEX26" s="73"/>
      <c r="MEY26" s="73"/>
      <c r="MEZ26" s="73"/>
      <c r="MFA26" s="73"/>
      <c r="MFB26" s="73"/>
      <c r="MFC26" s="73"/>
      <c r="MFD26" s="73"/>
      <c r="MFE26" s="73"/>
      <c r="MFF26" s="73"/>
      <c r="MFG26" s="73"/>
      <c r="MFH26" s="73"/>
      <c r="MFI26" s="73"/>
      <c r="MFJ26" s="73"/>
      <c r="MFK26" s="73"/>
      <c r="MFL26" s="73"/>
      <c r="MFM26" s="73"/>
      <c r="MFN26" s="73"/>
      <c r="MFO26" s="73"/>
      <c r="MFP26" s="73"/>
      <c r="MFQ26" s="73"/>
      <c r="MFR26" s="73"/>
      <c r="MFS26" s="73"/>
      <c r="MFT26" s="73"/>
      <c r="MFU26" s="73"/>
      <c r="MFV26" s="73"/>
      <c r="MFW26" s="73"/>
      <c r="MFX26" s="73"/>
      <c r="MFY26" s="73"/>
      <c r="MFZ26" s="73"/>
      <c r="MGA26" s="73"/>
      <c r="MGB26" s="73"/>
      <c r="MGC26" s="73"/>
      <c r="MGD26" s="73"/>
      <c r="MGE26" s="73"/>
      <c r="MGF26" s="73"/>
      <c r="MGG26" s="73"/>
      <c r="MGH26" s="73"/>
      <c r="MGI26" s="73"/>
      <c r="MGJ26" s="73"/>
      <c r="MGK26" s="73"/>
      <c r="MGL26" s="73"/>
      <c r="MGM26" s="73"/>
      <c r="MGN26" s="73"/>
      <c r="MGO26" s="73"/>
      <c r="MGP26" s="73"/>
      <c r="MGQ26" s="73"/>
      <c r="MGR26" s="73"/>
      <c r="MGS26" s="73"/>
      <c r="MGT26" s="73"/>
      <c r="MGU26" s="73"/>
      <c r="MGV26" s="73"/>
      <c r="MGW26" s="73"/>
      <c r="MGX26" s="73"/>
      <c r="MGY26" s="73"/>
      <c r="MGZ26" s="73"/>
      <c r="MHA26" s="73"/>
      <c r="MHB26" s="73"/>
      <c r="MHC26" s="73"/>
      <c r="MHD26" s="73"/>
      <c r="MHE26" s="73"/>
      <c r="MHF26" s="73"/>
      <c r="MHG26" s="73"/>
      <c r="MHH26" s="73"/>
      <c r="MHI26" s="73"/>
      <c r="MHJ26" s="73"/>
      <c r="MHK26" s="73"/>
      <c r="MHL26" s="73"/>
      <c r="MHM26" s="73"/>
      <c r="MHN26" s="73"/>
      <c r="MHO26" s="73"/>
      <c r="MHP26" s="73"/>
      <c r="MHQ26" s="73"/>
      <c r="MHR26" s="73"/>
      <c r="MHS26" s="73"/>
      <c r="MHT26" s="73"/>
      <c r="MHU26" s="73"/>
      <c r="MHV26" s="73"/>
      <c r="MHW26" s="73"/>
      <c r="MHX26" s="73"/>
      <c r="MHY26" s="73"/>
      <c r="MHZ26" s="73"/>
      <c r="MIA26" s="73"/>
      <c r="MIB26" s="73"/>
      <c r="MIC26" s="73"/>
      <c r="MID26" s="73"/>
      <c r="MIE26" s="73"/>
      <c r="MIF26" s="73"/>
      <c r="MIG26" s="73"/>
      <c r="MIH26" s="73"/>
      <c r="MII26" s="73"/>
      <c r="MIJ26" s="73"/>
      <c r="MIK26" s="73"/>
      <c r="MIL26" s="73"/>
      <c r="MIM26" s="73"/>
      <c r="MIN26" s="73"/>
      <c r="MIO26" s="73"/>
      <c r="MIP26" s="73"/>
      <c r="MIQ26" s="73"/>
      <c r="MIR26" s="73"/>
      <c r="MIS26" s="73"/>
      <c r="MIT26" s="73"/>
      <c r="MIU26" s="73"/>
      <c r="MIV26" s="73"/>
      <c r="MIW26" s="73"/>
      <c r="MIX26" s="73"/>
      <c r="MIY26" s="73"/>
      <c r="MIZ26" s="73"/>
      <c r="MJA26" s="73"/>
      <c r="MJB26" s="73"/>
      <c r="MJC26" s="73"/>
      <c r="MJD26" s="73"/>
      <c r="MJE26" s="73"/>
      <c r="MJF26" s="73"/>
      <c r="MJG26" s="73"/>
      <c r="MJH26" s="73"/>
      <c r="MJI26" s="73"/>
      <c r="MJJ26" s="73"/>
      <c r="MJK26" s="73"/>
      <c r="MJL26" s="73"/>
      <c r="MJM26" s="73"/>
      <c r="MJN26" s="73"/>
      <c r="MJO26" s="73"/>
      <c r="MJP26" s="73"/>
      <c r="MJQ26" s="73"/>
      <c r="MJR26" s="73"/>
      <c r="MJS26" s="73"/>
      <c r="MJT26" s="73"/>
      <c r="MJU26" s="73"/>
      <c r="MJV26" s="73"/>
      <c r="MJW26" s="73"/>
      <c r="MJX26" s="73"/>
      <c r="MJY26" s="73"/>
      <c r="MJZ26" s="73"/>
      <c r="MKA26" s="73"/>
      <c r="MKB26" s="73"/>
      <c r="MKC26" s="73"/>
      <c r="MKD26" s="73"/>
      <c r="MKE26" s="73"/>
      <c r="MKF26" s="73"/>
      <c r="MKG26" s="73"/>
      <c r="MKH26" s="73"/>
      <c r="MKI26" s="73"/>
      <c r="MKJ26" s="73"/>
      <c r="MKK26" s="73"/>
      <c r="MKL26" s="73"/>
      <c r="MKM26" s="73"/>
      <c r="MKN26" s="73"/>
      <c r="MKO26" s="73"/>
      <c r="MKP26" s="73"/>
      <c r="MKQ26" s="73"/>
      <c r="MKR26" s="73"/>
      <c r="MKS26" s="73"/>
      <c r="MKT26" s="73"/>
      <c r="MKU26" s="73"/>
      <c r="MKV26" s="73"/>
      <c r="MKW26" s="73"/>
      <c r="MKX26" s="73"/>
      <c r="MKY26" s="73"/>
      <c r="MKZ26" s="73"/>
      <c r="MLA26" s="73"/>
      <c r="MLB26" s="73"/>
      <c r="MLC26" s="73"/>
      <c r="MLD26" s="73"/>
      <c r="MLE26" s="73"/>
      <c r="MLF26" s="73"/>
      <c r="MLG26" s="73"/>
      <c r="MLH26" s="73"/>
      <c r="MLI26" s="73"/>
      <c r="MLJ26" s="73"/>
      <c r="MLK26" s="73"/>
      <c r="MLL26" s="73"/>
      <c r="MLM26" s="73"/>
      <c r="MLN26" s="73"/>
      <c r="MLO26" s="73"/>
      <c r="MLP26" s="73"/>
      <c r="MLQ26" s="73"/>
      <c r="MLR26" s="73"/>
      <c r="MLS26" s="73"/>
      <c r="MLT26" s="73"/>
      <c r="MLU26" s="73"/>
      <c r="MLV26" s="73"/>
      <c r="MLW26" s="73"/>
      <c r="MLX26" s="73"/>
      <c r="MLY26" s="73"/>
      <c r="MLZ26" s="73"/>
      <c r="MMA26" s="73"/>
      <c r="MMB26" s="73"/>
      <c r="MMC26" s="73"/>
      <c r="MMD26" s="73"/>
      <c r="MME26" s="73"/>
      <c r="MMF26" s="73"/>
      <c r="MMG26" s="73"/>
      <c r="MMH26" s="73"/>
      <c r="MMI26" s="73"/>
      <c r="MMJ26" s="73"/>
      <c r="MMK26" s="73"/>
      <c r="MML26" s="73"/>
      <c r="MMM26" s="73"/>
      <c r="MMN26" s="73"/>
      <c r="MMO26" s="73"/>
      <c r="MMP26" s="73"/>
      <c r="MMQ26" s="73"/>
      <c r="MMR26" s="73"/>
      <c r="MMS26" s="73"/>
      <c r="MMT26" s="73"/>
      <c r="MMU26" s="73"/>
      <c r="MMV26" s="73"/>
      <c r="MMW26" s="73"/>
      <c r="MMX26" s="73"/>
      <c r="MMY26" s="73"/>
      <c r="MMZ26" s="73"/>
      <c r="MNA26" s="73"/>
      <c r="MNB26" s="73"/>
      <c r="MNC26" s="73"/>
      <c r="MND26" s="73"/>
      <c r="MNE26" s="73"/>
      <c r="MNF26" s="73"/>
      <c r="MNG26" s="73"/>
      <c r="MNH26" s="73"/>
      <c r="MNI26" s="73"/>
      <c r="MNJ26" s="73"/>
      <c r="MNK26" s="73"/>
      <c r="MNL26" s="73"/>
      <c r="MNM26" s="73"/>
      <c r="MNN26" s="73"/>
      <c r="MNO26" s="73"/>
      <c r="MNP26" s="73"/>
      <c r="MNQ26" s="73"/>
      <c r="MNR26" s="73"/>
      <c r="MNS26" s="73"/>
      <c r="MNT26" s="73"/>
      <c r="MNU26" s="73"/>
      <c r="MNV26" s="73"/>
      <c r="MNW26" s="73"/>
      <c r="MNX26" s="73"/>
      <c r="MNY26" s="73"/>
      <c r="MNZ26" s="73"/>
      <c r="MOA26" s="73"/>
      <c r="MOB26" s="73"/>
      <c r="MOC26" s="73"/>
      <c r="MOD26" s="73"/>
      <c r="MOE26" s="73"/>
      <c r="MOF26" s="73"/>
      <c r="MOG26" s="73"/>
      <c r="MOH26" s="73"/>
      <c r="MOI26" s="73"/>
      <c r="MOJ26" s="73"/>
      <c r="MOK26" s="73"/>
      <c r="MOL26" s="73"/>
      <c r="MOM26" s="73"/>
      <c r="MON26" s="73"/>
      <c r="MOO26" s="73"/>
      <c r="MOP26" s="73"/>
      <c r="MOQ26" s="73"/>
      <c r="MOR26" s="73"/>
      <c r="MOS26" s="73"/>
      <c r="MOT26" s="73"/>
      <c r="MOU26" s="73"/>
      <c r="MOV26" s="73"/>
      <c r="MOW26" s="73"/>
      <c r="MOX26" s="73"/>
      <c r="MOY26" s="73"/>
      <c r="MOZ26" s="73"/>
      <c r="MPA26" s="73"/>
      <c r="MPB26" s="73"/>
      <c r="MPC26" s="73"/>
      <c r="MPD26" s="73"/>
      <c r="MPE26" s="73"/>
      <c r="MPF26" s="73"/>
      <c r="MPG26" s="73"/>
      <c r="MPH26" s="73"/>
      <c r="MPI26" s="73"/>
      <c r="MPJ26" s="73"/>
      <c r="MPK26" s="73"/>
      <c r="MPL26" s="73"/>
      <c r="MPM26" s="73"/>
      <c r="MPN26" s="73"/>
      <c r="MPO26" s="73"/>
      <c r="MPP26" s="73"/>
      <c r="MPQ26" s="73"/>
      <c r="MPR26" s="73"/>
      <c r="MPS26" s="73"/>
      <c r="MPT26" s="73"/>
      <c r="MPU26" s="73"/>
      <c r="MPV26" s="73"/>
      <c r="MPW26" s="73"/>
      <c r="MPX26" s="73"/>
      <c r="MPY26" s="73"/>
      <c r="MPZ26" s="73"/>
      <c r="MQA26" s="73"/>
      <c r="MQB26" s="73"/>
      <c r="MQC26" s="73"/>
      <c r="MQD26" s="73"/>
      <c r="MQE26" s="73"/>
      <c r="MQF26" s="73"/>
      <c r="MQG26" s="73"/>
      <c r="MQH26" s="73"/>
      <c r="MQI26" s="73"/>
      <c r="MQJ26" s="73"/>
      <c r="MQK26" s="73"/>
      <c r="MQL26" s="73"/>
      <c r="MQM26" s="73"/>
      <c r="MQN26" s="73"/>
      <c r="MQO26" s="73"/>
      <c r="MQP26" s="73"/>
      <c r="MQQ26" s="73"/>
      <c r="MQR26" s="73"/>
      <c r="MQS26" s="73"/>
      <c r="MQT26" s="73"/>
      <c r="MQU26" s="73"/>
      <c r="MQV26" s="73"/>
      <c r="MQW26" s="73"/>
      <c r="MQX26" s="73"/>
      <c r="MQY26" s="73"/>
      <c r="MQZ26" s="73"/>
      <c r="MRA26" s="73"/>
      <c r="MRB26" s="73"/>
      <c r="MRC26" s="73"/>
      <c r="MRD26" s="73"/>
      <c r="MRE26" s="73"/>
      <c r="MRF26" s="73"/>
      <c r="MRG26" s="73"/>
      <c r="MRH26" s="73"/>
      <c r="MRI26" s="73"/>
      <c r="MRJ26" s="73"/>
      <c r="MRK26" s="73"/>
      <c r="MRL26" s="73"/>
      <c r="MRM26" s="73"/>
      <c r="MRN26" s="73"/>
      <c r="MRO26" s="73"/>
      <c r="MRP26" s="73"/>
      <c r="MRQ26" s="73"/>
      <c r="MRR26" s="73"/>
      <c r="MRS26" s="73"/>
      <c r="MRT26" s="73"/>
      <c r="MRU26" s="73"/>
      <c r="MRV26" s="73"/>
      <c r="MRW26" s="73"/>
      <c r="MRX26" s="73"/>
      <c r="MRY26" s="73"/>
      <c r="MRZ26" s="73"/>
      <c r="MSA26" s="73"/>
      <c r="MSB26" s="73"/>
      <c r="MSC26" s="73"/>
      <c r="MSD26" s="73"/>
      <c r="MSE26" s="73"/>
      <c r="MSF26" s="73"/>
      <c r="MSG26" s="73"/>
      <c r="MSH26" s="73"/>
      <c r="MSI26" s="73"/>
      <c r="MSJ26" s="73"/>
      <c r="MSK26" s="73"/>
      <c r="MSL26" s="73"/>
      <c r="MSM26" s="73"/>
      <c r="MSN26" s="73"/>
      <c r="MSO26" s="73"/>
      <c r="MSP26" s="73"/>
      <c r="MSQ26" s="73"/>
      <c r="MSR26" s="73"/>
      <c r="MSS26" s="73"/>
      <c r="MST26" s="73"/>
      <c r="MSU26" s="73"/>
      <c r="MSV26" s="73"/>
      <c r="MSW26" s="73"/>
      <c r="MSX26" s="73"/>
      <c r="MSY26" s="73"/>
      <c r="MSZ26" s="73"/>
      <c r="MTA26" s="73"/>
      <c r="MTB26" s="73"/>
      <c r="MTC26" s="73"/>
      <c r="MTD26" s="73"/>
      <c r="MTE26" s="73"/>
      <c r="MTF26" s="73"/>
      <c r="MTG26" s="73"/>
      <c r="MTH26" s="73"/>
      <c r="MTI26" s="73"/>
      <c r="MTJ26" s="73"/>
      <c r="MTK26" s="73"/>
      <c r="MTL26" s="73"/>
      <c r="MTM26" s="73"/>
      <c r="MTN26" s="73"/>
      <c r="MTO26" s="73"/>
      <c r="MTP26" s="73"/>
      <c r="MTQ26" s="73"/>
      <c r="MTR26" s="73"/>
      <c r="MTS26" s="73"/>
      <c r="MTT26" s="73"/>
      <c r="MTU26" s="73"/>
      <c r="MTV26" s="73"/>
      <c r="MTW26" s="73"/>
      <c r="MTX26" s="73"/>
      <c r="MTY26" s="73"/>
      <c r="MTZ26" s="73"/>
      <c r="MUA26" s="73"/>
      <c r="MUB26" s="73"/>
      <c r="MUC26" s="73"/>
      <c r="MUD26" s="73"/>
      <c r="MUE26" s="73"/>
      <c r="MUF26" s="73"/>
      <c r="MUG26" s="73"/>
      <c r="MUH26" s="73"/>
      <c r="MUI26" s="73"/>
      <c r="MUJ26" s="73"/>
      <c r="MUK26" s="73"/>
      <c r="MUL26" s="73"/>
      <c r="MUM26" s="73"/>
      <c r="MUN26" s="73"/>
      <c r="MUO26" s="73"/>
      <c r="MUP26" s="73"/>
      <c r="MUQ26" s="73"/>
      <c r="MUR26" s="73"/>
      <c r="MUS26" s="73"/>
      <c r="MUT26" s="73"/>
      <c r="MUU26" s="73"/>
      <c r="MUV26" s="73"/>
      <c r="MUW26" s="73"/>
      <c r="MUX26" s="73"/>
      <c r="MUY26" s="73"/>
      <c r="MUZ26" s="73"/>
      <c r="MVA26" s="73"/>
      <c r="MVB26" s="73"/>
      <c r="MVC26" s="73"/>
      <c r="MVD26" s="73"/>
      <c r="MVE26" s="73"/>
      <c r="MVF26" s="73"/>
      <c r="MVG26" s="73"/>
      <c r="MVH26" s="73"/>
      <c r="MVI26" s="73"/>
      <c r="MVJ26" s="73"/>
      <c r="MVK26" s="73"/>
      <c r="MVL26" s="73"/>
      <c r="MVM26" s="73"/>
      <c r="MVN26" s="73"/>
      <c r="MVO26" s="73"/>
      <c r="MVP26" s="73"/>
      <c r="MVQ26" s="73"/>
      <c r="MVR26" s="73"/>
      <c r="MVS26" s="73"/>
      <c r="MVT26" s="73"/>
      <c r="MVU26" s="73"/>
      <c r="MVV26" s="73"/>
      <c r="MVW26" s="73"/>
      <c r="MVX26" s="73"/>
      <c r="MVY26" s="73"/>
      <c r="MVZ26" s="73"/>
      <c r="MWA26" s="73"/>
      <c r="MWB26" s="73"/>
      <c r="MWC26" s="73"/>
      <c r="MWD26" s="73"/>
      <c r="MWE26" s="73"/>
      <c r="MWF26" s="73"/>
      <c r="MWG26" s="73"/>
      <c r="MWH26" s="73"/>
      <c r="MWI26" s="73"/>
      <c r="MWJ26" s="73"/>
      <c r="MWK26" s="73"/>
      <c r="MWL26" s="73"/>
      <c r="MWM26" s="73"/>
      <c r="MWN26" s="73"/>
      <c r="MWO26" s="73"/>
      <c r="MWP26" s="73"/>
      <c r="MWQ26" s="73"/>
      <c r="MWR26" s="73"/>
      <c r="MWS26" s="73"/>
      <c r="MWT26" s="73"/>
      <c r="MWU26" s="73"/>
      <c r="MWV26" s="73"/>
      <c r="MWW26" s="73"/>
      <c r="MWX26" s="73"/>
      <c r="MWY26" s="73"/>
      <c r="MWZ26" s="73"/>
      <c r="MXA26" s="73"/>
      <c r="MXB26" s="73"/>
      <c r="MXC26" s="73"/>
      <c r="MXD26" s="73"/>
      <c r="MXE26" s="73"/>
      <c r="MXF26" s="73"/>
      <c r="MXG26" s="73"/>
      <c r="MXH26" s="73"/>
      <c r="MXI26" s="73"/>
      <c r="MXJ26" s="73"/>
      <c r="MXK26" s="73"/>
      <c r="MXL26" s="73"/>
      <c r="MXM26" s="73"/>
      <c r="MXN26" s="73"/>
      <c r="MXO26" s="73"/>
      <c r="MXP26" s="73"/>
      <c r="MXQ26" s="73"/>
      <c r="MXR26" s="73"/>
      <c r="MXS26" s="73"/>
      <c r="MXT26" s="73"/>
      <c r="MXU26" s="73"/>
      <c r="MXV26" s="73"/>
      <c r="MXW26" s="73"/>
      <c r="MXX26" s="73"/>
      <c r="MXY26" s="73"/>
      <c r="MXZ26" s="73"/>
      <c r="MYA26" s="73"/>
      <c r="MYB26" s="73"/>
      <c r="MYC26" s="73"/>
      <c r="MYD26" s="73"/>
      <c r="MYE26" s="73"/>
      <c r="MYF26" s="73"/>
      <c r="MYG26" s="73"/>
      <c r="MYH26" s="73"/>
      <c r="MYI26" s="73"/>
      <c r="MYJ26" s="73"/>
      <c r="MYK26" s="73"/>
      <c r="MYL26" s="73"/>
      <c r="MYM26" s="73"/>
      <c r="MYN26" s="73"/>
      <c r="MYO26" s="73"/>
      <c r="MYP26" s="73"/>
      <c r="MYQ26" s="73"/>
      <c r="MYR26" s="73"/>
      <c r="MYS26" s="73"/>
      <c r="MYT26" s="73"/>
      <c r="MYU26" s="73"/>
      <c r="MYV26" s="73"/>
      <c r="MYW26" s="73"/>
      <c r="MYX26" s="73"/>
      <c r="MYY26" s="73"/>
      <c r="MYZ26" s="73"/>
      <c r="MZA26" s="73"/>
      <c r="MZB26" s="73"/>
      <c r="MZC26" s="73"/>
      <c r="MZD26" s="73"/>
      <c r="MZE26" s="73"/>
      <c r="MZF26" s="73"/>
      <c r="MZG26" s="73"/>
      <c r="MZH26" s="73"/>
      <c r="MZI26" s="73"/>
      <c r="MZJ26" s="73"/>
      <c r="MZK26" s="73"/>
      <c r="MZL26" s="73"/>
      <c r="MZM26" s="73"/>
      <c r="MZN26" s="73"/>
      <c r="MZO26" s="73"/>
      <c r="MZP26" s="73"/>
      <c r="MZQ26" s="73"/>
      <c r="MZR26" s="73"/>
      <c r="MZS26" s="73"/>
      <c r="MZT26" s="73"/>
      <c r="MZU26" s="73"/>
      <c r="MZV26" s="73"/>
      <c r="MZW26" s="73"/>
      <c r="MZX26" s="73"/>
      <c r="MZY26" s="73"/>
      <c r="MZZ26" s="73"/>
      <c r="NAA26" s="73"/>
      <c r="NAB26" s="73"/>
      <c r="NAC26" s="73"/>
      <c r="NAD26" s="73"/>
      <c r="NAE26" s="73"/>
      <c r="NAF26" s="73"/>
      <c r="NAG26" s="73"/>
      <c r="NAH26" s="73"/>
      <c r="NAI26" s="73"/>
      <c r="NAJ26" s="73"/>
      <c r="NAK26" s="73"/>
      <c r="NAL26" s="73"/>
      <c r="NAM26" s="73"/>
      <c r="NAN26" s="73"/>
      <c r="NAO26" s="73"/>
      <c r="NAP26" s="73"/>
      <c r="NAQ26" s="73"/>
      <c r="NAR26" s="73"/>
      <c r="NAS26" s="73"/>
      <c r="NAT26" s="73"/>
      <c r="NAU26" s="73"/>
      <c r="NAV26" s="73"/>
      <c r="NAW26" s="73"/>
      <c r="NAX26" s="73"/>
      <c r="NAY26" s="73"/>
      <c r="NAZ26" s="73"/>
      <c r="NBA26" s="73"/>
      <c r="NBB26" s="73"/>
      <c r="NBC26" s="73"/>
      <c r="NBD26" s="73"/>
      <c r="NBE26" s="73"/>
      <c r="NBF26" s="73"/>
      <c r="NBG26" s="73"/>
      <c r="NBH26" s="73"/>
      <c r="NBI26" s="73"/>
      <c r="NBJ26" s="73"/>
      <c r="NBK26" s="73"/>
      <c r="NBL26" s="73"/>
      <c r="NBM26" s="73"/>
      <c r="NBN26" s="73"/>
      <c r="NBO26" s="73"/>
      <c r="NBP26" s="73"/>
      <c r="NBQ26" s="73"/>
      <c r="NBR26" s="73"/>
      <c r="NBS26" s="73"/>
      <c r="NBT26" s="73"/>
      <c r="NBU26" s="73"/>
      <c r="NBV26" s="73"/>
      <c r="NBW26" s="73"/>
      <c r="NBX26" s="73"/>
      <c r="NBY26" s="73"/>
      <c r="NBZ26" s="73"/>
      <c r="NCA26" s="73"/>
      <c r="NCB26" s="73"/>
      <c r="NCC26" s="73"/>
      <c r="NCD26" s="73"/>
      <c r="NCE26" s="73"/>
      <c r="NCF26" s="73"/>
      <c r="NCG26" s="73"/>
      <c r="NCH26" s="73"/>
      <c r="NCI26" s="73"/>
      <c r="NCJ26" s="73"/>
      <c r="NCK26" s="73"/>
      <c r="NCL26" s="73"/>
      <c r="NCM26" s="73"/>
      <c r="NCN26" s="73"/>
      <c r="NCO26" s="73"/>
      <c r="NCP26" s="73"/>
      <c r="NCQ26" s="73"/>
      <c r="NCR26" s="73"/>
      <c r="NCS26" s="73"/>
      <c r="NCT26" s="73"/>
      <c r="NCU26" s="73"/>
      <c r="NCV26" s="73"/>
      <c r="NCW26" s="73"/>
      <c r="NCX26" s="73"/>
      <c r="NCY26" s="73"/>
      <c r="NCZ26" s="73"/>
      <c r="NDA26" s="73"/>
      <c r="NDB26" s="73"/>
      <c r="NDC26" s="73"/>
      <c r="NDD26" s="73"/>
      <c r="NDE26" s="73"/>
      <c r="NDF26" s="73"/>
      <c r="NDG26" s="73"/>
      <c r="NDH26" s="73"/>
      <c r="NDI26" s="73"/>
      <c r="NDJ26" s="73"/>
      <c r="NDK26" s="73"/>
      <c r="NDL26" s="73"/>
      <c r="NDM26" s="73"/>
      <c r="NDN26" s="73"/>
      <c r="NDO26" s="73"/>
      <c r="NDP26" s="73"/>
      <c r="NDQ26" s="73"/>
      <c r="NDR26" s="73"/>
      <c r="NDS26" s="73"/>
      <c r="NDT26" s="73"/>
      <c r="NDU26" s="73"/>
      <c r="NDV26" s="73"/>
      <c r="NDW26" s="73"/>
      <c r="NDX26" s="73"/>
      <c r="NDY26" s="73"/>
      <c r="NDZ26" s="73"/>
      <c r="NEA26" s="73"/>
      <c r="NEB26" s="73"/>
      <c r="NEC26" s="73"/>
      <c r="NED26" s="73"/>
      <c r="NEE26" s="73"/>
      <c r="NEF26" s="73"/>
      <c r="NEG26" s="73"/>
      <c r="NEH26" s="73"/>
      <c r="NEI26" s="73"/>
      <c r="NEJ26" s="73"/>
      <c r="NEK26" s="73"/>
      <c r="NEL26" s="73"/>
      <c r="NEM26" s="73"/>
      <c r="NEN26" s="73"/>
      <c r="NEO26" s="73"/>
      <c r="NEP26" s="73"/>
      <c r="NEQ26" s="73"/>
      <c r="NER26" s="73"/>
      <c r="NES26" s="73"/>
      <c r="NET26" s="73"/>
      <c r="NEU26" s="73"/>
      <c r="NEV26" s="73"/>
      <c r="NEW26" s="73"/>
      <c r="NEX26" s="73"/>
      <c r="NEY26" s="73"/>
      <c r="NEZ26" s="73"/>
      <c r="NFA26" s="73"/>
      <c r="NFB26" s="73"/>
      <c r="NFC26" s="73"/>
      <c r="NFD26" s="73"/>
      <c r="NFE26" s="73"/>
      <c r="NFF26" s="73"/>
      <c r="NFG26" s="73"/>
      <c r="NFH26" s="73"/>
      <c r="NFI26" s="73"/>
      <c r="NFJ26" s="73"/>
      <c r="NFK26" s="73"/>
      <c r="NFL26" s="73"/>
      <c r="NFM26" s="73"/>
      <c r="NFN26" s="73"/>
      <c r="NFO26" s="73"/>
      <c r="NFP26" s="73"/>
      <c r="NFQ26" s="73"/>
      <c r="NFR26" s="73"/>
      <c r="NFS26" s="73"/>
      <c r="NFT26" s="73"/>
      <c r="NFU26" s="73"/>
      <c r="NFV26" s="73"/>
      <c r="NFW26" s="73"/>
      <c r="NFX26" s="73"/>
      <c r="NFY26" s="73"/>
      <c r="NFZ26" s="73"/>
      <c r="NGA26" s="73"/>
      <c r="NGB26" s="73"/>
      <c r="NGC26" s="73"/>
      <c r="NGD26" s="73"/>
      <c r="NGE26" s="73"/>
      <c r="NGF26" s="73"/>
      <c r="NGG26" s="73"/>
      <c r="NGH26" s="73"/>
      <c r="NGI26" s="73"/>
      <c r="NGJ26" s="73"/>
      <c r="NGK26" s="73"/>
      <c r="NGL26" s="73"/>
      <c r="NGM26" s="73"/>
      <c r="NGN26" s="73"/>
      <c r="NGO26" s="73"/>
      <c r="NGP26" s="73"/>
      <c r="NGQ26" s="73"/>
      <c r="NGR26" s="73"/>
      <c r="NGS26" s="73"/>
      <c r="NGT26" s="73"/>
      <c r="NGU26" s="73"/>
      <c r="NGV26" s="73"/>
      <c r="NGW26" s="73"/>
      <c r="NGX26" s="73"/>
      <c r="NGY26" s="73"/>
      <c r="NGZ26" s="73"/>
      <c r="NHA26" s="73"/>
      <c r="NHB26" s="73"/>
      <c r="NHC26" s="73"/>
      <c r="NHD26" s="73"/>
      <c r="NHE26" s="73"/>
      <c r="NHF26" s="73"/>
      <c r="NHG26" s="73"/>
      <c r="NHH26" s="73"/>
      <c r="NHI26" s="73"/>
      <c r="NHJ26" s="73"/>
      <c r="NHK26" s="73"/>
      <c r="NHL26" s="73"/>
      <c r="NHM26" s="73"/>
      <c r="NHN26" s="73"/>
      <c r="NHO26" s="73"/>
      <c r="NHP26" s="73"/>
      <c r="NHQ26" s="73"/>
      <c r="NHR26" s="73"/>
      <c r="NHS26" s="73"/>
      <c r="NHT26" s="73"/>
      <c r="NHU26" s="73"/>
      <c r="NHV26" s="73"/>
      <c r="NHW26" s="73"/>
      <c r="NHX26" s="73"/>
      <c r="NHY26" s="73"/>
      <c r="NHZ26" s="73"/>
      <c r="NIA26" s="73"/>
      <c r="NIB26" s="73"/>
      <c r="NIC26" s="73"/>
      <c r="NID26" s="73"/>
      <c r="NIE26" s="73"/>
      <c r="NIF26" s="73"/>
      <c r="NIG26" s="73"/>
      <c r="NIH26" s="73"/>
      <c r="NII26" s="73"/>
      <c r="NIJ26" s="73"/>
      <c r="NIK26" s="73"/>
      <c r="NIL26" s="73"/>
      <c r="NIM26" s="73"/>
      <c r="NIN26" s="73"/>
      <c r="NIO26" s="73"/>
      <c r="NIP26" s="73"/>
      <c r="NIQ26" s="73"/>
      <c r="NIR26" s="73"/>
      <c r="NIS26" s="73"/>
      <c r="NIT26" s="73"/>
      <c r="NIU26" s="73"/>
      <c r="NIV26" s="73"/>
      <c r="NIW26" s="73"/>
      <c r="NIX26" s="73"/>
      <c r="NIY26" s="73"/>
      <c r="NIZ26" s="73"/>
      <c r="NJA26" s="73"/>
      <c r="NJB26" s="73"/>
      <c r="NJC26" s="73"/>
      <c r="NJD26" s="73"/>
      <c r="NJE26" s="73"/>
      <c r="NJF26" s="73"/>
      <c r="NJG26" s="73"/>
      <c r="NJH26" s="73"/>
      <c r="NJI26" s="73"/>
      <c r="NJJ26" s="73"/>
      <c r="NJK26" s="73"/>
      <c r="NJL26" s="73"/>
      <c r="NJM26" s="73"/>
      <c r="NJN26" s="73"/>
      <c r="NJO26" s="73"/>
      <c r="NJP26" s="73"/>
      <c r="NJQ26" s="73"/>
      <c r="NJR26" s="73"/>
      <c r="NJS26" s="73"/>
      <c r="NJT26" s="73"/>
      <c r="NJU26" s="73"/>
      <c r="NJV26" s="73"/>
      <c r="NJW26" s="73"/>
      <c r="NJX26" s="73"/>
      <c r="NJY26" s="73"/>
      <c r="NJZ26" s="73"/>
      <c r="NKA26" s="73"/>
      <c r="NKB26" s="73"/>
      <c r="NKC26" s="73"/>
      <c r="NKD26" s="73"/>
      <c r="NKE26" s="73"/>
      <c r="NKF26" s="73"/>
      <c r="NKG26" s="73"/>
      <c r="NKH26" s="73"/>
      <c r="NKI26" s="73"/>
      <c r="NKJ26" s="73"/>
      <c r="NKK26" s="73"/>
      <c r="NKL26" s="73"/>
      <c r="NKM26" s="73"/>
      <c r="NKN26" s="73"/>
      <c r="NKO26" s="73"/>
      <c r="NKP26" s="73"/>
      <c r="NKQ26" s="73"/>
      <c r="NKR26" s="73"/>
      <c r="NKS26" s="73"/>
      <c r="NKT26" s="73"/>
      <c r="NKU26" s="73"/>
      <c r="NKV26" s="73"/>
      <c r="NKW26" s="73"/>
      <c r="NKX26" s="73"/>
      <c r="NKY26" s="73"/>
      <c r="NKZ26" s="73"/>
      <c r="NLA26" s="73"/>
      <c r="NLB26" s="73"/>
      <c r="NLC26" s="73"/>
      <c r="NLD26" s="73"/>
      <c r="NLE26" s="73"/>
      <c r="NLF26" s="73"/>
      <c r="NLG26" s="73"/>
      <c r="NLH26" s="73"/>
      <c r="NLI26" s="73"/>
      <c r="NLJ26" s="73"/>
      <c r="NLK26" s="73"/>
      <c r="NLL26" s="73"/>
      <c r="NLM26" s="73"/>
      <c r="NLN26" s="73"/>
      <c r="NLO26" s="73"/>
      <c r="NLP26" s="73"/>
      <c r="NLQ26" s="73"/>
      <c r="NLR26" s="73"/>
      <c r="NLS26" s="73"/>
      <c r="NLT26" s="73"/>
      <c r="NLU26" s="73"/>
      <c r="NLV26" s="73"/>
      <c r="NLW26" s="73"/>
      <c r="NLX26" s="73"/>
      <c r="NLY26" s="73"/>
      <c r="NLZ26" s="73"/>
      <c r="NMA26" s="73"/>
      <c r="NMB26" s="73"/>
      <c r="NMC26" s="73"/>
      <c r="NMD26" s="73"/>
      <c r="NME26" s="73"/>
      <c r="NMF26" s="73"/>
      <c r="NMG26" s="73"/>
      <c r="NMH26" s="73"/>
      <c r="NMI26" s="73"/>
      <c r="NMJ26" s="73"/>
      <c r="NMK26" s="73"/>
      <c r="NML26" s="73"/>
      <c r="NMM26" s="73"/>
      <c r="NMN26" s="73"/>
      <c r="NMO26" s="73"/>
      <c r="NMP26" s="73"/>
      <c r="NMQ26" s="73"/>
      <c r="NMR26" s="73"/>
      <c r="NMS26" s="73"/>
      <c r="NMT26" s="73"/>
      <c r="NMU26" s="73"/>
      <c r="NMV26" s="73"/>
      <c r="NMW26" s="73"/>
      <c r="NMX26" s="73"/>
      <c r="NMY26" s="73"/>
      <c r="NMZ26" s="73"/>
      <c r="NNA26" s="73"/>
      <c r="NNB26" s="73"/>
      <c r="NNC26" s="73"/>
      <c r="NND26" s="73"/>
      <c r="NNE26" s="73"/>
      <c r="NNF26" s="73"/>
      <c r="NNG26" s="73"/>
      <c r="NNH26" s="73"/>
      <c r="NNI26" s="73"/>
      <c r="NNJ26" s="73"/>
      <c r="NNK26" s="73"/>
      <c r="NNL26" s="73"/>
      <c r="NNM26" s="73"/>
      <c r="NNN26" s="73"/>
      <c r="NNO26" s="73"/>
      <c r="NNP26" s="73"/>
      <c r="NNQ26" s="73"/>
      <c r="NNR26" s="73"/>
      <c r="NNS26" s="73"/>
      <c r="NNT26" s="73"/>
      <c r="NNU26" s="73"/>
      <c r="NNV26" s="73"/>
      <c r="NNW26" s="73"/>
      <c r="NNX26" s="73"/>
      <c r="NNY26" s="73"/>
      <c r="NNZ26" s="73"/>
      <c r="NOA26" s="73"/>
      <c r="NOB26" s="73"/>
      <c r="NOC26" s="73"/>
      <c r="NOD26" s="73"/>
      <c r="NOE26" s="73"/>
      <c r="NOF26" s="73"/>
      <c r="NOG26" s="73"/>
      <c r="NOH26" s="73"/>
      <c r="NOI26" s="73"/>
      <c r="NOJ26" s="73"/>
      <c r="NOK26" s="73"/>
      <c r="NOL26" s="73"/>
      <c r="NOM26" s="73"/>
      <c r="NON26" s="73"/>
      <c r="NOO26" s="73"/>
      <c r="NOP26" s="73"/>
      <c r="NOQ26" s="73"/>
      <c r="NOR26" s="73"/>
      <c r="NOS26" s="73"/>
      <c r="NOT26" s="73"/>
      <c r="NOU26" s="73"/>
      <c r="NOV26" s="73"/>
      <c r="NOW26" s="73"/>
      <c r="NOX26" s="73"/>
      <c r="NOY26" s="73"/>
      <c r="NOZ26" s="73"/>
      <c r="NPA26" s="73"/>
      <c r="NPB26" s="73"/>
      <c r="NPC26" s="73"/>
      <c r="NPD26" s="73"/>
      <c r="NPE26" s="73"/>
      <c r="NPF26" s="73"/>
      <c r="NPG26" s="73"/>
      <c r="NPH26" s="73"/>
      <c r="NPI26" s="73"/>
      <c r="NPJ26" s="73"/>
      <c r="NPK26" s="73"/>
      <c r="NPL26" s="73"/>
      <c r="NPM26" s="73"/>
      <c r="NPN26" s="73"/>
      <c r="NPO26" s="73"/>
      <c r="NPP26" s="73"/>
      <c r="NPQ26" s="73"/>
      <c r="NPR26" s="73"/>
      <c r="NPS26" s="73"/>
      <c r="NPT26" s="73"/>
      <c r="NPU26" s="73"/>
      <c r="NPV26" s="73"/>
      <c r="NPW26" s="73"/>
      <c r="NPX26" s="73"/>
      <c r="NPY26" s="73"/>
      <c r="NPZ26" s="73"/>
      <c r="NQA26" s="73"/>
      <c r="NQB26" s="73"/>
      <c r="NQC26" s="73"/>
      <c r="NQD26" s="73"/>
      <c r="NQE26" s="73"/>
      <c r="NQF26" s="73"/>
      <c r="NQG26" s="73"/>
      <c r="NQH26" s="73"/>
      <c r="NQI26" s="73"/>
      <c r="NQJ26" s="73"/>
      <c r="NQK26" s="73"/>
      <c r="NQL26" s="73"/>
      <c r="NQM26" s="73"/>
      <c r="NQN26" s="73"/>
      <c r="NQO26" s="73"/>
      <c r="NQP26" s="73"/>
      <c r="NQQ26" s="73"/>
      <c r="NQR26" s="73"/>
      <c r="NQS26" s="73"/>
      <c r="NQT26" s="73"/>
      <c r="NQU26" s="73"/>
      <c r="NQV26" s="73"/>
      <c r="NQW26" s="73"/>
      <c r="NQX26" s="73"/>
      <c r="NQY26" s="73"/>
      <c r="NQZ26" s="73"/>
      <c r="NRA26" s="73"/>
      <c r="NRB26" s="73"/>
      <c r="NRC26" s="73"/>
      <c r="NRD26" s="73"/>
      <c r="NRE26" s="73"/>
      <c r="NRF26" s="73"/>
      <c r="NRG26" s="73"/>
      <c r="NRH26" s="73"/>
      <c r="NRI26" s="73"/>
      <c r="NRJ26" s="73"/>
      <c r="NRK26" s="73"/>
      <c r="NRL26" s="73"/>
      <c r="NRM26" s="73"/>
      <c r="NRN26" s="73"/>
      <c r="NRO26" s="73"/>
      <c r="NRP26" s="73"/>
      <c r="NRQ26" s="73"/>
      <c r="NRR26" s="73"/>
      <c r="NRS26" s="73"/>
      <c r="NRT26" s="73"/>
      <c r="NRU26" s="73"/>
      <c r="NRV26" s="73"/>
      <c r="NRW26" s="73"/>
      <c r="NRX26" s="73"/>
      <c r="NRY26" s="73"/>
      <c r="NRZ26" s="73"/>
      <c r="NSA26" s="73"/>
      <c r="NSB26" s="73"/>
      <c r="NSC26" s="73"/>
      <c r="NSD26" s="73"/>
      <c r="NSE26" s="73"/>
      <c r="NSF26" s="73"/>
      <c r="NSG26" s="73"/>
      <c r="NSH26" s="73"/>
      <c r="NSI26" s="73"/>
      <c r="NSJ26" s="73"/>
      <c r="NSK26" s="73"/>
      <c r="NSL26" s="73"/>
      <c r="NSM26" s="73"/>
      <c r="NSN26" s="73"/>
      <c r="NSO26" s="73"/>
      <c r="NSP26" s="73"/>
      <c r="NSQ26" s="73"/>
      <c r="NSR26" s="73"/>
      <c r="NSS26" s="73"/>
      <c r="NST26" s="73"/>
      <c r="NSU26" s="73"/>
      <c r="NSV26" s="73"/>
      <c r="NSW26" s="73"/>
      <c r="NSX26" s="73"/>
      <c r="NSY26" s="73"/>
      <c r="NSZ26" s="73"/>
      <c r="NTA26" s="73"/>
      <c r="NTB26" s="73"/>
      <c r="NTC26" s="73"/>
      <c r="NTD26" s="73"/>
      <c r="NTE26" s="73"/>
      <c r="NTF26" s="73"/>
      <c r="NTG26" s="73"/>
      <c r="NTH26" s="73"/>
      <c r="NTI26" s="73"/>
      <c r="NTJ26" s="73"/>
      <c r="NTK26" s="73"/>
      <c r="NTL26" s="73"/>
      <c r="NTM26" s="73"/>
      <c r="NTN26" s="73"/>
      <c r="NTO26" s="73"/>
      <c r="NTP26" s="73"/>
      <c r="NTQ26" s="73"/>
      <c r="NTR26" s="73"/>
      <c r="NTS26" s="73"/>
      <c r="NTT26" s="73"/>
      <c r="NTU26" s="73"/>
      <c r="NTV26" s="73"/>
      <c r="NTW26" s="73"/>
      <c r="NTX26" s="73"/>
      <c r="NTY26" s="73"/>
      <c r="NTZ26" s="73"/>
      <c r="NUA26" s="73"/>
      <c r="NUB26" s="73"/>
      <c r="NUC26" s="73"/>
      <c r="NUD26" s="73"/>
      <c r="NUE26" s="73"/>
      <c r="NUF26" s="73"/>
      <c r="NUG26" s="73"/>
      <c r="NUH26" s="73"/>
      <c r="NUI26" s="73"/>
      <c r="NUJ26" s="73"/>
      <c r="NUK26" s="73"/>
      <c r="NUL26" s="73"/>
      <c r="NUM26" s="73"/>
      <c r="NUN26" s="73"/>
      <c r="NUO26" s="73"/>
      <c r="NUP26" s="73"/>
      <c r="NUQ26" s="73"/>
      <c r="NUR26" s="73"/>
      <c r="NUS26" s="73"/>
      <c r="NUT26" s="73"/>
      <c r="NUU26" s="73"/>
      <c r="NUV26" s="73"/>
      <c r="NUW26" s="73"/>
      <c r="NUX26" s="73"/>
      <c r="NUY26" s="73"/>
      <c r="NUZ26" s="73"/>
      <c r="NVA26" s="73"/>
      <c r="NVB26" s="73"/>
      <c r="NVC26" s="73"/>
      <c r="NVD26" s="73"/>
      <c r="NVE26" s="73"/>
      <c r="NVF26" s="73"/>
      <c r="NVG26" s="73"/>
      <c r="NVH26" s="73"/>
      <c r="NVI26" s="73"/>
      <c r="NVJ26" s="73"/>
      <c r="NVK26" s="73"/>
      <c r="NVL26" s="73"/>
      <c r="NVM26" s="73"/>
      <c r="NVN26" s="73"/>
      <c r="NVO26" s="73"/>
      <c r="NVP26" s="73"/>
      <c r="NVQ26" s="73"/>
      <c r="NVR26" s="73"/>
      <c r="NVS26" s="73"/>
      <c r="NVT26" s="73"/>
      <c r="NVU26" s="73"/>
      <c r="NVV26" s="73"/>
      <c r="NVW26" s="73"/>
      <c r="NVX26" s="73"/>
      <c r="NVY26" s="73"/>
      <c r="NVZ26" s="73"/>
      <c r="NWA26" s="73"/>
      <c r="NWB26" s="73"/>
      <c r="NWC26" s="73"/>
      <c r="NWD26" s="73"/>
      <c r="NWE26" s="73"/>
      <c r="NWF26" s="73"/>
      <c r="NWG26" s="73"/>
      <c r="NWH26" s="73"/>
      <c r="NWI26" s="73"/>
      <c r="NWJ26" s="73"/>
      <c r="NWK26" s="73"/>
      <c r="NWL26" s="73"/>
      <c r="NWM26" s="73"/>
      <c r="NWN26" s="73"/>
      <c r="NWO26" s="73"/>
      <c r="NWP26" s="73"/>
      <c r="NWQ26" s="73"/>
      <c r="NWR26" s="73"/>
      <c r="NWS26" s="73"/>
      <c r="NWT26" s="73"/>
      <c r="NWU26" s="73"/>
      <c r="NWV26" s="73"/>
      <c r="NWW26" s="73"/>
      <c r="NWX26" s="73"/>
      <c r="NWY26" s="73"/>
      <c r="NWZ26" s="73"/>
      <c r="NXA26" s="73"/>
      <c r="NXB26" s="73"/>
      <c r="NXC26" s="73"/>
      <c r="NXD26" s="73"/>
      <c r="NXE26" s="73"/>
      <c r="NXF26" s="73"/>
      <c r="NXG26" s="73"/>
      <c r="NXH26" s="73"/>
      <c r="NXI26" s="73"/>
      <c r="NXJ26" s="73"/>
      <c r="NXK26" s="73"/>
      <c r="NXL26" s="73"/>
      <c r="NXM26" s="73"/>
      <c r="NXN26" s="73"/>
      <c r="NXO26" s="73"/>
      <c r="NXP26" s="73"/>
      <c r="NXQ26" s="73"/>
      <c r="NXR26" s="73"/>
      <c r="NXS26" s="73"/>
      <c r="NXT26" s="73"/>
      <c r="NXU26" s="73"/>
      <c r="NXV26" s="73"/>
      <c r="NXW26" s="73"/>
      <c r="NXX26" s="73"/>
      <c r="NXY26" s="73"/>
      <c r="NXZ26" s="73"/>
      <c r="NYA26" s="73"/>
      <c r="NYB26" s="73"/>
      <c r="NYC26" s="73"/>
      <c r="NYD26" s="73"/>
      <c r="NYE26" s="73"/>
      <c r="NYF26" s="73"/>
      <c r="NYG26" s="73"/>
      <c r="NYH26" s="73"/>
      <c r="NYI26" s="73"/>
      <c r="NYJ26" s="73"/>
      <c r="NYK26" s="73"/>
      <c r="NYL26" s="73"/>
      <c r="NYM26" s="73"/>
      <c r="NYN26" s="73"/>
      <c r="NYO26" s="73"/>
      <c r="NYP26" s="73"/>
      <c r="NYQ26" s="73"/>
      <c r="NYR26" s="73"/>
      <c r="NYS26" s="73"/>
      <c r="NYT26" s="73"/>
      <c r="NYU26" s="73"/>
      <c r="NYV26" s="73"/>
      <c r="NYW26" s="73"/>
      <c r="NYX26" s="73"/>
      <c r="NYY26" s="73"/>
      <c r="NYZ26" s="73"/>
      <c r="NZA26" s="73"/>
      <c r="NZB26" s="73"/>
      <c r="NZC26" s="73"/>
      <c r="NZD26" s="73"/>
      <c r="NZE26" s="73"/>
      <c r="NZF26" s="73"/>
      <c r="NZG26" s="73"/>
      <c r="NZH26" s="73"/>
      <c r="NZI26" s="73"/>
      <c r="NZJ26" s="73"/>
      <c r="NZK26" s="73"/>
      <c r="NZL26" s="73"/>
      <c r="NZM26" s="73"/>
      <c r="NZN26" s="73"/>
      <c r="NZO26" s="73"/>
      <c r="NZP26" s="73"/>
      <c r="NZQ26" s="73"/>
      <c r="NZR26" s="73"/>
      <c r="NZS26" s="73"/>
      <c r="NZT26" s="73"/>
      <c r="NZU26" s="73"/>
      <c r="NZV26" s="73"/>
      <c r="NZW26" s="73"/>
      <c r="NZX26" s="73"/>
      <c r="NZY26" s="73"/>
      <c r="NZZ26" s="73"/>
      <c r="OAA26" s="73"/>
      <c r="OAB26" s="73"/>
      <c r="OAC26" s="73"/>
      <c r="OAD26" s="73"/>
      <c r="OAE26" s="73"/>
      <c r="OAF26" s="73"/>
      <c r="OAG26" s="73"/>
      <c r="OAH26" s="73"/>
      <c r="OAI26" s="73"/>
      <c r="OAJ26" s="73"/>
      <c r="OAK26" s="73"/>
      <c r="OAL26" s="73"/>
      <c r="OAM26" s="73"/>
      <c r="OAN26" s="73"/>
      <c r="OAO26" s="73"/>
      <c r="OAP26" s="73"/>
      <c r="OAQ26" s="73"/>
      <c r="OAR26" s="73"/>
      <c r="OAS26" s="73"/>
      <c r="OAT26" s="73"/>
      <c r="OAU26" s="73"/>
      <c r="OAV26" s="73"/>
      <c r="OAW26" s="73"/>
      <c r="OAX26" s="73"/>
      <c r="OAY26" s="73"/>
      <c r="OAZ26" s="73"/>
      <c r="OBA26" s="73"/>
      <c r="OBB26" s="73"/>
      <c r="OBC26" s="73"/>
      <c r="OBD26" s="73"/>
      <c r="OBE26" s="73"/>
      <c r="OBF26" s="73"/>
      <c r="OBG26" s="73"/>
      <c r="OBH26" s="73"/>
      <c r="OBI26" s="73"/>
      <c r="OBJ26" s="73"/>
      <c r="OBK26" s="73"/>
      <c r="OBL26" s="73"/>
      <c r="OBM26" s="73"/>
      <c r="OBN26" s="73"/>
      <c r="OBO26" s="73"/>
      <c r="OBP26" s="73"/>
      <c r="OBQ26" s="73"/>
      <c r="OBR26" s="73"/>
      <c r="OBS26" s="73"/>
      <c r="OBT26" s="73"/>
      <c r="OBU26" s="73"/>
      <c r="OBV26" s="73"/>
      <c r="OBW26" s="73"/>
      <c r="OBX26" s="73"/>
      <c r="OBY26" s="73"/>
      <c r="OBZ26" s="73"/>
      <c r="OCA26" s="73"/>
      <c r="OCB26" s="73"/>
      <c r="OCC26" s="73"/>
      <c r="OCD26" s="73"/>
      <c r="OCE26" s="73"/>
      <c r="OCF26" s="73"/>
      <c r="OCG26" s="73"/>
      <c r="OCH26" s="73"/>
      <c r="OCI26" s="73"/>
      <c r="OCJ26" s="73"/>
      <c r="OCK26" s="73"/>
      <c r="OCL26" s="73"/>
      <c r="OCM26" s="73"/>
      <c r="OCN26" s="73"/>
      <c r="OCO26" s="73"/>
      <c r="OCP26" s="73"/>
      <c r="OCQ26" s="73"/>
      <c r="OCR26" s="73"/>
      <c r="OCS26" s="73"/>
      <c r="OCT26" s="73"/>
      <c r="OCU26" s="73"/>
      <c r="OCV26" s="73"/>
      <c r="OCW26" s="73"/>
      <c r="OCX26" s="73"/>
      <c r="OCY26" s="73"/>
      <c r="OCZ26" s="73"/>
      <c r="ODA26" s="73"/>
      <c r="ODB26" s="73"/>
      <c r="ODC26" s="73"/>
      <c r="ODD26" s="73"/>
      <c r="ODE26" s="73"/>
      <c r="ODF26" s="73"/>
      <c r="ODG26" s="73"/>
      <c r="ODH26" s="73"/>
      <c r="ODI26" s="73"/>
      <c r="ODJ26" s="73"/>
      <c r="ODK26" s="73"/>
      <c r="ODL26" s="73"/>
      <c r="ODM26" s="73"/>
      <c r="ODN26" s="73"/>
      <c r="ODO26" s="73"/>
      <c r="ODP26" s="73"/>
      <c r="ODQ26" s="73"/>
      <c r="ODR26" s="73"/>
      <c r="ODS26" s="73"/>
      <c r="ODT26" s="73"/>
      <c r="ODU26" s="73"/>
      <c r="ODV26" s="73"/>
      <c r="ODW26" s="73"/>
      <c r="ODX26" s="73"/>
      <c r="ODY26" s="73"/>
      <c r="ODZ26" s="73"/>
      <c r="OEA26" s="73"/>
      <c r="OEB26" s="73"/>
      <c r="OEC26" s="73"/>
      <c r="OED26" s="73"/>
      <c r="OEE26" s="73"/>
      <c r="OEF26" s="73"/>
      <c r="OEG26" s="73"/>
      <c r="OEH26" s="73"/>
      <c r="OEI26" s="73"/>
      <c r="OEJ26" s="73"/>
      <c r="OEK26" s="73"/>
      <c r="OEL26" s="73"/>
      <c r="OEM26" s="73"/>
      <c r="OEN26" s="73"/>
      <c r="OEO26" s="73"/>
      <c r="OEP26" s="73"/>
      <c r="OEQ26" s="73"/>
      <c r="OER26" s="73"/>
      <c r="OES26" s="73"/>
      <c r="OET26" s="73"/>
      <c r="OEU26" s="73"/>
      <c r="OEV26" s="73"/>
      <c r="OEW26" s="73"/>
      <c r="OEX26" s="73"/>
      <c r="OEY26" s="73"/>
      <c r="OEZ26" s="73"/>
      <c r="OFA26" s="73"/>
      <c r="OFB26" s="73"/>
      <c r="OFC26" s="73"/>
      <c r="OFD26" s="73"/>
      <c r="OFE26" s="73"/>
      <c r="OFF26" s="73"/>
      <c r="OFG26" s="73"/>
      <c r="OFH26" s="73"/>
      <c r="OFI26" s="73"/>
      <c r="OFJ26" s="73"/>
      <c r="OFK26" s="73"/>
      <c r="OFL26" s="73"/>
      <c r="OFM26" s="73"/>
      <c r="OFN26" s="73"/>
      <c r="OFO26" s="73"/>
      <c r="OFP26" s="73"/>
      <c r="OFQ26" s="73"/>
      <c r="OFR26" s="73"/>
      <c r="OFS26" s="73"/>
      <c r="OFT26" s="73"/>
      <c r="OFU26" s="73"/>
      <c r="OFV26" s="73"/>
      <c r="OFW26" s="73"/>
      <c r="OFX26" s="73"/>
      <c r="OFY26" s="73"/>
      <c r="OFZ26" s="73"/>
      <c r="OGA26" s="73"/>
      <c r="OGB26" s="73"/>
      <c r="OGC26" s="73"/>
      <c r="OGD26" s="73"/>
      <c r="OGE26" s="73"/>
      <c r="OGF26" s="73"/>
      <c r="OGG26" s="73"/>
      <c r="OGH26" s="73"/>
      <c r="OGI26" s="73"/>
      <c r="OGJ26" s="73"/>
      <c r="OGK26" s="73"/>
      <c r="OGL26" s="73"/>
      <c r="OGM26" s="73"/>
      <c r="OGN26" s="73"/>
      <c r="OGO26" s="73"/>
      <c r="OGP26" s="73"/>
      <c r="OGQ26" s="73"/>
      <c r="OGR26" s="73"/>
      <c r="OGS26" s="73"/>
      <c r="OGT26" s="73"/>
      <c r="OGU26" s="73"/>
      <c r="OGV26" s="73"/>
      <c r="OGW26" s="73"/>
      <c r="OGX26" s="73"/>
      <c r="OGY26" s="73"/>
      <c r="OGZ26" s="73"/>
      <c r="OHA26" s="73"/>
      <c r="OHB26" s="73"/>
      <c r="OHC26" s="73"/>
      <c r="OHD26" s="73"/>
      <c r="OHE26" s="73"/>
      <c r="OHF26" s="73"/>
      <c r="OHG26" s="73"/>
      <c r="OHH26" s="73"/>
      <c r="OHI26" s="73"/>
      <c r="OHJ26" s="73"/>
      <c r="OHK26" s="73"/>
      <c r="OHL26" s="73"/>
      <c r="OHM26" s="73"/>
      <c r="OHN26" s="73"/>
      <c r="OHO26" s="73"/>
      <c r="OHP26" s="73"/>
      <c r="OHQ26" s="73"/>
      <c r="OHR26" s="73"/>
      <c r="OHS26" s="73"/>
      <c r="OHT26" s="73"/>
      <c r="OHU26" s="73"/>
      <c r="OHV26" s="73"/>
      <c r="OHW26" s="73"/>
      <c r="OHX26" s="73"/>
      <c r="OHY26" s="73"/>
      <c r="OHZ26" s="73"/>
      <c r="OIA26" s="73"/>
      <c r="OIB26" s="73"/>
      <c r="OIC26" s="73"/>
      <c r="OID26" s="73"/>
      <c r="OIE26" s="73"/>
      <c r="OIF26" s="73"/>
      <c r="OIG26" s="73"/>
      <c r="OIH26" s="73"/>
      <c r="OII26" s="73"/>
      <c r="OIJ26" s="73"/>
      <c r="OIK26" s="73"/>
      <c r="OIL26" s="73"/>
      <c r="OIM26" s="73"/>
      <c r="OIN26" s="73"/>
      <c r="OIO26" s="73"/>
      <c r="OIP26" s="73"/>
      <c r="OIQ26" s="73"/>
      <c r="OIR26" s="73"/>
      <c r="OIS26" s="73"/>
      <c r="OIT26" s="73"/>
      <c r="OIU26" s="73"/>
      <c r="OIV26" s="73"/>
      <c r="OIW26" s="73"/>
      <c r="OIX26" s="73"/>
      <c r="OIY26" s="73"/>
      <c r="OIZ26" s="73"/>
      <c r="OJA26" s="73"/>
      <c r="OJB26" s="73"/>
      <c r="OJC26" s="73"/>
      <c r="OJD26" s="73"/>
      <c r="OJE26" s="73"/>
      <c r="OJF26" s="73"/>
      <c r="OJG26" s="73"/>
      <c r="OJH26" s="73"/>
      <c r="OJI26" s="73"/>
      <c r="OJJ26" s="73"/>
      <c r="OJK26" s="73"/>
      <c r="OJL26" s="73"/>
      <c r="OJM26" s="73"/>
      <c r="OJN26" s="73"/>
      <c r="OJO26" s="73"/>
      <c r="OJP26" s="73"/>
      <c r="OJQ26" s="73"/>
      <c r="OJR26" s="73"/>
      <c r="OJS26" s="73"/>
      <c r="OJT26" s="73"/>
      <c r="OJU26" s="73"/>
      <c r="OJV26" s="73"/>
      <c r="OJW26" s="73"/>
      <c r="OJX26" s="73"/>
      <c r="OJY26" s="73"/>
      <c r="OJZ26" s="73"/>
      <c r="OKA26" s="73"/>
      <c r="OKB26" s="73"/>
      <c r="OKC26" s="73"/>
      <c r="OKD26" s="73"/>
      <c r="OKE26" s="73"/>
      <c r="OKF26" s="73"/>
      <c r="OKG26" s="73"/>
      <c r="OKH26" s="73"/>
      <c r="OKI26" s="73"/>
      <c r="OKJ26" s="73"/>
      <c r="OKK26" s="73"/>
      <c r="OKL26" s="73"/>
      <c r="OKM26" s="73"/>
      <c r="OKN26" s="73"/>
      <c r="OKO26" s="73"/>
      <c r="OKP26" s="73"/>
      <c r="OKQ26" s="73"/>
      <c r="OKR26" s="73"/>
      <c r="OKS26" s="73"/>
      <c r="OKT26" s="73"/>
      <c r="OKU26" s="73"/>
      <c r="OKV26" s="73"/>
      <c r="OKW26" s="73"/>
      <c r="OKX26" s="73"/>
      <c r="OKY26" s="73"/>
      <c r="OKZ26" s="73"/>
      <c r="OLA26" s="73"/>
      <c r="OLB26" s="73"/>
      <c r="OLC26" s="73"/>
      <c r="OLD26" s="73"/>
      <c r="OLE26" s="73"/>
      <c r="OLF26" s="73"/>
      <c r="OLG26" s="73"/>
      <c r="OLH26" s="73"/>
      <c r="OLI26" s="73"/>
      <c r="OLJ26" s="73"/>
      <c r="OLK26" s="73"/>
      <c r="OLL26" s="73"/>
      <c r="OLM26" s="73"/>
      <c r="OLN26" s="73"/>
      <c r="OLO26" s="73"/>
      <c r="OLP26" s="73"/>
      <c r="OLQ26" s="73"/>
      <c r="OLR26" s="73"/>
      <c r="OLS26" s="73"/>
      <c r="OLT26" s="73"/>
      <c r="OLU26" s="73"/>
      <c r="OLV26" s="73"/>
      <c r="OLW26" s="73"/>
      <c r="OLX26" s="73"/>
      <c r="OLY26" s="73"/>
      <c r="OLZ26" s="73"/>
      <c r="OMA26" s="73"/>
      <c r="OMB26" s="73"/>
      <c r="OMC26" s="73"/>
      <c r="OMD26" s="73"/>
      <c r="OME26" s="73"/>
      <c r="OMF26" s="73"/>
      <c r="OMG26" s="73"/>
      <c r="OMH26" s="73"/>
      <c r="OMI26" s="73"/>
      <c r="OMJ26" s="73"/>
      <c r="OMK26" s="73"/>
      <c r="OML26" s="73"/>
      <c r="OMM26" s="73"/>
      <c r="OMN26" s="73"/>
      <c r="OMO26" s="73"/>
      <c r="OMP26" s="73"/>
      <c r="OMQ26" s="73"/>
      <c r="OMR26" s="73"/>
      <c r="OMS26" s="73"/>
      <c r="OMT26" s="73"/>
      <c r="OMU26" s="73"/>
      <c r="OMV26" s="73"/>
      <c r="OMW26" s="73"/>
      <c r="OMX26" s="73"/>
      <c r="OMY26" s="73"/>
      <c r="OMZ26" s="73"/>
      <c r="ONA26" s="73"/>
      <c r="ONB26" s="73"/>
      <c r="ONC26" s="73"/>
      <c r="OND26" s="73"/>
      <c r="ONE26" s="73"/>
      <c r="ONF26" s="73"/>
      <c r="ONG26" s="73"/>
      <c r="ONH26" s="73"/>
      <c r="ONI26" s="73"/>
      <c r="ONJ26" s="73"/>
      <c r="ONK26" s="73"/>
      <c r="ONL26" s="73"/>
      <c r="ONM26" s="73"/>
      <c r="ONN26" s="73"/>
      <c r="ONO26" s="73"/>
      <c r="ONP26" s="73"/>
      <c r="ONQ26" s="73"/>
      <c r="ONR26" s="73"/>
      <c r="ONS26" s="73"/>
      <c r="ONT26" s="73"/>
      <c r="ONU26" s="73"/>
      <c r="ONV26" s="73"/>
      <c r="ONW26" s="73"/>
      <c r="ONX26" s="73"/>
      <c r="ONY26" s="73"/>
      <c r="ONZ26" s="73"/>
      <c r="OOA26" s="73"/>
      <c r="OOB26" s="73"/>
      <c r="OOC26" s="73"/>
      <c r="OOD26" s="73"/>
      <c r="OOE26" s="73"/>
      <c r="OOF26" s="73"/>
      <c r="OOG26" s="73"/>
      <c r="OOH26" s="73"/>
      <c r="OOI26" s="73"/>
      <c r="OOJ26" s="73"/>
      <c r="OOK26" s="73"/>
      <c r="OOL26" s="73"/>
      <c r="OOM26" s="73"/>
      <c r="OON26" s="73"/>
      <c r="OOO26" s="73"/>
      <c r="OOP26" s="73"/>
      <c r="OOQ26" s="73"/>
      <c r="OOR26" s="73"/>
      <c r="OOS26" s="73"/>
      <c r="OOT26" s="73"/>
      <c r="OOU26" s="73"/>
      <c r="OOV26" s="73"/>
      <c r="OOW26" s="73"/>
      <c r="OOX26" s="73"/>
      <c r="OOY26" s="73"/>
      <c r="OOZ26" s="73"/>
      <c r="OPA26" s="73"/>
      <c r="OPB26" s="73"/>
      <c r="OPC26" s="73"/>
      <c r="OPD26" s="73"/>
      <c r="OPE26" s="73"/>
      <c r="OPF26" s="73"/>
      <c r="OPG26" s="73"/>
      <c r="OPH26" s="73"/>
      <c r="OPI26" s="73"/>
      <c r="OPJ26" s="73"/>
      <c r="OPK26" s="73"/>
      <c r="OPL26" s="73"/>
      <c r="OPM26" s="73"/>
      <c r="OPN26" s="73"/>
      <c r="OPO26" s="73"/>
      <c r="OPP26" s="73"/>
      <c r="OPQ26" s="73"/>
      <c r="OPR26" s="73"/>
      <c r="OPS26" s="73"/>
      <c r="OPT26" s="73"/>
      <c r="OPU26" s="73"/>
      <c r="OPV26" s="73"/>
      <c r="OPW26" s="73"/>
      <c r="OPX26" s="73"/>
      <c r="OPY26" s="73"/>
      <c r="OPZ26" s="73"/>
      <c r="OQA26" s="73"/>
      <c r="OQB26" s="73"/>
      <c r="OQC26" s="73"/>
      <c r="OQD26" s="73"/>
      <c r="OQE26" s="73"/>
      <c r="OQF26" s="73"/>
      <c r="OQG26" s="73"/>
      <c r="OQH26" s="73"/>
      <c r="OQI26" s="73"/>
      <c r="OQJ26" s="73"/>
      <c r="OQK26" s="73"/>
      <c r="OQL26" s="73"/>
      <c r="OQM26" s="73"/>
      <c r="OQN26" s="73"/>
      <c r="OQO26" s="73"/>
      <c r="OQP26" s="73"/>
      <c r="OQQ26" s="73"/>
      <c r="OQR26" s="73"/>
      <c r="OQS26" s="73"/>
      <c r="OQT26" s="73"/>
      <c r="OQU26" s="73"/>
      <c r="OQV26" s="73"/>
      <c r="OQW26" s="73"/>
      <c r="OQX26" s="73"/>
      <c r="OQY26" s="73"/>
      <c r="OQZ26" s="73"/>
      <c r="ORA26" s="73"/>
      <c r="ORB26" s="73"/>
      <c r="ORC26" s="73"/>
      <c r="ORD26" s="73"/>
      <c r="ORE26" s="73"/>
      <c r="ORF26" s="73"/>
      <c r="ORG26" s="73"/>
      <c r="ORH26" s="73"/>
      <c r="ORI26" s="73"/>
      <c r="ORJ26" s="73"/>
      <c r="ORK26" s="73"/>
      <c r="ORL26" s="73"/>
      <c r="ORM26" s="73"/>
      <c r="ORN26" s="73"/>
      <c r="ORO26" s="73"/>
      <c r="ORP26" s="73"/>
      <c r="ORQ26" s="73"/>
      <c r="ORR26" s="73"/>
      <c r="ORS26" s="73"/>
      <c r="ORT26" s="73"/>
      <c r="ORU26" s="73"/>
      <c r="ORV26" s="73"/>
      <c r="ORW26" s="73"/>
      <c r="ORX26" s="73"/>
      <c r="ORY26" s="73"/>
      <c r="ORZ26" s="73"/>
      <c r="OSA26" s="73"/>
      <c r="OSB26" s="73"/>
      <c r="OSC26" s="73"/>
      <c r="OSD26" s="73"/>
      <c r="OSE26" s="73"/>
      <c r="OSF26" s="73"/>
      <c r="OSG26" s="73"/>
      <c r="OSH26" s="73"/>
      <c r="OSI26" s="73"/>
      <c r="OSJ26" s="73"/>
      <c r="OSK26" s="73"/>
      <c r="OSL26" s="73"/>
      <c r="OSM26" s="73"/>
      <c r="OSN26" s="73"/>
      <c r="OSO26" s="73"/>
      <c r="OSP26" s="73"/>
      <c r="OSQ26" s="73"/>
      <c r="OSR26" s="73"/>
      <c r="OSS26" s="73"/>
      <c r="OST26" s="73"/>
      <c r="OSU26" s="73"/>
      <c r="OSV26" s="73"/>
      <c r="OSW26" s="73"/>
      <c r="OSX26" s="73"/>
      <c r="OSY26" s="73"/>
      <c r="OSZ26" s="73"/>
      <c r="OTA26" s="73"/>
      <c r="OTB26" s="73"/>
      <c r="OTC26" s="73"/>
      <c r="OTD26" s="73"/>
      <c r="OTE26" s="73"/>
      <c r="OTF26" s="73"/>
      <c r="OTG26" s="73"/>
      <c r="OTH26" s="73"/>
      <c r="OTI26" s="73"/>
      <c r="OTJ26" s="73"/>
      <c r="OTK26" s="73"/>
      <c r="OTL26" s="73"/>
      <c r="OTM26" s="73"/>
      <c r="OTN26" s="73"/>
      <c r="OTO26" s="73"/>
      <c r="OTP26" s="73"/>
      <c r="OTQ26" s="73"/>
      <c r="OTR26" s="73"/>
      <c r="OTS26" s="73"/>
      <c r="OTT26" s="73"/>
      <c r="OTU26" s="73"/>
      <c r="OTV26" s="73"/>
      <c r="OTW26" s="73"/>
      <c r="OTX26" s="73"/>
      <c r="OTY26" s="73"/>
      <c r="OTZ26" s="73"/>
      <c r="OUA26" s="73"/>
      <c r="OUB26" s="73"/>
      <c r="OUC26" s="73"/>
      <c r="OUD26" s="73"/>
      <c r="OUE26" s="73"/>
      <c r="OUF26" s="73"/>
      <c r="OUG26" s="73"/>
      <c r="OUH26" s="73"/>
      <c r="OUI26" s="73"/>
      <c r="OUJ26" s="73"/>
      <c r="OUK26" s="73"/>
      <c r="OUL26" s="73"/>
      <c r="OUM26" s="73"/>
      <c r="OUN26" s="73"/>
      <c r="OUO26" s="73"/>
      <c r="OUP26" s="73"/>
      <c r="OUQ26" s="73"/>
      <c r="OUR26" s="73"/>
      <c r="OUS26" s="73"/>
      <c r="OUT26" s="73"/>
      <c r="OUU26" s="73"/>
      <c r="OUV26" s="73"/>
      <c r="OUW26" s="73"/>
      <c r="OUX26" s="73"/>
      <c r="OUY26" s="73"/>
      <c r="OUZ26" s="73"/>
      <c r="OVA26" s="73"/>
      <c r="OVB26" s="73"/>
      <c r="OVC26" s="73"/>
      <c r="OVD26" s="73"/>
      <c r="OVE26" s="73"/>
      <c r="OVF26" s="73"/>
      <c r="OVG26" s="73"/>
      <c r="OVH26" s="73"/>
      <c r="OVI26" s="73"/>
      <c r="OVJ26" s="73"/>
      <c r="OVK26" s="73"/>
      <c r="OVL26" s="73"/>
      <c r="OVM26" s="73"/>
      <c r="OVN26" s="73"/>
      <c r="OVO26" s="73"/>
      <c r="OVP26" s="73"/>
      <c r="OVQ26" s="73"/>
      <c r="OVR26" s="73"/>
      <c r="OVS26" s="73"/>
      <c r="OVT26" s="73"/>
      <c r="OVU26" s="73"/>
      <c r="OVV26" s="73"/>
      <c r="OVW26" s="73"/>
      <c r="OVX26" s="73"/>
      <c r="OVY26" s="73"/>
      <c r="OVZ26" s="73"/>
      <c r="OWA26" s="73"/>
      <c r="OWB26" s="73"/>
      <c r="OWC26" s="73"/>
      <c r="OWD26" s="73"/>
      <c r="OWE26" s="73"/>
      <c r="OWF26" s="73"/>
      <c r="OWG26" s="73"/>
      <c r="OWH26" s="73"/>
      <c r="OWI26" s="73"/>
      <c r="OWJ26" s="73"/>
      <c r="OWK26" s="73"/>
      <c r="OWL26" s="73"/>
      <c r="OWM26" s="73"/>
      <c r="OWN26" s="73"/>
      <c r="OWO26" s="73"/>
      <c r="OWP26" s="73"/>
      <c r="OWQ26" s="73"/>
      <c r="OWR26" s="73"/>
      <c r="OWS26" s="73"/>
      <c r="OWT26" s="73"/>
      <c r="OWU26" s="73"/>
      <c r="OWV26" s="73"/>
      <c r="OWW26" s="73"/>
      <c r="OWX26" s="73"/>
      <c r="OWY26" s="73"/>
      <c r="OWZ26" s="73"/>
      <c r="OXA26" s="73"/>
      <c r="OXB26" s="73"/>
      <c r="OXC26" s="73"/>
      <c r="OXD26" s="73"/>
      <c r="OXE26" s="73"/>
      <c r="OXF26" s="73"/>
      <c r="OXG26" s="73"/>
      <c r="OXH26" s="73"/>
      <c r="OXI26" s="73"/>
      <c r="OXJ26" s="73"/>
      <c r="OXK26" s="73"/>
      <c r="OXL26" s="73"/>
      <c r="OXM26" s="73"/>
      <c r="OXN26" s="73"/>
      <c r="OXO26" s="73"/>
      <c r="OXP26" s="73"/>
      <c r="OXQ26" s="73"/>
      <c r="OXR26" s="73"/>
      <c r="OXS26" s="73"/>
      <c r="OXT26" s="73"/>
      <c r="OXU26" s="73"/>
      <c r="OXV26" s="73"/>
      <c r="OXW26" s="73"/>
      <c r="OXX26" s="73"/>
      <c r="OXY26" s="73"/>
      <c r="OXZ26" s="73"/>
      <c r="OYA26" s="73"/>
      <c r="OYB26" s="73"/>
      <c r="OYC26" s="73"/>
      <c r="OYD26" s="73"/>
      <c r="OYE26" s="73"/>
      <c r="OYF26" s="73"/>
      <c r="OYG26" s="73"/>
      <c r="OYH26" s="73"/>
      <c r="OYI26" s="73"/>
      <c r="OYJ26" s="73"/>
      <c r="OYK26" s="73"/>
      <c r="OYL26" s="73"/>
      <c r="OYM26" s="73"/>
      <c r="OYN26" s="73"/>
      <c r="OYO26" s="73"/>
      <c r="OYP26" s="73"/>
      <c r="OYQ26" s="73"/>
      <c r="OYR26" s="73"/>
      <c r="OYS26" s="73"/>
      <c r="OYT26" s="73"/>
      <c r="OYU26" s="73"/>
      <c r="OYV26" s="73"/>
      <c r="OYW26" s="73"/>
      <c r="OYX26" s="73"/>
      <c r="OYY26" s="73"/>
      <c r="OYZ26" s="73"/>
      <c r="OZA26" s="73"/>
      <c r="OZB26" s="73"/>
      <c r="OZC26" s="73"/>
      <c r="OZD26" s="73"/>
      <c r="OZE26" s="73"/>
      <c r="OZF26" s="73"/>
      <c r="OZG26" s="73"/>
      <c r="OZH26" s="73"/>
      <c r="OZI26" s="73"/>
      <c r="OZJ26" s="73"/>
      <c r="OZK26" s="73"/>
      <c r="OZL26" s="73"/>
      <c r="OZM26" s="73"/>
      <c r="OZN26" s="73"/>
      <c r="OZO26" s="73"/>
      <c r="OZP26" s="73"/>
      <c r="OZQ26" s="73"/>
      <c r="OZR26" s="73"/>
      <c r="OZS26" s="73"/>
      <c r="OZT26" s="73"/>
      <c r="OZU26" s="73"/>
      <c r="OZV26" s="73"/>
      <c r="OZW26" s="73"/>
      <c r="OZX26" s="73"/>
      <c r="OZY26" s="73"/>
      <c r="OZZ26" s="73"/>
      <c r="PAA26" s="73"/>
      <c r="PAB26" s="73"/>
      <c r="PAC26" s="73"/>
      <c r="PAD26" s="73"/>
      <c r="PAE26" s="73"/>
      <c r="PAF26" s="73"/>
      <c r="PAG26" s="73"/>
      <c r="PAH26" s="73"/>
      <c r="PAI26" s="73"/>
      <c r="PAJ26" s="73"/>
      <c r="PAK26" s="73"/>
      <c r="PAL26" s="73"/>
      <c r="PAM26" s="73"/>
      <c r="PAN26" s="73"/>
      <c r="PAO26" s="73"/>
      <c r="PAP26" s="73"/>
      <c r="PAQ26" s="73"/>
      <c r="PAR26" s="73"/>
      <c r="PAS26" s="73"/>
      <c r="PAT26" s="73"/>
      <c r="PAU26" s="73"/>
      <c r="PAV26" s="73"/>
      <c r="PAW26" s="73"/>
      <c r="PAX26" s="73"/>
      <c r="PAY26" s="73"/>
      <c r="PAZ26" s="73"/>
      <c r="PBA26" s="73"/>
      <c r="PBB26" s="73"/>
      <c r="PBC26" s="73"/>
      <c r="PBD26" s="73"/>
      <c r="PBE26" s="73"/>
      <c r="PBF26" s="73"/>
      <c r="PBG26" s="73"/>
      <c r="PBH26" s="73"/>
      <c r="PBI26" s="73"/>
      <c r="PBJ26" s="73"/>
      <c r="PBK26" s="73"/>
      <c r="PBL26" s="73"/>
      <c r="PBM26" s="73"/>
      <c r="PBN26" s="73"/>
      <c r="PBO26" s="73"/>
      <c r="PBP26" s="73"/>
      <c r="PBQ26" s="73"/>
      <c r="PBR26" s="73"/>
      <c r="PBS26" s="73"/>
      <c r="PBT26" s="73"/>
      <c r="PBU26" s="73"/>
      <c r="PBV26" s="73"/>
      <c r="PBW26" s="73"/>
      <c r="PBX26" s="73"/>
      <c r="PBY26" s="73"/>
      <c r="PBZ26" s="73"/>
      <c r="PCA26" s="73"/>
      <c r="PCB26" s="73"/>
      <c r="PCC26" s="73"/>
      <c r="PCD26" s="73"/>
      <c r="PCE26" s="73"/>
      <c r="PCF26" s="73"/>
      <c r="PCG26" s="73"/>
      <c r="PCH26" s="73"/>
      <c r="PCI26" s="73"/>
      <c r="PCJ26" s="73"/>
      <c r="PCK26" s="73"/>
      <c r="PCL26" s="73"/>
      <c r="PCM26" s="73"/>
      <c r="PCN26" s="73"/>
      <c r="PCO26" s="73"/>
      <c r="PCP26" s="73"/>
      <c r="PCQ26" s="73"/>
      <c r="PCR26" s="73"/>
      <c r="PCS26" s="73"/>
      <c r="PCT26" s="73"/>
      <c r="PCU26" s="73"/>
      <c r="PCV26" s="73"/>
      <c r="PCW26" s="73"/>
      <c r="PCX26" s="73"/>
      <c r="PCY26" s="73"/>
      <c r="PCZ26" s="73"/>
      <c r="PDA26" s="73"/>
      <c r="PDB26" s="73"/>
      <c r="PDC26" s="73"/>
      <c r="PDD26" s="73"/>
      <c r="PDE26" s="73"/>
      <c r="PDF26" s="73"/>
      <c r="PDG26" s="73"/>
      <c r="PDH26" s="73"/>
      <c r="PDI26" s="73"/>
      <c r="PDJ26" s="73"/>
      <c r="PDK26" s="73"/>
      <c r="PDL26" s="73"/>
      <c r="PDM26" s="73"/>
      <c r="PDN26" s="73"/>
      <c r="PDO26" s="73"/>
      <c r="PDP26" s="73"/>
      <c r="PDQ26" s="73"/>
      <c r="PDR26" s="73"/>
      <c r="PDS26" s="73"/>
      <c r="PDT26" s="73"/>
      <c r="PDU26" s="73"/>
      <c r="PDV26" s="73"/>
      <c r="PDW26" s="73"/>
      <c r="PDX26" s="73"/>
      <c r="PDY26" s="73"/>
      <c r="PDZ26" s="73"/>
      <c r="PEA26" s="73"/>
      <c r="PEB26" s="73"/>
      <c r="PEC26" s="73"/>
      <c r="PED26" s="73"/>
      <c r="PEE26" s="73"/>
      <c r="PEF26" s="73"/>
      <c r="PEG26" s="73"/>
      <c r="PEH26" s="73"/>
      <c r="PEI26" s="73"/>
      <c r="PEJ26" s="73"/>
      <c r="PEK26" s="73"/>
      <c r="PEL26" s="73"/>
      <c r="PEM26" s="73"/>
      <c r="PEN26" s="73"/>
      <c r="PEO26" s="73"/>
      <c r="PEP26" s="73"/>
      <c r="PEQ26" s="73"/>
      <c r="PER26" s="73"/>
      <c r="PES26" s="73"/>
      <c r="PET26" s="73"/>
      <c r="PEU26" s="73"/>
      <c r="PEV26" s="73"/>
      <c r="PEW26" s="73"/>
      <c r="PEX26" s="73"/>
      <c r="PEY26" s="73"/>
      <c r="PEZ26" s="73"/>
      <c r="PFA26" s="73"/>
      <c r="PFB26" s="73"/>
      <c r="PFC26" s="73"/>
      <c r="PFD26" s="73"/>
      <c r="PFE26" s="73"/>
      <c r="PFF26" s="73"/>
      <c r="PFG26" s="73"/>
      <c r="PFH26" s="73"/>
      <c r="PFI26" s="73"/>
      <c r="PFJ26" s="73"/>
      <c r="PFK26" s="73"/>
      <c r="PFL26" s="73"/>
      <c r="PFM26" s="73"/>
      <c r="PFN26" s="73"/>
      <c r="PFO26" s="73"/>
      <c r="PFP26" s="73"/>
      <c r="PFQ26" s="73"/>
      <c r="PFR26" s="73"/>
      <c r="PFS26" s="73"/>
      <c r="PFT26" s="73"/>
      <c r="PFU26" s="73"/>
      <c r="PFV26" s="73"/>
      <c r="PFW26" s="73"/>
      <c r="PFX26" s="73"/>
      <c r="PFY26" s="73"/>
      <c r="PFZ26" s="73"/>
      <c r="PGA26" s="73"/>
      <c r="PGB26" s="73"/>
      <c r="PGC26" s="73"/>
      <c r="PGD26" s="73"/>
      <c r="PGE26" s="73"/>
      <c r="PGF26" s="73"/>
      <c r="PGG26" s="73"/>
      <c r="PGH26" s="73"/>
      <c r="PGI26" s="73"/>
      <c r="PGJ26" s="73"/>
      <c r="PGK26" s="73"/>
      <c r="PGL26" s="73"/>
      <c r="PGM26" s="73"/>
      <c r="PGN26" s="73"/>
      <c r="PGO26" s="73"/>
      <c r="PGP26" s="73"/>
      <c r="PGQ26" s="73"/>
      <c r="PGR26" s="73"/>
      <c r="PGS26" s="73"/>
      <c r="PGT26" s="73"/>
      <c r="PGU26" s="73"/>
      <c r="PGV26" s="73"/>
      <c r="PGW26" s="73"/>
      <c r="PGX26" s="73"/>
      <c r="PGY26" s="73"/>
      <c r="PGZ26" s="73"/>
      <c r="PHA26" s="73"/>
      <c r="PHB26" s="73"/>
      <c r="PHC26" s="73"/>
      <c r="PHD26" s="73"/>
      <c r="PHE26" s="73"/>
      <c r="PHF26" s="73"/>
      <c r="PHG26" s="73"/>
      <c r="PHH26" s="73"/>
      <c r="PHI26" s="73"/>
      <c r="PHJ26" s="73"/>
      <c r="PHK26" s="73"/>
      <c r="PHL26" s="73"/>
      <c r="PHM26" s="73"/>
      <c r="PHN26" s="73"/>
      <c r="PHO26" s="73"/>
      <c r="PHP26" s="73"/>
      <c r="PHQ26" s="73"/>
      <c r="PHR26" s="73"/>
      <c r="PHS26" s="73"/>
      <c r="PHT26" s="73"/>
      <c r="PHU26" s="73"/>
      <c r="PHV26" s="73"/>
      <c r="PHW26" s="73"/>
      <c r="PHX26" s="73"/>
      <c r="PHY26" s="73"/>
      <c r="PHZ26" s="73"/>
      <c r="PIA26" s="73"/>
      <c r="PIB26" s="73"/>
      <c r="PIC26" s="73"/>
      <c r="PID26" s="73"/>
      <c r="PIE26" s="73"/>
      <c r="PIF26" s="73"/>
      <c r="PIG26" s="73"/>
      <c r="PIH26" s="73"/>
      <c r="PII26" s="73"/>
      <c r="PIJ26" s="73"/>
      <c r="PIK26" s="73"/>
      <c r="PIL26" s="73"/>
      <c r="PIM26" s="73"/>
      <c r="PIN26" s="73"/>
      <c r="PIO26" s="73"/>
      <c r="PIP26" s="73"/>
      <c r="PIQ26" s="73"/>
      <c r="PIR26" s="73"/>
      <c r="PIS26" s="73"/>
      <c r="PIT26" s="73"/>
      <c r="PIU26" s="73"/>
      <c r="PIV26" s="73"/>
      <c r="PIW26" s="73"/>
      <c r="PIX26" s="73"/>
      <c r="PIY26" s="73"/>
      <c r="PIZ26" s="73"/>
      <c r="PJA26" s="73"/>
      <c r="PJB26" s="73"/>
      <c r="PJC26" s="73"/>
      <c r="PJD26" s="73"/>
      <c r="PJE26" s="73"/>
      <c r="PJF26" s="73"/>
      <c r="PJG26" s="73"/>
      <c r="PJH26" s="73"/>
      <c r="PJI26" s="73"/>
      <c r="PJJ26" s="73"/>
      <c r="PJK26" s="73"/>
      <c r="PJL26" s="73"/>
      <c r="PJM26" s="73"/>
      <c r="PJN26" s="73"/>
      <c r="PJO26" s="73"/>
      <c r="PJP26" s="73"/>
      <c r="PJQ26" s="73"/>
      <c r="PJR26" s="73"/>
      <c r="PJS26" s="73"/>
      <c r="PJT26" s="73"/>
      <c r="PJU26" s="73"/>
      <c r="PJV26" s="73"/>
      <c r="PJW26" s="73"/>
      <c r="PJX26" s="73"/>
      <c r="PJY26" s="73"/>
      <c r="PJZ26" s="73"/>
      <c r="PKA26" s="73"/>
      <c r="PKB26" s="73"/>
      <c r="PKC26" s="73"/>
      <c r="PKD26" s="73"/>
      <c r="PKE26" s="73"/>
      <c r="PKF26" s="73"/>
      <c r="PKG26" s="73"/>
      <c r="PKH26" s="73"/>
      <c r="PKI26" s="73"/>
      <c r="PKJ26" s="73"/>
      <c r="PKK26" s="73"/>
      <c r="PKL26" s="73"/>
      <c r="PKM26" s="73"/>
      <c r="PKN26" s="73"/>
      <c r="PKO26" s="73"/>
      <c r="PKP26" s="73"/>
      <c r="PKQ26" s="73"/>
      <c r="PKR26" s="73"/>
      <c r="PKS26" s="73"/>
      <c r="PKT26" s="73"/>
      <c r="PKU26" s="73"/>
      <c r="PKV26" s="73"/>
      <c r="PKW26" s="73"/>
      <c r="PKX26" s="73"/>
      <c r="PKY26" s="73"/>
      <c r="PKZ26" s="73"/>
      <c r="PLA26" s="73"/>
      <c r="PLB26" s="73"/>
      <c r="PLC26" s="73"/>
      <c r="PLD26" s="73"/>
      <c r="PLE26" s="73"/>
      <c r="PLF26" s="73"/>
      <c r="PLG26" s="73"/>
      <c r="PLH26" s="73"/>
      <c r="PLI26" s="73"/>
      <c r="PLJ26" s="73"/>
      <c r="PLK26" s="73"/>
      <c r="PLL26" s="73"/>
      <c r="PLM26" s="73"/>
      <c r="PLN26" s="73"/>
      <c r="PLO26" s="73"/>
      <c r="PLP26" s="73"/>
      <c r="PLQ26" s="73"/>
      <c r="PLR26" s="73"/>
      <c r="PLS26" s="73"/>
      <c r="PLT26" s="73"/>
      <c r="PLU26" s="73"/>
      <c r="PLV26" s="73"/>
      <c r="PLW26" s="73"/>
      <c r="PLX26" s="73"/>
      <c r="PLY26" s="73"/>
      <c r="PLZ26" s="73"/>
      <c r="PMA26" s="73"/>
      <c r="PMB26" s="73"/>
      <c r="PMC26" s="73"/>
      <c r="PMD26" s="73"/>
      <c r="PME26" s="73"/>
      <c r="PMF26" s="73"/>
      <c r="PMG26" s="73"/>
      <c r="PMH26" s="73"/>
      <c r="PMI26" s="73"/>
      <c r="PMJ26" s="73"/>
      <c r="PMK26" s="73"/>
      <c r="PML26" s="73"/>
      <c r="PMM26" s="73"/>
      <c r="PMN26" s="73"/>
      <c r="PMO26" s="73"/>
      <c r="PMP26" s="73"/>
      <c r="PMQ26" s="73"/>
      <c r="PMR26" s="73"/>
      <c r="PMS26" s="73"/>
      <c r="PMT26" s="73"/>
      <c r="PMU26" s="73"/>
      <c r="PMV26" s="73"/>
      <c r="PMW26" s="73"/>
      <c r="PMX26" s="73"/>
      <c r="PMY26" s="73"/>
      <c r="PMZ26" s="73"/>
      <c r="PNA26" s="73"/>
      <c r="PNB26" s="73"/>
      <c r="PNC26" s="73"/>
      <c r="PND26" s="73"/>
      <c r="PNE26" s="73"/>
      <c r="PNF26" s="73"/>
      <c r="PNG26" s="73"/>
      <c r="PNH26" s="73"/>
      <c r="PNI26" s="73"/>
      <c r="PNJ26" s="73"/>
      <c r="PNK26" s="73"/>
      <c r="PNL26" s="73"/>
      <c r="PNM26" s="73"/>
      <c r="PNN26" s="73"/>
      <c r="PNO26" s="73"/>
      <c r="PNP26" s="73"/>
      <c r="PNQ26" s="73"/>
      <c r="PNR26" s="73"/>
      <c r="PNS26" s="73"/>
      <c r="PNT26" s="73"/>
      <c r="PNU26" s="73"/>
      <c r="PNV26" s="73"/>
      <c r="PNW26" s="73"/>
      <c r="PNX26" s="73"/>
      <c r="PNY26" s="73"/>
      <c r="PNZ26" s="73"/>
      <c r="POA26" s="73"/>
      <c r="POB26" s="73"/>
      <c r="POC26" s="73"/>
      <c r="POD26" s="73"/>
      <c r="POE26" s="73"/>
      <c r="POF26" s="73"/>
      <c r="POG26" s="73"/>
      <c r="POH26" s="73"/>
      <c r="POI26" s="73"/>
      <c r="POJ26" s="73"/>
      <c r="POK26" s="73"/>
      <c r="POL26" s="73"/>
      <c r="POM26" s="73"/>
      <c r="PON26" s="73"/>
      <c r="POO26" s="73"/>
      <c r="POP26" s="73"/>
      <c r="POQ26" s="73"/>
      <c r="POR26" s="73"/>
      <c r="POS26" s="73"/>
      <c r="POT26" s="73"/>
      <c r="POU26" s="73"/>
      <c r="POV26" s="73"/>
      <c r="POW26" s="73"/>
      <c r="POX26" s="73"/>
      <c r="POY26" s="73"/>
      <c r="POZ26" s="73"/>
      <c r="PPA26" s="73"/>
      <c r="PPB26" s="73"/>
      <c r="PPC26" s="73"/>
      <c r="PPD26" s="73"/>
      <c r="PPE26" s="73"/>
      <c r="PPF26" s="73"/>
      <c r="PPG26" s="73"/>
      <c r="PPH26" s="73"/>
      <c r="PPI26" s="73"/>
      <c r="PPJ26" s="73"/>
      <c r="PPK26" s="73"/>
      <c r="PPL26" s="73"/>
      <c r="PPM26" s="73"/>
      <c r="PPN26" s="73"/>
      <c r="PPO26" s="73"/>
      <c r="PPP26" s="73"/>
      <c r="PPQ26" s="73"/>
      <c r="PPR26" s="73"/>
      <c r="PPS26" s="73"/>
      <c r="PPT26" s="73"/>
      <c r="PPU26" s="73"/>
      <c r="PPV26" s="73"/>
      <c r="PPW26" s="73"/>
      <c r="PPX26" s="73"/>
      <c r="PPY26" s="73"/>
      <c r="PPZ26" s="73"/>
      <c r="PQA26" s="73"/>
      <c r="PQB26" s="73"/>
      <c r="PQC26" s="73"/>
      <c r="PQD26" s="73"/>
      <c r="PQE26" s="73"/>
      <c r="PQF26" s="73"/>
      <c r="PQG26" s="73"/>
      <c r="PQH26" s="73"/>
      <c r="PQI26" s="73"/>
      <c r="PQJ26" s="73"/>
      <c r="PQK26" s="73"/>
      <c r="PQL26" s="73"/>
      <c r="PQM26" s="73"/>
      <c r="PQN26" s="73"/>
      <c r="PQO26" s="73"/>
      <c r="PQP26" s="73"/>
      <c r="PQQ26" s="73"/>
      <c r="PQR26" s="73"/>
      <c r="PQS26" s="73"/>
      <c r="PQT26" s="73"/>
      <c r="PQU26" s="73"/>
      <c r="PQV26" s="73"/>
      <c r="PQW26" s="73"/>
      <c r="PQX26" s="73"/>
      <c r="PQY26" s="73"/>
      <c r="PQZ26" s="73"/>
      <c r="PRA26" s="73"/>
      <c r="PRB26" s="73"/>
      <c r="PRC26" s="73"/>
      <c r="PRD26" s="73"/>
      <c r="PRE26" s="73"/>
      <c r="PRF26" s="73"/>
      <c r="PRG26" s="73"/>
      <c r="PRH26" s="73"/>
      <c r="PRI26" s="73"/>
      <c r="PRJ26" s="73"/>
      <c r="PRK26" s="73"/>
      <c r="PRL26" s="73"/>
      <c r="PRM26" s="73"/>
      <c r="PRN26" s="73"/>
      <c r="PRO26" s="73"/>
      <c r="PRP26" s="73"/>
      <c r="PRQ26" s="73"/>
      <c r="PRR26" s="73"/>
      <c r="PRS26" s="73"/>
      <c r="PRT26" s="73"/>
      <c r="PRU26" s="73"/>
      <c r="PRV26" s="73"/>
      <c r="PRW26" s="73"/>
      <c r="PRX26" s="73"/>
      <c r="PRY26" s="73"/>
      <c r="PRZ26" s="73"/>
      <c r="PSA26" s="73"/>
      <c r="PSB26" s="73"/>
      <c r="PSC26" s="73"/>
      <c r="PSD26" s="73"/>
      <c r="PSE26" s="73"/>
      <c r="PSF26" s="73"/>
      <c r="PSG26" s="73"/>
      <c r="PSH26" s="73"/>
      <c r="PSI26" s="73"/>
      <c r="PSJ26" s="73"/>
      <c r="PSK26" s="73"/>
      <c r="PSL26" s="73"/>
      <c r="PSM26" s="73"/>
      <c r="PSN26" s="73"/>
      <c r="PSO26" s="73"/>
      <c r="PSP26" s="73"/>
      <c r="PSQ26" s="73"/>
      <c r="PSR26" s="73"/>
      <c r="PSS26" s="73"/>
      <c r="PST26" s="73"/>
      <c r="PSU26" s="73"/>
      <c r="PSV26" s="73"/>
      <c r="PSW26" s="73"/>
      <c r="PSX26" s="73"/>
      <c r="PSY26" s="73"/>
      <c r="PSZ26" s="73"/>
      <c r="PTA26" s="73"/>
      <c r="PTB26" s="73"/>
      <c r="PTC26" s="73"/>
      <c r="PTD26" s="73"/>
      <c r="PTE26" s="73"/>
      <c r="PTF26" s="73"/>
      <c r="PTG26" s="73"/>
      <c r="PTH26" s="73"/>
      <c r="PTI26" s="73"/>
      <c r="PTJ26" s="73"/>
      <c r="PTK26" s="73"/>
      <c r="PTL26" s="73"/>
      <c r="PTM26" s="73"/>
      <c r="PTN26" s="73"/>
      <c r="PTO26" s="73"/>
      <c r="PTP26" s="73"/>
      <c r="PTQ26" s="73"/>
      <c r="PTR26" s="73"/>
      <c r="PTS26" s="73"/>
      <c r="PTT26" s="73"/>
      <c r="PTU26" s="73"/>
      <c r="PTV26" s="73"/>
      <c r="PTW26" s="73"/>
      <c r="PTX26" s="73"/>
      <c r="PTY26" s="73"/>
      <c r="PTZ26" s="73"/>
      <c r="PUA26" s="73"/>
      <c r="PUB26" s="73"/>
      <c r="PUC26" s="73"/>
      <c r="PUD26" s="73"/>
      <c r="PUE26" s="73"/>
      <c r="PUF26" s="73"/>
      <c r="PUG26" s="73"/>
      <c r="PUH26" s="73"/>
      <c r="PUI26" s="73"/>
      <c r="PUJ26" s="73"/>
      <c r="PUK26" s="73"/>
      <c r="PUL26" s="73"/>
      <c r="PUM26" s="73"/>
      <c r="PUN26" s="73"/>
      <c r="PUO26" s="73"/>
      <c r="PUP26" s="73"/>
      <c r="PUQ26" s="73"/>
      <c r="PUR26" s="73"/>
      <c r="PUS26" s="73"/>
      <c r="PUT26" s="73"/>
      <c r="PUU26" s="73"/>
      <c r="PUV26" s="73"/>
      <c r="PUW26" s="73"/>
      <c r="PUX26" s="73"/>
      <c r="PUY26" s="73"/>
      <c r="PUZ26" s="73"/>
      <c r="PVA26" s="73"/>
      <c r="PVB26" s="73"/>
      <c r="PVC26" s="73"/>
      <c r="PVD26" s="73"/>
      <c r="PVE26" s="73"/>
      <c r="PVF26" s="73"/>
      <c r="PVG26" s="73"/>
      <c r="PVH26" s="73"/>
      <c r="PVI26" s="73"/>
      <c r="PVJ26" s="73"/>
      <c r="PVK26" s="73"/>
      <c r="PVL26" s="73"/>
      <c r="PVM26" s="73"/>
      <c r="PVN26" s="73"/>
      <c r="PVO26" s="73"/>
      <c r="PVP26" s="73"/>
      <c r="PVQ26" s="73"/>
      <c r="PVR26" s="73"/>
      <c r="PVS26" s="73"/>
      <c r="PVT26" s="73"/>
      <c r="PVU26" s="73"/>
      <c r="PVV26" s="73"/>
      <c r="PVW26" s="73"/>
      <c r="PVX26" s="73"/>
      <c r="PVY26" s="73"/>
      <c r="PVZ26" s="73"/>
      <c r="PWA26" s="73"/>
      <c r="PWB26" s="73"/>
      <c r="PWC26" s="73"/>
      <c r="PWD26" s="73"/>
      <c r="PWE26" s="73"/>
      <c r="PWF26" s="73"/>
      <c r="PWG26" s="73"/>
      <c r="PWH26" s="73"/>
      <c r="PWI26" s="73"/>
      <c r="PWJ26" s="73"/>
      <c r="PWK26" s="73"/>
      <c r="PWL26" s="73"/>
      <c r="PWM26" s="73"/>
      <c r="PWN26" s="73"/>
      <c r="PWO26" s="73"/>
      <c r="PWP26" s="73"/>
      <c r="PWQ26" s="73"/>
      <c r="PWR26" s="73"/>
      <c r="PWS26" s="73"/>
      <c r="PWT26" s="73"/>
      <c r="PWU26" s="73"/>
      <c r="PWV26" s="73"/>
      <c r="PWW26" s="73"/>
      <c r="PWX26" s="73"/>
      <c r="PWY26" s="73"/>
      <c r="PWZ26" s="73"/>
      <c r="PXA26" s="73"/>
      <c r="PXB26" s="73"/>
      <c r="PXC26" s="73"/>
      <c r="PXD26" s="73"/>
      <c r="PXE26" s="73"/>
      <c r="PXF26" s="73"/>
      <c r="PXG26" s="73"/>
      <c r="PXH26" s="73"/>
      <c r="PXI26" s="73"/>
      <c r="PXJ26" s="73"/>
      <c r="PXK26" s="73"/>
      <c r="PXL26" s="73"/>
      <c r="PXM26" s="73"/>
      <c r="PXN26" s="73"/>
      <c r="PXO26" s="73"/>
      <c r="PXP26" s="73"/>
      <c r="PXQ26" s="73"/>
      <c r="PXR26" s="73"/>
      <c r="PXS26" s="73"/>
      <c r="PXT26" s="73"/>
      <c r="PXU26" s="73"/>
      <c r="PXV26" s="73"/>
      <c r="PXW26" s="73"/>
      <c r="PXX26" s="73"/>
      <c r="PXY26" s="73"/>
      <c r="PXZ26" s="73"/>
      <c r="PYA26" s="73"/>
      <c r="PYB26" s="73"/>
      <c r="PYC26" s="73"/>
      <c r="PYD26" s="73"/>
      <c r="PYE26" s="73"/>
      <c r="PYF26" s="73"/>
      <c r="PYG26" s="73"/>
      <c r="PYH26" s="73"/>
      <c r="PYI26" s="73"/>
      <c r="PYJ26" s="73"/>
      <c r="PYK26" s="73"/>
      <c r="PYL26" s="73"/>
      <c r="PYM26" s="73"/>
      <c r="PYN26" s="73"/>
      <c r="PYO26" s="73"/>
      <c r="PYP26" s="73"/>
      <c r="PYQ26" s="73"/>
      <c r="PYR26" s="73"/>
      <c r="PYS26" s="73"/>
      <c r="PYT26" s="73"/>
      <c r="PYU26" s="73"/>
      <c r="PYV26" s="73"/>
      <c r="PYW26" s="73"/>
      <c r="PYX26" s="73"/>
      <c r="PYY26" s="73"/>
      <c r="PYZ26" s="73"/>
      <c r="PZA26" s="73"/>
      <c r="PZB26" s="73"/>
      <c r="PZC26" s="73"/>
      <c r="PZD26" s="73"/>
      <c r="PZE26" s="73"/>
      <c r="PZF26" s="73"/>
      <c r="PZG26" s="73"/>
      <c r="PZH26" s="73"/>
      <c r="PZI26" s="73"/>
      <c r="PZJ26" s="73"/>
      <c r="PZK26" s="73"/>
      <c r="PZL26" s="73"/>
      <c r="PZM26" s="73"/>
      <c r="PZN26" s="73"/>
      <c r="PZO26" s="73"/>
      <c r="PZP26" s="73"/>
      <c r="PZQ26" s="73"/>
      <c r="PZR26" s="73"/>
      <c r="PZS26" s="73"/>
      <c r="PZT26" s="73"/>
      <c r="PZU26" s="73"/>
      <c r="PZV26" s="73"/>
      <c r="PZW26" s="73"/>
      <c r="PZX26" s="73"/>
      <c r="PZY26" s="73"/>
      <c r="PZZ26" s="73"/>
      <c r="QAA26" s="73"/>
      <c r="QAB26" s="73"/>
      <c r="QAC26" s="73"/>
      <c r="QAD26" s="73"/>
      <c r="QAE26" s="73"/>
      <c r="QAF26" s="73"/>
      <c r="QAG26" s="73"/>
      <c r="QAH26" s="73"/>
      <c r="QAI26" s="73"/>
      <c r="QAJ26" s="73"/>
      <c r="QAK26" s="73"/>
      <c r="QAL26" s="73"/>
      <c r="QAM26" s="73"/>
      <c r="QAN26" s="73"/>
      <c r="QAO26" s="73"/>
      <c r="QAP26" s="73"/>
      <c r="QAQ26" s="73"/>
      <c r="QAR26" s="73"/>
      <c r="QAS26" s="73"/>
      <c r="QAT26" s="73"/>
      <c r="QAU26" s="73"/>
      <c r="QAV26" s="73"/>
      <c r="QAW26" s="73"/>
      <c r="QAX26" s="73"/>
      <c r="QAY26" s="73"/>
      <c r="QAZ26" s="73"/>
      <c r="QBA26" s="73"/>
      <c r="QBB26" s="73"/>
      <c r="QBC26" s="73"/>
      <c r="QBD26" s="73"/>
      <c r="QBE26" s="73"/>
      <c r="QBF26" s="73"/>
      <c r="QBG26" s="73"/>
      <c r="QBH26" s="73"/>
      <c r="QBI26" s="73"/>
      <c r="QBJ26" s="73"/>
      <c r="QBK26" s="73"/>
      <c r="QBL26" s="73"/>
      <c r="QBM26" s="73"/>
      <c r="QBN26" s="73"/>
      <c r="QBO26" s="73"/>
      <c r="QBP26" s="73"/>
      <c r="QBQ26" s="73"/>
      <c r="QBR26" s="73"/>
      <c r="QBS26" s="73"/>
      <c r="QBT26" s="73"/>
      <c r="QBU26" s="73"/>
      <c r="QBV26" s="73"/>
      <c r="QBW26" s="73"/>
      <c r="QBX26" s="73"/>
      <c r="QBY26" s="73"/>
      <c r="QBZ26" s="73"/>
      <c r="QCA26" s="73"/>
      <c r="QCB26" s="73"/>
      <c r="QCC26" s="73"/>
      <c r="QCD26" s="73"/>
      <c r="QCE26" s="73"/>
      <c r="QCF26" s="73"/>
      <c r="QCG26" s="73"/>
      <c r="QCH26" s="73"/>
      <c r="QCI26" s="73"/>
      <c r="QCJ26" s="73"/>
      <c r="QCK26" s="73"/>
      <c r="QCL26" s="73"/>
      <c r="QCM26" s="73"/>
      <c r="QCN26" s="73"/>
      <c r="QCO26" s="73"/>
      <c r="QCP26" s="73"/>
      <c r="QCQ26" s="73"/>
      <c r="QCR26" s="73"/>
      <c r="QCS26" s="73"/>
      <c r="QCT26" s="73"/>
      <c r="QCU26" s="73"/>
      <c r="QCV26" s="73"/>
      <c r="QCW26" s="73"/>
      <c r="QCX26" s="73"/>
      <c r="QCY26" s="73"/>
      <c r="QCZ26" s="73"/>
      <c r="QDA26" s="73"/>
      <c r="QDB26" s="73"/>
      <c r="QDC26" s="73"/>
      <c r="QDD26" s="73"/>
      <c r="QDE26" s="73"/>
      <c r="QDF26" s="73"/>
      <c r="QDG26" s="73"/>
      <c r="QDH26" s="73"/>
      <c r="QDI26" s="73"/>
      <c r="QDJ26" s="73"/>
      <c r="QDK26" s="73"/>
      <c r="QDL26" s="73"/>
      <c r="QDM26" s="73"/>
      <c r="QDN26" s="73"/>
      <c r="QDO26" s="73"/>
      <c r="QDP26" s="73"/>
      <c r="QDQ26" s="73"/>
      <c r="QDR26" s="73"/>
      <c r="QDS26" s="73"/>
      <c r="QDT26" s="73"/>
      <c r="QDU26" s="73"/>
      <c r="QDV26" s="73"/>
      <c r="QDW26" s="73"/>
      <c r="QDX26" s="73"/>
      <c r="QDY26" s="73"/>
      <c r="QDZ26" s="73"/>
      <c r="QEA26" s="73"/>
      <c r="QEB26" s="73"/>
      <c r="QEC26" s="73"/>
      <c r="QED26" s="73"/>
      <c r="QEE26" s="73"/>
      <c r="QEF26" s="73"/>
      <c r="QEG26" s="73"/>
      <c r="QEH26" s="73"/>
      <c r="QEI26" s="73"/>
      <c r="QEJ26" s="73"/>
      <c r="QEK26" s="73"/>
      <c r="QEL26" s="73"/>
      <c r="QEM26" s="73"/>
      <c r="QEN26" s="73"/>
      <c r="QEO26" s="73"/>
      <c r="QEP26" s="73"/>
      <c r="QEQ26" s="73"/>
      <c r="QER26" s="73"/>
      <c r="QES26" s="73"/>
      <c r="QET26" s="73"/>
      <c r="QEU26" s="73"/>
      <c r="QEV26" s="73"/>
      <c r="QEW26" s="73"/>
      <c r="QEX26" s="73"/>
      <c r="QEY26" s="73"/>
      <c r="QEZ26" s="73"/>
      <c r="QFA26" s="73"/>
      <c r="QFB26" s="73"/>
      <c r="QFC26" s="73"/>
      <c r="QFD26" s="73"/>
      <c r="QFE26" s="73"/>
      <c r="QFF26" s="73"/>
      <c r="QFG26" s="73"/>
      <c r="QFH26" s="73"/>
      <c r="QFI26" s="73"/>
      <c r="QFJ26" s="73"/>
      <c r="QFK26" s="73"/>
      <c r="QFL26" s="73"/>
      <c r="QFM26" s="73"/>
      <c r="QFN26" s="73"/>
      <c r="QFO26" s="73"/>
      <c r="QFP26" s="73"/>
      <c r="QFQ26" s="73"/>
      <c r="QFR26" s="73"/>
      <c r="QFS26" s="73"/>
      <c r="QFT26" s="73"/>
      <c r="QFU26" s="73"/>
      <c r="QFV26" s="73"/>
      <c r="QFW26" s="73"/>
      <c r="QFX26" s="73"/>
      <c r="QFY26" s="73"/>
      <c r="QFZ26" s="73"/>
      <c r="QGA26" s="73"/>
      <c r="QGB26" s="73"/>
      <c r="QGC26" s="73"/>
      <c r="QGD26" s="73"/>
      <c r="QGE26" s="73"/>
      <c r="QGF26" s="73"/>
      <c r="QGG26" s="73"/>
      <c r="QGH26" s="73"/>
      <c r="QGI26" s="73"/>
      <c r="QGJ26" s="73"/>
      <c r="QGK26" s="73"/>
      <c r="QGL26" s="73"/>
      <c r="QGM26" s="73"/>
      <c r="QGN26" s="73"/>
      <c r="QGO26" s="73"/>
      <c r="QGP26" s="73"/>
      <c r="QGQ26" s="73"/>
      <c r="QGR26" s="73"/>
      <c r="QGS26" s="73"/>
      <c r="QGT26" s="73"/>
      <c r="QGU26" s="73"/>
      <c r="QGV26" s="73"/>
      <c r="QGW26" s="73"/>
      <c r="QGX26" s="73"/>
      <c r="QGY26" s="73"/>
      <c r="QGZ26" s="73"/>
      <c r="QHA26" s="73"/>
      <c r="QHB26" s="73"/>
      <c r="QHC26" s="73"/>
      <c r="QHD26" s="73"/>
      <c r="QHE26" s="73"/>
      <c r="QHF26" s="73"/>
      <c r="QHG26" s="73"/>
      <c r="QHH26" s="73"/>
      <c r="QHI26" s="73"/>
      <c r="QHJ26" s="73"/>
      <c r="QHK26" s="73"/>
      <c r="QHL26" s="73"/>
      <c r="QHM26" s="73"/>
      <c r="QHN26" s="73"/>
      <c r="QHO26" s="73"/>
      <c r="QHP26" s="73"/>
      <c r="QHQ26" s="73"/>
      <c r="QHR26" s="73"/>
      <c r="QHS26" s="73"/>
      <c r="QHT26" s="73"/>
      <c r="QHU26" s="73"/>
      <c r="QHV26" s="73"/>
      <c r="QHW26" s="73"/>
      <c r="QHX26" s="73"/>
      <c r="QHY26" s="73"/>
      <c r="QHZ26" s="73"/>
      <c r="QIA26" s="73"/>
      <c r="QIB26" s="73"/>
      <c r="QIC26" s="73"/>
      <c r="QID26" s="73"/>
      <c r="QIE26" s="73"/>
      <c r="QIF26" s="73"/>
      <c r="QIG26" s="73"/>
      <c r="QIH26" s="73"/>
      <c r="QII26" s="73"/>
      <c r="QIJ26" s="73"/>
      <c r="QIK26" s="73"/>
      <c r="QIL26" s="73"/>
      <c r="QIM26" s="73"/>
      <c r="QIN26" s="73"/>
      <c r="QIO26" s="73"/>
      <c r="QIP26" s="73"/>
      <c r="QIQ26" s="73"/>
      <c r="QIR26" s="73"/>
      <c r="QIS26" s="73"/>
      <c r="QIT26" s="73"/>
      <c r="QIU26" s="73"/>
      <c r="QIV26" s="73"/>
      <c r="QIW26" s="73"/>
      <c r="QIX26" s="73"/>
      <c r="QIY26" s="73"/>
      <c r="QIZ26" s="73"/>
      <c r="QJA26" s="73"/>
      <c r="QJB26" s="73"/>
      <c r="QJC26" s="73"/>
      <c r="QJD26" s="73"/>
      <c r="QJE26" s="73"/>
      <c r="QJF26" s="73"/>
      <c r="QJG26" s="73"/>
      <c r="QJH26" s="73"/>
      <c r="QJI26" s="73"/>
      <c r="QJJ26" s="73"/>
      <c r="QJK26" s="73"/>
      <c r="QJL26" s="73"/>
      <c r="QJM26" s="73"/>
      <c r="QJN26" s="73"/>
      <c r="QJO26" s="73"/>
      <c r="QJP26" s="73"/>
      <c r="QJQ26" s="73"/>
      <c r="QJR26" s="73"/>
      <c r="QJS26" s="73"/>
      <c r="QJT26" s="73"/>
      <c r="QJU26" s="73"/>
      <c r="QJV26" s="73"/>
      <c r="QJW26" s="73"/>
      <c r="QJX26" s="73"/>
      <c r="QJY26" s="73"/>
      <c r="QJZ26" s="73"/>
      <c r="QKA26" s="73"/>
      <c r="QKB26" s="73"/>
      <c r="QKC26" s="73"/>
      <c r="QKD26" s="73"/>
      <c r="QKE26" s="73"/>
      <c r="QKF26" s="73"/>
      <c r="QKG26" s="73"/>
      <c r="QKH26" s="73"/>
      <c r="QKI26" s="73"/>
      <c r="QKJ26" s="73"/>
      <c r="QKK26" s="73"/>
      <c r="QKL26" s="73"/>
      <c r="QKM26" s="73"/>
      <c r="QKN26" s="73"/>
      <c r="QKO26" s="73"/>
      <c r="QKP26" s="73"/>
      <c r="QKQ26" s="73"/>
      <c r="QKR26" s="73"/>
      <c r="QKS26" s="73"/>
      <c r="QKT26" s="73"/>
      <c r="QKU26" s="73"/>
      <c r="QKV26" s="73"/>
      <c r="QKW26" s="73"/>
      <c r="QKX26" s="73"/>
      <c r="QKY26" s="73"/>
      <c r="QKZ26" s="73"/>
      <c r="QLA26" s="73"/>
      <c r="QLB26" s="73"/>
      <c r="QLC26" s="73"/>
      <c r="QLD26" s="73"/>
      <c r="QLE26" s="73"/>
      <c r="QLF26" s="73"/>
      <c r="QLG26" s="73"/>
      <c r="QLH26" s="73"/>
      <c r="QLI26" s="73"/>
      <c r="QLJ26" s="73"/>
      <c r="QLK26" s="73"/>
      <c r="QLL26" s="73"/>
      <c r="QLM26" s="73"/>
      <c r="QLN26" s="73"/>
      <c r="QLO26" s="73"/>
      <c r="QLP26" s="73"/>
      <c r="QLQ26" s="73"/>
      <c r="QLR26" s="73"/>
      <c r="QLS26" s="73"/>
      <c r="QLT26" s="73"/>
      <c r="QLU26" s="73"/>
      <c r="QLV26" s="73"/>
      <c r="QLW26" s="73"/>
      <c r="QLX26" s="73"/>
      <c r="QLY26" s="73"/>
      <c r="QLZ26" s="73"/>
      <c r="QMA26" s="73"/>
      <c r="QMB26" s="73"/>
      <c r="QMC26" s="73"/>
      <c r="QMD26" s="73"/>
      <c r="QME26" s="73"/>
      <c r="QMF26" s="73"/>
      <c r="QMG26" s="73"/>
      <c r="QMH26" s="73"/>
      <c r="QMI26" s="73"/>
      <c r="QMJ26" s="73"/>
      <c r="QMK26" s="73"/>
      <c r="QML26" s="73"/>
      <c r="QMM26" s="73"/>
      <c r="QMN26" s="73"/>
      <c r="QMO26" s="73"/>
      <c r="QMP26" s="73"/>
      <c r="QMQ26" s="73"/>
      <c r="QMR26" s="73"/>
      <c r="QMS26" s="73"/>
      <c r="QMT26" s="73"/>
      <c r="QMU26" s="73"/>
      <c r="QMV26" s="73"/>
      <c r="QMW26" s="73"/>
      <c r="QMX26" s="73"/>
      <c r="QMY26" s="73"/>
      <c r="QMZ26" s="73"/>
      <c r="QNA26" s="73"/>
      <c r="QNB26" s="73"/>
      <c r="QNC26" s="73"/>
      <c r="QND26" s="73"/>
      <c r="QNE26" s="73"/>
      <c r="QNF26" s="73"/>
      <c r="QNG26" s="73"/>
      <c r="QNH26" s="73"/>
      <c r="QNI26" s="73"/>
      <c r="QNJ26" s="73"/>
      <c r="QNK26" s="73"/>
      <c r="QNL26" s="73"/>
      <c r="QNM26" s="73"/>
      <c r="QNN26" s="73"/>
      <c r="QNO26" s="73"/>
      <c r="QNP26" s="73"/>
      <c r="QNQ26" s="73"/>
      <c r="QNR26" s="73"/>
      <c r="QNS26" s="73"/>
      <c r="QNT26" s="73"/>
      <c r="QNU26" s="73"/>
      <c r="QNV26" s="73"/>
      <c r="QNW26" s="73"/>
      <c r="QNX26" s="73"/>
      <c r="QNY26" s="73"/>
      <c r="QNZ26" s="73"/>
      <c r="QOA26" s="73"/>
      <c r="QOB26" s="73"/>
      <c r="QOC26" s="73"/>
      <c r="QOD26" s="73"/>
      <c r="QOE26" s="73"/>
      <c r="QOF26" s="73"/>
      <c r="QOG26" s="73"/>
      <c r="QOH26" s="73"/>
      <c r="QOI26" s="73"/>
      <c r="QOJ26" s="73"/>
      <c r="QOK26" s="73"/>
      <c r="QOL26" s="73"/>
      <c r="QOM26" s="73"/>
      <c r="QON26" s="73"/>
      <c r="QOO26" s="73"/>
      <c r="QOP26" s="73"/>
      <c r="QOQ26" s="73"/>
      <c r="QOR26" s="73"/>
      <c r="QOS26" s="73"/>
      <c r="QOT26" s="73"/>
      <c r="QOU26" s="73"/>
      <c r="QOV26" s="73"/>
      <c r="QOW26" s="73"/>
      <c r="QOX26" s="73"/>
      <c r="QOY26" s="73"/>
      <c r="QOZ26" s="73"/>
      <c r="QPA26" s="73"/>
      <c r="QPB26" s="73"/>
      <c r="QPC26" s="73"/>
      <c r="QPD26" s="73"/>
      <c r="QPE26" s="73"/>
      <c r="QPF26" s="73"/>
      <c r="QPG26" s="73"/>
      <c r="QPH26" s="73"/>
      <c r="QPI26" s="73"/>
      <c r="QPJ26" s="73"/>
      <c r="QPK26" s="73"/>
      <c r="QPL26" s="73"/>
      <c r="QPM26" s="73"/>
      <c r="QPN26" s="73"/>
      <c r="QPO26" s="73"/>
      <c r="QPP26" s="73"/>
      <c r="QPQ26" s="73"/>
      <c r="QPR26" s="73"/>
      <c r="QPS26" s="73"/>
      <c r="QPT26" s="73"/>
      <c r="QPU26" s="73"/>
      <c r="QPV26" s="73"/>
      <c r="QPW26" s="73"/>
      <c r="QPX26" s="73"/>
      <c r="QPY26" s="73"/>
      <c r="QPZ26" s="73"/>
      <c r="QQA26" s="73"/>
      <c r="QQB26" s="73"/>
      <c r="QQC26" s="73"/>
      <c r="QQD26" s="73"/>
      <c r="QQE26" s="73"/>
      <c r="QQF26" s="73"/>
      <c r="QQG26" s="73"/>
      <c r="QQH26" s="73"/>
      <c r="QQI26" s="73"/>
      <c r="QQJ26" s="73"/>
      <c r="QQK26" s="73"/>
      <c r="QQL26" s="73"/>
      <c r="QQM26" s="73"/>
      <c r="QQN26" s="73"/>
      <c r="QQO26" s="73"/>
      <c r="QQP26" s="73"/>
      <c r="QQQ26" s="73"/>
      <c r="QQR26" s="73"/>
      <c r="QQS26" s="73"/>
      <c r="QQT26" s="73"/>
      <c r="QQU26" s="73"/>
      <c r="QQV26" s="73"/>
      <c r="QQW26" s="73"/>
      <c r="QQX26" s="73"/>
      <c r="QQY26" s="73"/>
      <c r="QQZ26" s="73"/>
      <c r="QRA26" s="73"/>
      <c r="QRB26" s="73"/>
      <c r="QRC26" s="73"/>
      <c r="QRD26" s="73"/>
      <c r="QRE26" s="73"/>
      <c r="QRF26" s="73"/>
      <c r="QRG26" s="73"/>
      <c r="QRH26" s="73"/>
      <c r="QRI26" s="73"/>
      <c r="QRJ26" s="73"/>
      <c r="QRK26" s="73"/>
      <c r="QRL26" s="73"/>
      <c r="QRM26" s="73"/>
      <c r="QRN26" s="73"/>
      <c r="QRO26" s="73"/>
      <c r="QRP26" s="73"/>
      <c r="QRQ26" s="73"/>
      <c r="QRR26" s="73"/>
      <c r="QRS26" s="73"/>
      <c r="QRT26" s="73"/>
      <c r="QRU26" s="73"/>
      <c r="QRV26" s="73"/>
      <c r="QRW26" s="73"/>
      <c r="QRX26" s="73"/>
      <c r="QRY26" s="73"/>
      <c r="QRZ26" s="73"/>
      <c r="QSA26" s="73"/>
      <c r="QSB26" s="73"/>
      <c r="QSC26" s="73"/>
      <c r="QSD26" s="73"/>
      <c r="QSE26" s="73"/>
      <c r="QSF26" s="73"/>
      <c r="QSG26" s="73"/>
      <c r="QSH26" s="73"/>
      <c r="QSI26" s="73"/>
      <c r="QSJ26" s="73"/>
      <c r="QSK26" s="73"/>
      <c r="QSL26" s="73"/>
      <c r="QSM26" s="73"/>
      <c r="QSN26" s="73"/>
      <c r="QSO26" s="73"/>
      <c r="QSP26" s="73"/>
      <c r="QSQ26" s="73"/>
      <c r="QSR26" s="73"/>
      <c r="QSS26" s="73"/>
      <c r="QST26" s="73"/>
      <c r="QSU26" s="73"/>
      <c r="QSV26" s="73"/>
      <c r="QSW26" s="73"/>
      <c r="QSX26" s="73"/>
      <c r="QSY26" s="73"/>
      <c r="QSZ26" s="73"/>
      <c r="QTA26" s="73"/>
      <c r="QTB26" s="73"/>
      <c r="QTC26" s="73"/>
      <c r="QTD26" s="73"/>
      <c r="QTE26" s="73"/>
      <c r="QTF26" s="73"/>
      <c r="QTG26" s="73"/>
      <c r="QTH26" s="73"/>
      <c r="QTI26" s="73"/>
      <c r="QTJ26" s="73"/>
      <c r="QTK26" s="73"/>
      <c r="QTL26" s="73"/>
      <c r="QTM26" s="73"/>
      <c r="QTN26" s="73"/>
      <c r="QTO26" s="73"/>
      <c r="QTP26" s="73"/>
      <c r="QTQ26" s="73"/>
      <c r="QTR26" s="73"/>
      <c r="QTS26" s="73"/>
      <c r="QTT26" s="73"/>
      <c r="QTU26" s="73"/>
      <c r="QTV26" s="73"/>
      <c r="QTW26" s="73"/>
      <c r="QTX26" s="73"/>
      <c r="QTY26" s="73"/>
      <c r="QTZ26" s="73"/>
      <c r="QUA26" s="73"/>
      <c r="QUB26" s="73"/>
      <c r="QUC26" s="73"/>
      <c r="QUD26" s="73"/>
      <c r="QUE26" s="73"/>
      <c r="QUF26" s="73"/>
      <c r="QUG26" s="73"/>
      <c r="QUH26" s="73"/>
      <c r="QUI26" s="73"/>
      <c r="QUJ26" s="73"/>
      <c r="QUK26" s="73"/>
      <c r="QUL26" s="73"/>
      <c r="QUM26" s="73"/>
      <c r="QUN26" s="73"/>
      <c r="QUO26" s="73"/>
      <c r="QUP26" s="73"/>
      <c r="QUQ26" s="73"/>
      <c r="QUR26" s="73"/>
      <c r="QUS26" s="73"/>
      <c r="QUT26" s="73"/>
      <c r="QUU26" s="73"/>
      <c r="QUV26" s="73"/>
      <c r="QUW26" s="73"/>
      <c r="QUX26" s="73"/>
      <c r="QUY26" s="73"/>
      <c r="QUZ26" s="73"/>
      <c r="QVA26" s="73"/>
      <c r="QVB26" s="73"/>
      <c r="QVC26" s="73"/>
      <c r="QVD26" s="73"/>
      <c r="QVE26" s="73"/>
      <c r="QVF26" s="73"/>
      <c r="QVG26" s="73"/>
      <c r="QVH26" s="73"/>
      <c r="QVI26" s="73"/>
      <c r="QVJ26" s="73"/>
      <c r="QVK26" s="73"/>
      <c r="QVL26" s="73"/>
      <c r="QVM26" s="73"/>
      <c r="QVN26" s="73"/>
      <c r="QVO26" s="73"/>
      <c r="QVP26" s="73"/>
      <c r="QVQ26" s="73"/>
      <c r="QVR26" s="73"/>
      <c r="QVS26" s="73"/>
      <c r="QVT26" s="73"/>
      <c r="QVU26" s="73"/>
      <c r="QVV26" s="73"/>
      <c r="QVW26" s="73"/>
      <c r="QVX26" s="73"/>
      <c r="QVY26" s="73"/>
      <c r="QVZ26" s="73"/>
      <c r="QWA26" s="73"/>
      <c r="QWB26" s="73"/>
      <c r="QWC26" s="73"/>
      <c r="QWD26" s="73"/>
      <c r="QWE26" s="73"/>
      <c r="QWF26" s="73"/>
      <c r="QWG26" s="73"/>
      <c r="QWH26" s="73"/>
      <c r="QWI26" s="73"/>
      <c r="QWJ26" s="73"/>
      <c r="QWK26" s="73"/>
      <c r="QWL26" s="73"/>
      <c r="QWM26" s="73"/>
      <c r="QWN26" s="73"/>
      <c r="QWO26" s="73"/>
      <c r="QWP26" s="73"/>
      <c r="QWQ26" s="73"/>
      <c r="QWR26" s="73"/>
      <c r="QWS26" s="73"/>
      <c r="QWT26" s="73"/>
      <c r="QWU26" s="73"/>
      <c r="QWV26" s="73"/>
      <c r="QWW26" s="73"/>
      <c r="QWX26" s="73"/>
      <c r="QWY26" s="73"/>
      <c r="QWZ26" s="73"/>
      <c r="QXA26" s="73"/>
      <c r="QXB26" s="73"/>
      <c r="QXC26" s="73"/>
      <c r="QXD26" s="73"/>
      <c r="QXE26" s="73"/>
      <c r="QXF26" s="73"/>
      <c r="QXG26" s="73"/>
      <c r="QXH26" s="73"/>
      <c r="QXI26" s="73"/>
      <c r="QXJ26" s="73"/>
      <c r="QXK26" s="73"/>
      <c r="QXL26" s="73"/>
      <c r="QXM26" s="73"/>
      <c r="QXN26" s="73"/>
      <c r="QXO26" s="73"/>
      <c r="QXP26" s="73"/>
      <c r="QXQ26" s="73"/>
      <c r="QXR26" s="73"/>
      <c r="QXS26" s="73"/>
      <c r="QXT26" s="73"/>
      <c r="QXU26" s="73"/>
      <c r="QXV26" s="73"/>
      <c r="QXW26" s="73"/>
      <c r="QXX26" s="73"/>
      <c r="QXY26" s="73"/>
      <c r="QXZ26" s="73"/>
      <c r="QYA26" s="73"/>
      <c r="QYB26" s="73"/>
      <c r="QYC26" s="73"/>
      <c r="QYD26" s="73"/>
      <c r="QYE26" s="73"/>
      <c r="QYF26" s="73"/>
      <c r="QYG26" s="73"/>
      <c r="QYH26" s="73"/>
      <c r="QYI26" s="73"/>
      <c r="QYJ26" s="73"/>
      <c r="QYK26" s="73"/>
      <c r="QYL26" s="73"/>
      <c r="QYM26" s="73"/>
      <c r="QYN26" s="73"/>
      <c r="QYO26" s="73"/>
      <c r="QYP26" s="73"/>
      <c r="QYQ26" s="73"/>
      <c r="QYR26" s="73"/>
      <c r="QYS26" s="73"/>
      <c r="QYT26" s="73"/>
      <c r="QYU26" s="73"/>
      <c r="QYV26" s="73"/>
      <c r="QYW26" s="73"/>
      <c r="QYX26" s="73"/>
      <c r="QYY26" s="73"/>
      <c r="QYZ26" s="73"/>
      <c r="QZA26" s="73"/>
      <c r="QZB26" s="73"/>
      <c r="QZC26" s="73"/>
      <c r="QZD26" s="73"/>
      <c r="QZE26" s="73"/>
      <c r="QZF26" s="73"/>
      <c r="QZG26" s="73"/>
      <c r="QZH26" s="73"/>
      <c r="QZI26" s="73"/>
      <c r="QZJ26" s="73"/>
      <c r="QZK26" s="73"/>
      <c r="QZL26" s="73"/>
      <c r="QZM26" s="73"/>
      <c r="QZN26" s="73"/>
      <c r="QZO26" s="73"/>
      <c r="QZP26" s="73"/>
      <c r="QZQ26" s="73"/>
      <c r="QZR26" s="73"/>
      <c r="QZS26" s="73"/>
      <c r="QZT26" s="73"/>
      <c r="QZU26" s="73"/>
      <c r="QZV26" s="73"/>
      <c r="QZW26" s="73"/>
      <c r="QZX26" s="73"/>
      <c r="QZY26" s="73"/>
      <c r="QZZ26" s="73"/>
      <c r="RAA26" s="73"/>
      <c r="RAB26" s="73"/>
      <c r="RAC26" s="73"/>
      <c r="RAD26" s="73"/>
      <c r="RAE26" s="73"/>
      <c r="RAF26" s="73"/>
      <c r="RAG26" s="73"/>
      <c r="RAH26" s="73"/>
      <c r="RAI26" s="73"/>
      <c r="RAJ26" s="73"/>
      <c r="RAK26" s="73"/>
      <c r="RAL26" s="73"/>
      <c r="RAM26" s="73"/>
      <c r="RAN26" s="73"/>
      <c r="RAO26" s="73"/>
      <c r="RAP26" s="73"/>
      <c r="RAQ26" s="73"/>
      <c r="RAR26" s="73"/>
      <c r="RAS26" s="73"/>
      <c r="RAT26" s="73"/>
      <c r="RAU26" s="73"/>
      <c r="RAV26" s="73"/>
      <c r="RAW26" s="73"/>
      <c r="RAX26" s="73"/>
      <c r="RAY26" s="73"/>
      <c r="RAZ26" s="73"/>
      <c r="RBA26" s="73"/>
      <c r="RBB26" s="73"/>
      <c r="RBC26" s="73"/>
      <c r="RBD26" s="73"/>
      <c r="RBE26" s="73"/>
      <c r="RBF26" s="73"/>
      <c r="RBG26" s="73"/>
      <c r="RBH26" s="73"/>
      <c r="RBI26" s="73"/>
      <c r="RBJ26" s="73"/>
      <c r="RBK26" s="73"/>
      <c r="RBL26" s="73"/>
      <c r="RBM26" s="73"/>
      <c r="RBN26" s="73"/>
      <c r="RBO26" s="73"/>
      <c r="RBP26" s="73"/>
      <c r="RBQ26" s="73"/>
      <c r="RBR26" s="73"/>
      <c r="RBS26" s="73"/>
      <c r="RBT26" s="73"/>
      <c r="RBU26" s="73"/>
      <c r="RBV26" s="73"/>
      <c r="RBW26" s="73"/>
      <c r="RBX26" s="73"/>
      <c r="RBY26" s="73"/>
      <c r="RBZ26" s="73"/>
      <c r="RCA26" s="73"/>
      <c r="RCB26" s="73"/>
      <c r="RCC26" s="73"/>
      <c r="RCD26" s="73"/>
      <c r="RCE26" s="73"/>
      <c r="RCF26" s="73"/>
      <c r="RCG26" s="73"/>
      <c r="RCH26" s="73"/>
      <c r="RCI26" s="73"/>
      <c r="RCJ26" s="73"/>
      <c r="RCK26" s="73"/>
      <c r="RCL26" s="73"/>
      <c r="RCM26" s="73"/>
      <c r="RCN26" s="73"/>
      <c r="RCO26" s="73"/>
      <c r="RCP26" s="73"/>
      <c r="RCQ26" s="73"/>
      <c r="RCR26" s="73"/>
      <c r="RCS26" s="73"/>
      <c r="RCT26" s="73"/>
      <c r="RCU26" s="73"/>
      <c r="RCV26" s="73"/>
      <c r="RCW26" s="73"/>
      <c r="RCX26" s="73"/>
      <c r="RCY26" s="73"/>
      <c r="RCZ26" s="73"/>
      <c r="RDA26" s="73"/>
      <c r="RDB26" s="73"/>
      <c r="RDC26" s="73"/>
      <c r="RDD26" s="73"/>
      <c r="RDE26" s="73"/>
      <c r="RDF26" s="73"/>
      <c r="RDG26" s="73"/>
      <c r="RDH26" s="73"/>
      <c r="RDI26" s="73"/>
      <c r="RDJ26" s="73"/>
      <c r="RDK26" s="73"/>
      <c r="RDL26" s="73"/>
      <c r="RDM26" s="73"/>
      <c r="RDN26" s="73"/>
      <c r="RDO26" s="73"/>
      <c r="RDP26" s="73"/>
      <c r="RDQ26" s="73"/>
      <c r="RDR26" s="73"/>
      <c r="RDS26" s="73"/>
      <c r="RDT26" s="73"/>
      <c r="RDU26" s="73"/>
      <c r="RDV26" s="73"/>
      <c r="RDW26" s="73"/>
      <c r="RDX26" s="73"/>
      <c r="RDY26" s="73"/>
      <c r="RDZ26" s="73"/>
      <c r="REA26" s="73"/>
      <c r="REB26" s="73"/>
      <c r="REC26" s="73"/>
      <c r="RED26" s="73"/>
      <c r="REE26" s="73"/>
      <c r="REF26" s="73"/>
      <c r="REG26" s="73"/>
      <c r="REH26" s="73"/>
      <c r="REI26" s="73"/>
      <c r="REJ26" s="73"/>
      <c r="REK26" s="73"/>
      <c r="REL26" s="73"/>
      <c r="REM26" s="73"/>
      <c r="REN26" s="73"/>
      <c r="REO26" s="73"/>
      <c r="REP26" s="73"/>
      <c r="REQ26" s="73"/>
      <c r="RER26" s="73"/>
      <c r="RES26" s="73"/>
      <c r="RET26" s="73"/>
      <c r="REU26" s="73"/>
      <c r="REV26" s="73"/>
      <c r="REW26" s="73"/>
      <c r="REX26" s="73"/>
      <c r="REY26" s="73"/>
      <c r="REZ26" s="73"/>
      <c r="RFA26" s="73"/>
      <c r="RFB26" s="73"/>
      <c r="RFC26" s="73"/>
      <c r="RFD26" s="73"/>
      <c r="RFE26" s="73"/>
      <c r="RFF26" s="73"/>
      <c r="RFG26" s="73"/>
      <c r="RFH26" s="73"/>
      <c r="RFI26" s="73"/>
      <c r="RFJ26" s="73"/>
      <c r="RFK26" s="73"/>
      <c r="RFL26" s="73"/>
      <c r="RFM26" s="73"/>
      <c r="RFN26" s="73"/>
      <c r="RFO26" s="73"/>
      <c r="RFP26" s="73"/>
      <c r="RFQ26" s="73"/>
      <c r="RFR26" s="73"/>
      <c r="RFS26" s="73"/>
      <c r="RFT26" s="73"/>
      <c r="RFU26" s="73"/>
      <c r="RFV26" s="73"/>
      <c r="RFW26" s="73"/>
      <c r="RFX26" s="73"/>
      <c r="RFY26" s="73"/>
      <c r="RFZ26" s="73"/>
      <c r="RGA26" s="73"/>
      <c r="RGB26" s="73"/>
      <c r="RGC26" s="73"/>
      <c r="RGD26" s="73"/>
      <c r="RGE26" s="73"/>
      <c r="RGF26" s="73"/>
      <c r="RGG26" s="73"/>
      <c r="RGH26" s="73"/>
      <c r="RGI26" s="73"/>
      <c r="RGJ26" s="73"/>
      <c r="RGK26" s="73"/>
      <c r="RGL26" s="73"/>
      <c r="RGM26" s="73"/>
      <c r="RGN26" s="73"/>
      <c r="RGO26" s="73"/>
      <c r="RGP26" s="73"/>
      <c r="RGQ26" s="73"/>
      <c r="RGR26" s="73"/>
      <c r="RGS26" s="73"/>
      <c r="RGT26" s="73"/>
      <c r="RGU26" s="73"/>
      <c r="RGV26" s="73"/>
      <c r="RGW26" s="73"/>
      <c r="RGX26" s="73"/>
      <c r="RGY26" s="73"/>
      <c r="RGZ26" s="73"/>
      <c r="RHA26" s="73"/>
      <c r="RHB26" s="73"/>
      <c r="RHC26" s="73"/>
      <c r="RHD26" s="73"/>
      <c r="RHE26" s="73"/>
      <c r="RHF26" s="73"/>
      <c r="RHG26" s="73"/>
      <c r="RHH26" s="73"/>
      <c r="RHI26" s="73"/>
      <c r="RHJ26" s="73"/>
      <c r="RHK26" s="73"/>
      <c r="RHL26" s="73"/>
      <c r="RHM26" s="73"/>
      <c r="RHN26" s="73"/>
      <c r="RHO26" s="73"/>
      <c r="RHP26" s="73"/>
      <c r="RHQ26" s="73"/>
      <c r="RHR26" s="73"/>
      <c r="RHS26" s="73"/>
      <c r="RHT26" s="73"/>
      <c r="RHU26" s="73"/>
      <c r="RHV26" s="73"/>
      <c r="RHW26" s="73"/>
      <c r="RHX26" s="73"/>
      <c r="RHY26" s="73"/>
      <c r="RHZ26" s="73"/>
      <c r="RIA26" s="73"/>
      <c r="RIB26" s="73"/>
      <c r="RIC26" s="73"/>
      <c r="RID26" s="73"/>
      <c r="RIE26" s="73"/>
      <c r="RIF26" s="73"/>
      <c r="RIG26" s="73"/>
      <c r="RIH26" s="73"/>
      <c r="RII26" s="73"/>
      <c r="RIJ26" s="73"/>
      <c r="RIK26" s="73"/>
      <c r="RIL26" s="73"/>
      <c r="RIM26" s="73"/>
      <c r="RIN26" s="73"/>
      <c r="RIO26" s="73"/>
      <c r="RIP26" s="73"/>
      <c r="RIQ26" s="73"/>
      <c r="RIR26" s="73"/>
      <c r="RIS26" s="73"/>
      <c r="RIT26" s="73"/>
      <c r="RIU26" s="73"/>
      <c r="RIV26" s="73"/>
      <c r="RIW26" s="73"/>
      <c r="RIX26" s="73"/>
      <c r="RIY26" s="73"/>
      <c r="RIZ26" s="73"/>
      <c r="RJA26" s="73"/>
      <c r="RJB26" s="73"/>
      <c r="RJC26" s="73"/>
      <c r="RJD26" s="73"/>
      <c r="RJE26" s="73"/>
      <c r="RJF26" s="73"/>
      <c r="RJG26" s="73"/>
      <c r="RJH26" s="73"/>
      <c r="RJI26" s="73"/>
      <c r="RJJ26" s="73"/>
      <c r="RJK26" s="73"/>
      <c r="RJL26" s="73"/>
      <c r="RJM26" s="73"/>
      <c r="RJN26" s="73"/>
      <c r="RJO26" s="73"/>
      <c r="RJP26" s="73"/>
      <c r="RJQ26" s="73"/>
      <c r="RJR26" s="73"/>
      <c r="RJS26" s="73"/>
      <c r="RJT26" s="73"/>
      <c r="RJU26" s="73"/>
      <c r="RJV26" s="73"/>
      <c r="RJW26" s="73"/>
      <c r="RJX26" s="73"/>
      <c r="RJY26" s="73"/>
      <c r="RJZ26" s="73"/>
      <c r="RKA26" s="73"/>
      <c r="RKB26" s="73"/>
      <c r="RKC26" s="73"/>
      <c r="RKD26" s="73"/>
      <c r="RKE26" s="73"/>
      <c r="RKF26" s="73"/>
      <c r="RKG26" s="73"/>
      <c r="RKH26" s="73"/>
      <c r="RKI26" s="73"/>
      <c r="RKJ26" s="73"/>
      <c r="RKK26" s="73"/>
      <c r="RKL26" s="73"/>
      <c r="RKM26" s="73"/>
      <c r="RKN26" s="73"/>
      <c r="RKO26" s="73"/>
      <c r="RKP26" s="73"/>
      <c r="RKQ26" s="73"/>
      <c r="RKR26" s="73"/>
      <c r="RKS26" s="73"/>
      <c r="RKT26" s="73"/>
      <c r="RKU26" s="73"/>
      <c r="RKV26" s="73"/>
      <c r="RKW26" s="73"/>
      <c r="RKX26" s="73"/>
      <c r="RKY26" s="73"/>
      <c r="RKZ26" s="73"/>
      <c r="RLA26" s="73"/>
      <c r="RLB26" s="73"/>
      <c r="RLC26" s="73"/>
      <c r="RLD26" s="73"/>
      <c r="RLE26" s="73"/>
      <c r="RLF26" s="73"/>
      <c r="RLG26" s="73"/>
      <c r="RLH26" s="73"/>
      <c r="RLI26" s="73"/>
      <c r="RLJ26" s="73"/>
      <c r="RLK26" s="73"/>
      <c r="RLL26" s="73"/>
      <c r="RLM26" s="73"/>
      <c r="RLN26" s="73"/>
      <c r="RLO26" s="73"/>
      <c r="RLP26" s="73"/>
      <c r="RLQ26" s="73"/>
      <c r="RLR26" s="73"/>
      <c r="RLS26" s="73"/>
      <c r="RLT26" s="73"/>
      <c r="RLU26" s="73"/>
      <c r="RLV26" s="73"/>
      <c r="RLW26" s="73"/>
      <c r="RLX26" s="73"/>
      <c r="RLY26" s="73"/>
      <c r="RLZ26" s="73"/>
      <c r="RMA26" s="73"/>
      <c r="RMB26" s="73"/>
      <c r="RMC26" s="73"/>
      <c r="RMD26" s="73"/>
      <c r="RME26" s="73"/>
      <c r="RMF26" s="73"/>
      <c r="RMG26" s="73"/>
      <c r="RMH26" s="73"/>
      <c r="RMI26" s="73"/>
      <c r="RMJ26" s="73"/>
      <c r="RMK26" s="73"/>
      <c r="RML26" s="73"/>
      <c r="RMM26" s="73"/>
      <c r="RMN26" s="73"/>
      <c r="RMO26" s="73"/>
      <c r="RMP26" s="73"/>
      <c r="RMQ26" s="73"/>
      <c r="RMR26" s="73"/>
      <c r="RMS26" s="73"/>
      <c r="RMT26" s="73"/>
      <c r="RMU26" s="73"/>
      <c r="RMV26" s="73"/>
      <c r="RMW26" s="73"/>
      <c r="RMX26" s="73"/>
      <c r="RMY26" s="73"/>
      <c r="RMZ26" s="73"/>
      <c r="RNA26" s="73"/>
      <c r="RNB26" s="73"/>
      <c r="RNC26" s="73"/>
      <c r="RND26" s="73"/>
      <c r="RNE26" s="73"/>
      <c r="RNF26" s="73"/>
      <c r="RNG26" s="73"/>
      <c r="RNH26" s="73"/>
      <c r="RNI26" s="73"/>
      <c r="RNJ26" s="73"/>
      <c r="RNK26" s="73"/>
      <c r="RNL26" s="73"/>
      <c r="RNM26" s="73"/>
      <c r="RNN26" s="73"/>
      <c r="RNO26" s="73"/>
      <c r="RNP26" s="73"/>
      <c r="RNQ26" s="73"/>
      <c r="RNR26" s="73"/>
      <c r="RNS26" s="73"/>
      <c r="RNT26" s="73"/>
      <c r="RNU26" s="73"/>
      <c r="RNV26" s="73"/>
      <c r="RNW26" s="73"/>
      <c r="RNX26" s="73"/>
      <c r="RNY26" s="73"/>
      <c r="RNZ26" s="73"/>
      <c r="ROA26" s="73"/>
      <c r="ROB26" s="73"/>
      <c r="ROC26" s="73"/>
      <c r="ROD26" s="73"/>
      <c r="ROE26" s="73"/>
      <c r="ROF26" s="73"/>
      <c r="ROG26" s="73"/>
      <c r="ROH26" s="73"/>
      <c r="ROI26" s="73"/>
      <c r="ROJ26" s="73"/>
      <c r="ROK26" s="73"/>
      <c r="ROL26" s="73"/>
      <c r="ROM26" s="73"/>
      <c r="RON26" s="73"/>
      <c r="ROO26" s="73"/>
      <c r="ROP26" s="73"/>
      <c r="ROQ26" s="73"/>
      <c r="ROR26" s="73"/>
      <c r="ROS26" s="73"/>
      <c r="ROT26" s="73"/>
      <c r="ROU26" s="73"/>
      <c r="ROV26" s="73"/>
      <c r="ROW26" s="73"/>
      <c r="ROX26" s="73"/>
      <c r="ROY26" s="73"/>
      <c r="ROZ26" s="73"/>
      <c r="RPA26" s="73"/>
      <c r="RPB26" s="73"/>
      <c r="RPC26" s="73"/>
      <c r="RPD26" s="73"/>
      <c r="RPE26" s="73"/>
      <c r="RPF26" s="73"/>
      <c r="RPG26" s="73"/>
      <c r="RPH26" s="73"/>
      <c r="RPI26" s="73"/>
      <c r="RPJ26" s="73"/>
      <c r="RPK26" s="73"/>
      <c r="RPL26" s="73"/>
      <c r="RPM26" s="73"/>
      <c r="RPN26" s="73"/>
      <c r="RPO26" s="73"/>
      <c r="RPP26" s="73"/>
      <c r="RPQ26" s="73"/>
      <c r="RPR26" s="73"/>
      <c r="RPS26" s="73"/>
      <c r="RPT26" s="73"/>
      <c r="RPU26" s="73"/>
      <c r="RPV26" s="73"/>
      <c r="RPW26" s="73"/>
      <c r="RPX26" s="73"/>
      <c r="RPY26" s="73"/>
      <c r="RPZ26" s="73"/>
      <c r="RQA26" s="73"/>
      <c r="RQB26" s="73"/>
      <c r="RQC26" s="73"/>
      <c r="RQD26" s="73"/>
      <c r="RQE26" s="73"/>
      <c r="RQF26" s="73"/>
      <c r="RQG26" s="73"/>
      <c r="RQH26" s="73"/>
      <c r="RQI26" s="73"/>
      <c r="RQJ26" s="73"/>
      <c r="RQK26" s="73"/>
      <c r="RQL26" s="73"/>
      <c r="RQM26" s="73"/>
      <c r="RQN26" s="73"/>
      <c r="RQO26" s="73"/>
      <c r="RQP26" s="73"/>
      <c r="RQQ26" s="73"/>
      <c r="RQR26" s="73"/>
      <c r="RQS26" s="73"/>
      <c r="RQT26" s="73"/>
      <c r="RQU26" s="73"/>
      <c r="RQV26" s="73"/>
      <c r="RQW26" s="73"/>
      <c r="RQX26" s="73"/>
      <c r="RQY26" s="73"/>
      <c r="RQZ26" s="73"/>
      <c r="RRA26" s="73"/>
      <c r="RRB26" s="73"/>
      <c r="RRC26" s="73"/>
      <c r="RRD26" s="73"/>
      <c r="RRE26" s="73"/>
      <c r="RRF26" s="73"/>
      <c r="RRG26" s="73"/>
      <c r="RRH26" s="73"/>
      <c r="RRI26" s="73"/>
      <c r="RRJ26" s="73"/>
      <c r="RRK26" s="73"/>
      <c r="RRL26" s="73"/>
      <c r="RRM26" s="73"/>
      <c r="RRN26" s="73"/>
      <c r="RRO26" s="73"/>
      <c r="RRP26" s="73"/>
      <c r="RRQ26" s="73"/>
      <c r="RRR26" s="73"/>
      <c r="RRS26" s="73"/>
      <c r="RRT26" s="73"/>
      <c r="RRU26" s="73"/>
      <c r="RRV26" s="73"/>
      <c r="RRW26" s="73"/>
      <c r="RRX26" s="73"/>
      <c r="RRY26" s="73"/>
      <c r="RRZ26" s="73"/>
      <c r="RSA26" s="73"/>
      <c r="RSB26" s="73"/>
      <c r="RSC26" s="73"/>
      <c r="RSD26" s="73"/>
      <c r="RSE26" s="73"/>
      <c r="RSF26" s="73"/>
      <c r="RSG26" s="73"/>
      <c r="RSH26" s="73"/>
      <c r="RSI26" s="73"/>
      <c r="RSJ26" s="73"/>
      <c r="RSK26" s="73"/>
      <c r="RSL26" s="73"/>
      <c r="RSM26" s="73"/>
      <c r="RSN26" s="73"/>
      <c r="RSO26" s="73"/>
      <c r="RSP26" s="73"/>
      <c r="RSQ26" s="73"/>
      <c r="RSR26" s="73"/>
      <c r="RSS26" s="73"/>
      <c r="RST26" s="73"/>
      <c r="RSU26" s="73"/>
      <c r="RSV26" s="73"/>
      <c r="RSW26" s="73"/>
      <c r="RSX26" s="73"/>
      <c r="RSY26" s="73"/>
      <c r="RSZ26" s="73"/>
      <c r="RTA26" s="73"/>
      <c r="RTB26" s="73"/>
      <c r="RTC26" s="73"/>
      <c r="RTD26" s="73"/>
      <c r="RTE26" s="73"/>
      <c r="RTF26" s="73"/>
      <c r="RTG26" s="73"/>
      <c r="RTH26" s="73"/>
      <c r="RTI26" s="73"/>
      <c r="RTJ26" s="73"/>
      <c r="RTK26" s="73"/>
      <c r="RTL26" s="73"/>
      <c r="RTM26" s="73"/>
      <c r="RTN26" s="73"/>
      <c r="RTO26" s="73"/>
      <c r="RTP26" s="73"/>
      <c r="RTQ26" s="73"/>
      <c r="RTR26" s="73"/>
      <c r="RTS26" s="73"/>
      <c r="RTT26" s="73"/>
      <c r="RTU26" s="73"/>
      <c r="RTV26" s="73"/>
      <c r="RTW26" s="73"/>
      <c r="RTX26" s="73"/>
      <c r="RTY26" s="73"/>
      <c r="RTZ26" s="73"/>
      <c r="RUA26" s="73"/>
      <c r="RUB26" s="73"/>
      <c r="RUC26" s="73"/>
      <c r="RUD26" s="73"/>
      <c r="RUE26" s="73"/>
      <c r="RUF26" s="73"/>
      <c r="RUG26" s="73"/>
      <c r="RUH26" s="73"/>
      <c r="RUI26" s="73"/>
      <c r="RUJ26" s="73"/>
      <c r="RUK26" s="73"/>
      <c r="RUL26" s="73"/>
      <c r="RUM26" s="73"/>
      <c r="RUN26" s="73"/>
      <c r="RUO26" s="73"/>
      <c r="RUP26" s="73"/>
      <c r="RUQ26" s="73"/>
      <c r="RUR26" s="73"/>
      <c r="RUS26" s="73"/>
      <c r="RUT26" s="73"/>
      <c r="RUU26" s="73"/>
      <c r="RUV26" s="73"/>
      <c r="RUW26" s="73"/>
      <c r="RUX26" s="73"/>
      <c r="RUY26" s="73"/>
      <c r="RUZ26" s="73"/>
      <c r="RVA26" s="73"/>
      <c r="RVB26" s="73"/>
      <c r="RVC26" s="73"/>
      <c r="RVD26" s="73"/>
      <c r="RVE26" s="73"/>
      <c r="RVF26" s="73"/>
      <c r="RVG26" s="73"/>
      <c r="RVH26" s="73"/>
      <c r="RVI26" s="73"/>
      <c r="RVJ26" s="73"/>
      <c r="RVK26" s="73"/>
      <c r="RVL26" s="73"/>
      <c r="RVM26" s="73"/>
      <c r="RVN26" s="73"/>
      <c r="RVO26" s="73"/>
      <c r="RVP26" s="73"/>
      <c r="RVQ26" s="73"/>
      <c r="RVR26" s="73"/>
      <c r="RVS26" s="73"/>
      <c r="RVT26" s="73"/>
      <c r="RVU26" s="73"/>
      <c r="RVV26" s="73"/>
      <c r="RVW26" s="73"/>
      <c r="RVX26" s="73"/>
      <c r="RVY26" s="73"/>
      <c r="RVZ26" s="73"/>
      <c r="RWA26" s="73"/>
      <c r="RWB26" s="73"/>
      <c r="RWC26" s="73"/>
      <c r="RWD26" s="73"/>
      <c r="RWE26" s="73"/>
      <c r="RWF26" s="73"/>
      <c r="RWG26" s="73"/>
      <c r="RWH26" s="73"/>
      <c r="RWI26" s="73"/>
      <c r="RWJ26" s="73"/>
      <c r="RWK26" s="73"/>
      <c r="RWL26" s="73"/>
      <c r="RWM26" s="73"/>
      <c r="RWN26" s="73"/>
      <c r="RWO26" s="73"/>
      <c r="RWP26" s="73"/>
      <c r="RWQ26" s="73"/>
      <c r="RWR26" s="73"/>
      <c r="RWS26" s="73"/>
      <c r="RWT26" s="73"/>
      <c r="RWU26" s="73"/>
      <c r="RWV26" s="73"/>
      <c r="RWW26" s="73"/>
      <c r="RWX26" s="73"/>
      <c r="RWY26" s="73"/>
      <c r="RWZ26" s="73"/>
      <c r="RXA26" s="73"/>
      <c r="RXB26" s="73"/>
      <c r="RXC26" s="73"/>
      <c r="RXD26" s="73"/>
      <c r="RXE26" s="73"/>
      <c r="RXF26" s="73"/>
      <c r="RXG26" s="73"/>
      <c r="RXH26" s="73"/>
      <c r="RXI26" s="73"/>
      <c r="RXJ26" s="73"/>
      <c r="RXK26" s="73"/>
      <c r="RXL26" s="73"/>
      <c r="RXM26" s="73"/>
      <c r="RXN26" s="73"/>
      <c r="RXO26" s="73"/>
      <c r="RXP26" s="73"/>
      <c r="RXQ26" s="73"/>
      <c r="RXR26" s="73"/>
      <c r="RXS26" s="73"/>
      <c r="RXT26" s="73"/>
      <c r="RXU26" s="73"/>
      <c r="RXV26" s="73"/>
      <c r="RXW26" s="73"/>
      <c r="RXX26" s="73"/>
      <c r="RXY26" s="73"/>
      <c r="RXZ26" s="73"/>
      <c r="RYA26" s="73"/>
      <c r="RYB26" s="73"/>
      <c r="RYC26" s="73"/>
      <c r="RYD26" s="73"/>
      <c r="RYE26" s="73"/>
      <c r="RYF26" s="73"/>
      <c r="RYG26" s="73"/>
      <c r="RYH26" s="73"/>
      <c r="RYI26" s="73"/>
      <c r="RYJ26" s="73"/>
      <c r="RYK26" s="73"/>
      <c r="RYL26" s="73"/>
      <c r="RYM26" s="73"/>
      <c r="RYN26" s="73"/>
      <c r="RYO26" s="73"/>
      <c r="RYP26" s="73"/>
      <c r="RYQ26" s="73"/>
      <c r="RYR26" s="73"/>
      <c r="RYS26" s="73"/>
      <c r="RYT26" s="73"/>
      <c r="RYU26" s="73"/>
      <c r="RYV26" s="73"/>
      <c r="RYW26" s="73"/>
      <c r="RYX26" s="73"/>
      <c r="RYY26" s="73"/>
      <c r="RYZ26" s="73"/>
      <c r="RZA26" s="73"/>
      <c r="RZB26" s="73"/>
      <c r="RZC26" s="73"/>
      <c r="RZD26" s="73"/>
      <c r="RZE26" s="73"/>
      <c r="RZF26" s="73"/>
      <c r="RZG26" s="73"/>
      <c r="RZH26" s="73"/>
      <c r="RZI26" s="73"/>
      <c r="RZJ26" s="73"/>
      <c r="RZK26" s="73"/>
      <c r="RZL26" s="73"/>
      <c r="RZM26" s="73"/>
      <c r="RZN26" s="73"/>
      <c r="RZO26" s="73"/>
      <c r="RZP26" s="73"/>
      <c r="RZQ26" s="73"/>
      <c r="RZR26" s="73"/>
      <c r="RZS26" s="73"/>
      <c r="RZT26" s="73"/>
      <c r="RZU26" s="73"/>
      <c r="RZV26" s="73"/>
      <c r="RZW26" s="73"/>
      <c r="RZX26" s="73"/>
      <c r="RZY26" s="73"/>
      <c r="RZZ26" s="73"/>
      <c r="SAA26" s="73"/>
      <c r="SAB26" s="73"/>
      <c r="SAC26" s="73"/>
      <c r="SAD26" s="73"/>
      <c r="SAE26" s="73"/>
      <c r="SAF26" s="73"/>
      <c r="SAG26" s="73"/>
      <c r="SAH26" s="73"/>
      <c r="SAI26" s="73"/>
      <c r="SAJ26" s="73"/>
      <c r="SAK26" s="73"/>
      <c r="SAL26" s="73"/>
      <c r="SAM26" s="73"/>
      <c r="SAN26" s="73"/>
      <c r="SAO26" s="73"/>
      <c r="SAP26" s="73"/>
      <c r="SAQ26" s="73"/>
      <c r="SAR26" s="73"/>
      <c r="SAS26" s="73"/>
      <c r="SAT26" s="73"/>
      <c r="SAU26" s="73"/>
      <c r="SAV26" s="73"/>
      <c r="SAW26" s="73"/>
      <c r="SAX26" s="73"/>
      <c r="SAY26" s="73"/>
      <c r="SAZ26" s="73"/>
      <c r="SBA26" s="73"/>
      <c r="SBB26" s="73"/>
      <c r="SBC26" s="73"/>
      <c r="SBD26" s="73"/>
      <c r="SBE26" s="73"/>
      <c r="SBF26" s="73"/>
      <c r="SBG26" s="73"/>
      <c r="SBH26" s="73"/>
      <c r="SBI26" s="73"/>
      <c r="SBJ26" s="73"/>
      <c r="SBK26" s="73"/>
      <c r="SBL26" s="73"/>
      <c r="SBM26" s="73"/>
      <c r="SBN26" s="73"/>
      <c r="SBO26" s="73"/>
      <c r="SBP26" s="73"/>
      <c r="SBQ26" s="73"/>
      <c r="SBR26" s="73"/>
      <c r="SBS26" s="73"/>
      <c r="SBT26" s="73"/>
      <c r="SBU26" s="73"/>
      <c r="SBV26" s="73"/>
      <c r="SBW26" s="73"/>
      <c r="SBX26" s="73"/>
      <c r="SBY26" s="73"/>
      <c r="SBZ26" s="73"/>
      <c r="SCA26" s="73"/>
      <c r="SCB26" s="73"/>
      <c r="SCC26" s="73"/>
      <c r="SCD26" s="73"/>
      <c r="SCE26" s="73"/>
      <c r="SCF26" s="73"/>
      <c r="SCG26" s="73"/>
      <c r="SCH26" s="73"/>
      <c r="SCI26" s="73"/>
      <c r="SCJ26" s="73"/>
      <c r="SCK26" s="73"/>
      <c r="SCL26" s="73"/>
      <c r="SCM26" s="73"/>
      <c r="SCN26" s="73"/>
      <c r="SCO26" s="73"/>
      <c r="SCP26" s="73"/>
      <c r="SCQ26" s="73"/>
      <c r="SCR26" s="73"/>
      <c r="SCS26" s="73"/>
      <c r="SCT26" s="73"/>
      <c r="SCU26" s="73"/>
      <c r="SCV26" s="73"/>
      <c r="SCW26" s="73"/>
      <c r="SCX26" s="73"/>
      <c r="SCY26" s="73"/>
      <c r="SCZ26" s="73"/>
      <c r="SDA26" s="73"/>
      <c r="SDB26" s="73"/>
      <c r="SDC26" s="73"/>
      <c r="SDD26" s="73"/>
      <c r="SDE26" s="73"/>
      <c r="SDF26" s="73"/>
      <c r="SDG26" s="73"/>
      <c r="SDH26" s="73"/>
      <c r="SDI26" s="73"/>
      <c r="SDJ26" s="73"/>
      <c r="SDK26" s="73"/>
      <c r="SDL26" s="73"/>
      <c r="SDM26" s="73"/>
      <c r="SDN26" s="73"/>
      <c r="SDO26" s="73"/>
      <c r="SDP26" s="73"/>
      <c r="SDQ26" s="73"/>
      <c r="SDR26" s="73"/>
      <c r="SDS26" s="73"/>
      <c r="SDT26" s="73"/>
      <c r="SDU26" s="73"/>
      <c r="SDV26" s="73"/>
      <c r="SDW26" s="73"/>
      <c r="SDX26" s="73"/>
      <c r="SDY26" s="73"/>
      <c r="SDZ26" s="73"/>
      <c r="SEA26" s="73"/>
      <c r="SEB26" s="73"/>
      <c r="SEC26" s="73"/>
      <c r="SED26" s="73"/>
      <c r="SEE26" s="73"/>
      <c r="SEF26" s="73"/>
      <c r="SEG26" s="73"/>
      <c r="SEH26" s="73"/>
      <c r="SEI26" s="73"/>
      <c r="SEJ26" s="73"/>
      <c r="SEK26" s="73"/>
      <c r="SEL26" s="73"/>
      <c r="SEM26" s="73"/>
      <c r="SEN26" s="73"/>
      <c r="SEO26" s="73"/>
      <c r="SEP26" s="73"/>
      <c r="SEQ26" s="73"/>
      <c r="SER26" s="73"/>
      <c r="SES26" s="73"/>
      <c r="SET26" s="73"/>
      <c r="SEU26" s="73"/>
      <c r="SEV26" s="73"/>
      <c r="SEW26" s="73"/>
      <c r="SEX26" s="73"/>
      <c r="SEY26" s="73"/>
      <c r="SEZ26" s="73"/>
      <c r="SFA26" s="73"/>
      <c r="SFB26" s="73"/>
      <c r="SFC26" s="73"/>
      <c r="SFD26" s="73"/>
      <c r="SFE26" s="73"/>
      <c r="SFF26" s="73"/>
      <c r="SFG26" s="73"/>
      <c r="SFH26" s="73"/>
      <c r="SFI26" s="73"/>
      <c r="SFJ26" s="73"/>
      <c r="SFK26" s="73"/>
      <c r="SFL26" s="73"/>
      <c r="SFM26" s="73"/>
      <c r="SFN26" s="73"/>
      <c r="SFO26" s="73"/>
      <c r="SFP26" s="73"/>
      <c r="SFQ26" s="73"/>
      <c r="SFR26" s="73"/>
      <c r="SFS26" s="73"/>
      <c r="SFT26" s="73"/>
      <c r="SFU26" s="73"/>
      <c r="SFV26" s="73"/>
      <c r="SFW26" s="73"/>
      <c r="SFX26" s="73"/>
      <c r="SFY26" s="73"/>
      <c r="SFZ26" s="73"/>
      <c r="SGA26" s="73"/>
      <c r="SGB26" s="73"/>
      <c r="SGC26" s="73"/>
      <c r="SGD26" s="73"/>
      <c r="SGE26" s="73"/>
      <c r="SGF26" s="73"/>
      <c r="SGG26" s="73"/>
      <c r="SGH26" s="73"/>
      <c r="SGI26" s="73"/>
      <c r="SGJ26" s="73"/>
      <c r="SGK26" s="73"/>
      <c r="SGL26" s="73"/>
      <c r="SGM26" s="73"/>
      <c r="SGN26" s="73"/>
      <c r="SGO26" s="73"/>
      <c r="SGP26" s="73"/>
      <c r="SGQ26" s="73"/>
      <c r="SGR26" s="73"/>
      <c r="SGS26" s="73"/>
      <c r="SGT26" s="73"/>
      <c r="SGU26" s="73"/>
      <c r="SGV26" s="73"/>
      <c r="SGW26" s="73"/>
      <c r="SGX26" s="73"/>
      <c r="SGY26" s="73"/>
      <c r="SGZ26" s="73"/>
      <c r="SHA26" s="73"/>
      <c r="SHB26" s="73"/>
      <c r="SHC26" s="73"/>
      <c r="SHD26" s="73"/>
      <c r="SHE26" s="73"/>
      <c r="SHF26" s="73"/>
      <c r="SHG26" s="73"/>
      <c r="SHH26" s="73"/>
      <c r="SHI26" s="73"/>
      <c r="SHJ26" s="73"/>
      <c r="SHK26" s="73"/>
      <c r="SHL26" s="73"/>
      <c r="SHM26" s="73"/>
      <c r="SHN26" s="73"/>
      <c r="SHO26" s="73"/>
      <c r="SHP26" s="73"/>
      <c r="SHQ26" s="73"/>
      <c r="SHR26" s="73"/>
      <c r="SHS26" s="73"/>
      <c r="SHT26" s="73"/>
      <c r="SHU26" s="73"/>
      <c r="SHV26" s="73"/>
      <c r="SHW26" s="73"/>
      <c r="SHX26" s="73"/>
      <c r="SHY26" s="73"/>
      <c r="SHZ26" s="73"/>
      <c r="SIA26" s="73"/>
      <c r="SIB26" s="73"/>
      <c r="SIC26" s="73"/>
      <c r="SID26" s="73"/>
      <c r="SIE26" s="73"/>
      <c r="SIF26" s="73"/>
      <c r="SIG26" s="73"/>
      <c r="SIH26" s="73"/>
      <c r="SII26" s="73"/>
      <c r="SIJ26" s="73"/>
      <c r="SIK26" s="73"/>
      <c r="SIL26" s="73"/>
      <c r="SIM26" s="73"/>
      <c r="SIN26" s="73"/>
      <c r="SIO26" s="73"/>
      <c r="SIP26" s="73"/>
      <c r="SIQ26" s="73"/>
      <c r="SIR26" s="73"/>
      <c r="SIS26" s="73"/>
      <c r="SIT26" s="73"/>
      <c r="SIU26" s="73"/>
      <c r="SIV26" s="73"/>
      <c r="SIW26" s="73"/>
      <c r="SIX26" s="73"/>
      <c r="SIY26" s="73"/>
      <c r="SIZ26" s="73"/>
      <c r="SJA26" s="73"/>
      <c r="SJB26" s="73"/>
      <c r="SJC26" s="73"/>
      <c r="SJD26" s="73"/>
      <c r="SJE26" s="73"/>
      <c r="SJF26" s="73"/>
      <c r="SJG26" s="73"/>
      <c r="SJH26" s="73"/>
      <c r="SJI26" s="73"/>
      <c r="SJJ26" s="73"/>
      <c r="SJK26" s="73"/>
      <c r="SJL26" s="73"/>
      <c r="SJM26" s="73"/>
      <c r="SJN26" s="73"/>
      <c r="SJO26" s="73"/>
      <c r="SJP26" s="73"/>
      <c r="SJQ26" s="73"/>
      <c r="SJR26" s="73"/>
      <c r="SJS26" s="73"/>
      <c r="SJT26" s="73"/>
      <c r="SJU26" s="73"/>
      <c r="SJV26" s="73"/>
      <c r="SJW26" s="73"/>
      <c r="SJX26" s="73"/>
      <c r="SJY26" s="73"/>
      <c r="SJZ26" s="73"/>
      <c r="SKA26" s="73"/>
      <c r="SKB26" s="73"/>
      <c r="SKC26" s="73"/>
      <c r="SKD26" s="73"/>
      <c r="SKE26" s="73"/>
      <c r="SKF26" s="73"/>
      <c r="SKG26" s="73"/>
      <c r="SKH26" s="73"/>
      <c r="SKI26" s="73"/>
      <c r="SKJ26" s="73"/>
      <c r="SKK26" s="73"/>
      <c r="SKL26" s="73"/>
      <c r="SKM26" s="73"/>
      <c r="SKN26" s="73"/>
      <c r="SKO26" s="73"/>
      <c r="SKP26" s="73"/>
      <c r="SKQ26" s="73"/>
      <c r="SKR26" s="73"/>
      <c r="SKS26" s="73"/>
      <c r="SKT26" s="73"/>
      <c r="SKU26" s="73"/>
      <c r="SKV26" s="73"/>
      <c r="SKW26" s="73"/>
      <c r="SKX26" s="73"/>
      <c r="SKY26" s="73"/>
      <c r="SKZ26" s="73"/>
      <c r="SLA26" s="73"/>
      <c r="SLB26" s="73"/>
      <c r="SLC26" s="73"/>
      <c r="SLD26" s="73"/>
      <c r="SLE26" s="73"/>
      <c r="SLF26" s="73"/>
      <c r="SLG26" s="73"/>
      <c r="SLH26" s="73"/>
      <c r="SLI26" s="73"/>
      <c r="SLJ26" s="73"/>
      <c r="SLK26" s="73"/>
      <c r="SLL26" s="73"/>
      <c r="SLM26" s="73"/>
      <c r="SLN26" s="73"/>
      <c r="SLO26" s="73"/>
      <c r="SLP26" s="73"/>
      <c r="SLQ26" s="73"/>
      <c r="SLR26" s="73"/>
      <c r="SLS26" s="73"/>
      <c r="SLT26" s="73"/>
      <c r="SLU26" s="73"/>
      <c r="SLV26" s="73"/>
      <c r="SLW26" s="73"/>
      <c r="SLX26" s="73"/>
      <c r="SLY26" s="73"/>
      <c r="SLZ26" s="73"/>
      <c r="SMA26" s="73"/>
      <c r="SMB26" s="73"/>
      <c r="SMC26" s="73"/>
      <c r="SMD26" s="73"/>
      <c r="SME26" s="73"/>
      <c r="SMF26" s="73"/>
      <c r="SMG26" s="73"/>
      <c r="SMH26" s="73"/>
      <c r="SMI26" s="73"/>
      <c r="SMJ26" s="73"/>
      <c r="SMK26" s="73"/>
      <c r="SML26" s="73"/>
      <c r="SMM26" s="73"/>
      <c r="SMN26" s="73"/>
      <c r="SMO26" s="73"/>
      <c r="SMP26" s="73"/>
      <c r="SMQ26" s="73"/>
      <c r="SMR26" s="73"/>
      <c r="SMS26" s="73"/>
      <c r="SMT26" s="73"/>
      <c r="SMU26" s="73"/>
      <c r="SMV26" s="73"/>
      <c r="SMW26" s="73"/>
      <c r="SMX26" s="73"/>
      <c r="SMY26" s="73"/>
      <c r="SMZ26" s="73"/>
      <c r="SNA26" s="73"/>
      <c r="SNB26" s="73"/>
      <c r="SNC26" s="73"/>
      <c r="SND26" s="73"/>
      <c r="SNE26" s="73"/>
      <c r="SNF26" s="73"/>
      <c r="SNG26" s="73"/>
      <c r="SNH26" s="73"/>
      <c r="SNI26" s="73"/>
      <c r="SNJ26" s="73"/>
      <c r="SNK26" s="73"/>
      <c r="SNL26" s="73"/>
      <c r="SNM26" s="73"/>
      <c r="SNN26" s="73"/>
      <c r="SNO26" s="73"/>
      <c r="SNP26" s="73"/>
      <c r="SNQ26" s="73"/>
      <c r="SNR26" s="73"/>
      <c r="SNS26" s="73"/>
      <c r="SNT26" s="73"/>
      <c r="SNU26" s="73"/>
      <c r="SNV26" s="73"/>
      <c r="SNW26" s="73"/>
      <c r="SNX26" s="73"/>
      <c r="SNY26" s="73"/>
      <c r="SNZ26" s="73"/>
      <c r="SOA26" s="73"/>
      <c r="SOB26" s="73"/>
      <c r="SOC26" s="73"/>
      <c r="SOD26" s="73"/>
      <c r="SOE26" s="73"/>
      <c r="SOF26" s="73"/>
      <c r="SOG26" s="73"/>
      <c r="SOH26" s="73"/>
      <c r="SOI26" s="73"/>
      <c r="SOJ26" s="73"/>
      <c r="SOK26" s="73"/>
      <c r="SOL26" s="73"/>
      <c r="SOM26" s="73"/>
      <c r="SON26" s="73"/>
      <c r="SOO26" s="73"/>
      <c r="SOP26" s="73"/>
      <c r="SOQ26" s="73"/>
      <c r="SOR26" s="73"/>
      <c r="SOS26" s="73"/>
      <c r="SOT26" s="73"/>
      <c r="SOU26" s="73"/>
      <c r="SOV26" s="73"/>
      <c r="SOW26" s="73"/>
      <c r="SOX26" s="73"/>
      <c r="SOY26" s="73"/>
      <c r="SOZ26" s="73"/>
      <c r="SPA26" s="73"/>
      <c r="SPB26" s="73"/>
      <c r="SPC26" s="73"/>
      <c r="SPD26" s="73"/>
      <c r="SPE26" s="73"/>
      <c r="SPF26" s="73"/>
      <c r="SPG26" s="73"/>
      <c r="SPH26" s="73"/>
      <c r="SPI26" s="73"/>
      <c r="SPJ26" s="73"/>
      <c r="SPK26" s="73"/>
      <c r="SPL26" s="73"/>
      <c r="SPM26" s="73"/>
      <c r="SPN26" s="73"/>
      <c r="SPO26" s="73"/>
      <c r="SPP26" s="73"/>
      <c r="SPQ26" s="73"/>
      <c r="SPR26" s="73"/>
      <c r="SPS26" s="73"/>
      <c r="SPT26" s="73"/>
      <c r="SPU26" s="73"/>
      <c r="SPV26" s="73"/>
      <c r="SPW26" s="73"/>
      <c r="SPX26" s="73"/>
      <c r="SPY26" s="73"/>
      <c r="SPZ26" s="73"/>
      <c r="SQA26" s="73"/>
      <c r="SQB26" s="73"/>
      <c r="SQC26" s="73"/>
      <c r="SQD26" s="73"/>
      <c r="SQE26" s="73"/>
      <c r="SQF26" s="73"/>
      <c r="SQG26" s="73"/>
      <c r="SQH26" s="73"/>
      <c r="SQI26" s="73"/>
      <c r="SQJ26" s="73"/>
      <c r="SQK26" s="73"/>
      <c r="SQL26" s="73"/>
      <c r="SQM26" s="73"/>
      <c r="SQN26" s="73"/>
      <c r="SQO26" s="73"/>
      <c r="SQP26" s="73"/>
      <c r="SQQ26" s="73"/>
      <c r="SQR26" s="73"/>
      <c r="SQS26" s="73"/>
      <c r="SQT26" s="73"/>
      <c r="SQU26" s="73"/>
      <c r="SQV26" s="73"/>
      <c r="SQW26" s="73"/>
      <c r="SQX26" s="73"/>
      <c r="SQY26" s="73"/>
      <c r="SQZ26" s="73"/>
      <c r="SRA26" s="73"/>
      <c r="SRB26" s="73"/>
      <c r="SRC26" s="73"/>
      <c r="SRD26" s="73"/>
      <c r="SRE26" s="73"/>
      <c r="SRF26" s="73"/>
      <c r="SRG26" s="73"/>
      <c r="SRH26" s="73"/>
      <c r="SRI26" s="73"/>
      <c r="SRJ26" s="73"/>
      <c r="SRK26" s="73"/>
      <c r="SRL26" s="73"/>
      <c r="SRM26" s="73"/>
      <c r="SRN26" s="73"/>
      <c r="SRO26" s="73"/>
      <c r="SRP26" s="73"/>
      <c r="SRQ26" s="73"/>
      <c r="SRR26" s="73"/>
      <c r="SRS26" s="73"/>
      <c r="SRT26" s="73"/>
      <c r="SRU26" s="73"/>
      <c r="SRV26" s="73"/>
      <c r="SRW26" s="73"/>
      <c r="SRX26" s="73"/>
      <c r="SRY26" s="73"/>
      <c r="SRZ26" s="73"/>
      <c r="SSA26" s="73"/>
      <c r="SSB26" s="73"/>
      <c r="SSC26" s="73"/>
      <c r="SSD26" s="73"/>
      <c r="SSE26" s="73"/>
      <c r="SSF26" s="73"/>
      <c r="SSG26" s="73"/>
      <c r="SSH26" s="73"/>
      <c r="SSI26" s="73"/>
      <c r="SSJ26" s="73"/>
      <c r="SSK26" s="73"/>
      <c r="SSL26" s="73"/>
      <c r="SSM26" s="73"/>
      <c r="SSN26" s="73"/>
      <c r="SSO26" s="73"/>
      <c r="SSP26" s="73"/>
      <c r="SSQ26" s="73"/>
      <c r="SSR26" s="73"/>
      <c r="SSS26" s="73"/>
      <c r="SST26" s="73"/>
      <c r="SSU26" s="73"/>
      <c r="SSV26" s="73"/>
      <c r="SSW26" s="73"/>
      <c r="SSX26" s="73"/>
      <c r="SSY26" s="73"/>
      <c r="SSZ26" s="73"/>
      <c r="STA26" s="73"/>
      <c r="STB26" s="73"/>
      <c r="STC26" s="73"/>
      <c r="STD26" s="73"/>
      <c r="STE26" s="73"/>
      <c r="STF26" s="73"/>
      <c r="STG26" s="73"/>
      <c r="STH26" s="73"/>
      <c r="STI26" s="73"/>
      <c r="STJ26" s="73"/>
      <c r="STK26" s="73"/>
      <c r="STL26" s="73"/>
      <c r="STM26" s="73"/>
      <c r="STN26" s="73"/>
      <c r="STO26" s="73"/>
      <c r="STP26" s="73"/>
      <c r="STQ26" s="73"/>
      <c r="STR26" s="73"/>
      <c r="STS26" s="73"/>
      <c r="STT26" s="73"/>
      <c r="STU26" s="73"/>
      <c r="STV26" s="73"/>
      <c r="STW26" s="73"/>
      <c r="STX26" s="73"/>
      <c r="STY26" s="73"/>
      <c r="STZ26" s="73"/>
      <c r="SUA26" s="73"/>
      <c r="SUB26" s="73"/>
      <c r="SUC26" s="73"/>
      <c r="SUD26" s="73"/>
      <c r="SUE26" s="73"/>
      <c r="SUF26" s="73"/>
      <c r="SUG26" s="73"/>
      <c r="SUH26" s="73"/>
      <c r="SUI26" s="73"/>
      <c r="SUJ26" s="73"/>
      <c r="SUK26" s="73"/>
      <c r="SUL26" s="73"/>
      <c r="SUM26" s="73"/>
      <c r="SUN26" s="73"/>
      <c r="SUO26" s="73"/>
      <c r="SUP26" s="73"/>
      <c r="SUQ26" s="73"/>
      <c r="SUR26" s="73"/>
      <c r="SUS26" s="73"/>
      <c r="SUT26" s="73"/>
      <c r="SUU26" s="73"/>
      <c r="SUV26" s="73"/>
      <c r="SUW26" s="73"/>
      <c r="SUX26" s="73"/>
      <c r="SUY26" s="73"/>
      <c r="SUZ26" s="73"/>
      <c r="SVA26" s="73"/>
      <c r="SVB26" s="73"/>
      <c r="SVC26" s="73"/>
      <c r="SVD26" s="73"/>
      <c r="SVE26" s="73"/>
      <c r="SVF26" s="73"/>
      <c r="SVG26" s="73"/>
      <c r="SVH26" s="73"/>
      <c r="SVI26" s="73"/>
      <c r="SVJ26" s="73"/>
      <c r="SVK26" s="73"/>
      <c r="SVL26" s="73"/>
      <c r="SVM26" s="73"/>
      <c r="SVN26" s="73"/>
      <c r="SVO26" s="73"/>
      <c r="SVP26" s="73"/>
      <c r="SVQ26" s="73"/>
      <c r="SVR26" s="73"/>
      <c r="SVS26" s="73"/>
      <c r="SVT26" s="73"/>
      <c r="SVU26" s="73"/>
      <c r="SVV26" s="73"/>
      <c r="SVW26" s="73"/>
      <c r="SVX26" s="73"/>
      <c r="SVY26" s="73"/>
      <c r="SVZ26" s="73"/>
      <c r="SWA26" s="73"/>
      <c r="SWB26" s="73"/>
      <c r="SWC26" s="73"/>
      <c r="SWD26" s="73"/>
      <c r="SWE26" s="73"/>
      <c r="SWF26" s="73"/>
      <c r="SWG26" s="73"/>
      <c r="SWH26" s="73"/>
      <c r="SWI26" s="73"/>
      <c r="SWJ26" s="73"/>
      <c r="SWK26" s="73"/>
      <c r="SWL26" s="73"/>
      <c r="SWM26" s="73"/>
      <c r="SWN26" s="73"/>
      <c r="SWO26" s="73"/>
      <c r="SWP26" s="73"/>
      <c r="SWQ26" s="73"/>
      <c r="SWR26" s="73"/>
      <c r="SWS26" s="73"/>
      <c r="SWT26" s="73"/>
      <c r="SWU26" s="73"/>
      <c r="SWV26" s="73"/>
      <c r="SWW26" s="73"/>
      <c r="SWX26" s="73"/>
      <c r="SWY26" s="73"/>
      <c r="SWZ26" s="73"/>
      <c r="SXA26" s="73"/>
      <c r="SXB26" s="73"/>
      <c r="SXC26" s="73"/>
      <c r="SXD26" s="73"/>
      <c r="SXE26" s="73"/>
      <c r="SXF26" s="73"/>
      <c r="SXG26" s="73"/>
      <c r="SXH26" s="73"/>
      <c r="SXI26" s="73"/>
      <c r="SXJ26" s="73"/>
      <c r="SXK26" s="73"/>
      <c r="SXL26" s="73"/>
      <c r="SXM26" s="73"/>
      <c r="SXN26" s="73"/>
      <c r="SXO26" s="73"/>
      <c r="SXP26" s="73"/>
      <c r="SXQ26" s="73"/>
      <c r="SXR26" s="73"/>
      <c r="SXS26" s="73"/>
      <c r="SXT26" s="73"/>
      <c r="SXU26" s="73"/>
      <c r="SXV26" s="73"/>
      <c r="SXW26" s="73"/>
      <c r="SXX26" s="73"/>
      <c r="SXY26" s="73"/>
      <c r="SXZ26" s="73"/>
      <c r="SYA26" s="73"/>
      <c r="SYB26" s="73"/>
      <c r="SYC26" s="73"/>
      <c r="SYD26" s="73"/>
      <c r="SYE26" s="73"/>
      <c r="SYF26" s="73"/>
      <c r="SYG26" s="73"/>
      <c r="SYH26" s="73"/>
      <c r="SYI26" s="73"/>
      <c r="SYJ26" s="73"/>
      <c r="SYK26" s="73"/>
      <c r="SYL26" s="73"/>
      <c r="SYM26" s="73"/>
      <c r="SYN26" s="73"/>
      <c r="SYO26" s="73"/>
      <c r="SYP26" s="73"/>
      <c r="SYQ26" s="73"/>
      <c r="SYR26" s="73"/>
      <c r="SYS26" s="73"/>
      <c r="SYT26" s="73"/>
      <c r="SYU26" s="73"/>
      <c r="SYV26" s="73"/>
      <c r="SYW26" s="73"/>
      <c r="SYX26" s="73"/>
      <c r="SYY26" s="73"/>
      <c r="SYZ26" s="73"/>
      <c r="SZA26" s="73"/>
      <c r="SZB26" s="73"/>
      <c r="SZC26" s="73"/>
      <c r="SZD26" s="73"/>
      <c r="SZE26" s="73"/>
      <c r="SZF26" s="73"/>
      <c r="SZG26" s="73"/>
      <c r="SZH26" s="73"/>
      <c r="SZI26" s="73"/>
      <c r="SZJ26" s="73"/>
      <c r="SZK26" s="73"/>
      <c r="SZL26" s="73"/>
      <c r="SZM26" s="73"/>
      <c r="SZN26" s="73"/>
      <c r="SZO26" s="73"/>
      <c r="SZP26" s="73"/>
      <c r="SZQ26" s="73"/>
      <c r="SZR26" s="73"/>
      <c r="SZS26" s="73"/>
      <c r="SZT26" s="73"/>
      <c r="SZU26" s="73"/>
      <c r="SZV26" s="73"/>
      <c r="SZW26" s="73"/>
      <c r="SZX26" s="73"/>
      <c r="SZY26" s="73"/>
      <c r="SZZ26" s="73"/>
      <c r="TAA26" s="73"/>
      <c r="TAB26" s="73"/>
      <c r="TAC26" s="73"/>
      <c r="TAD26" s="73"/>
      <c r="TAE26" s="73"/>
      <c r="TAF26" s="73"/>
      <c r="TAG26" s="73"/>
      <c r="TAH26" s="73"/>
      <c r="TAI26" s="73"/>
      <c r="TAJ26" s="73"/>
      <c r="TAK26" s="73"/>
      <c r="TAL26" s="73"/>
      <c r="TAM26" s="73"/>
      <c r="TAN26" s="73"/>
      <c r="TAO26" s="73"/>
      <c r="TAP26" s="73"/>
      <c r="TAQ26" s="73"/>
      <c r="TAR26" s="73"/>
      <c r="TAS26" s="73"/>
      <c r="TAT26" s="73"/>
      <c r="TAU26" s="73"/>
      <c r="TAV26" s="73"/>
      <c r="TAW26" s="73"/>
      <c r="TAX26" s="73"/>
      <c r="TAY26" s="73"/>
      <c r="TAZ26" s="73"/>
      <c r="TBA26" s="73"/>
      <c r="TBB26" s="73"/>
      <c r="TBC26" s="73"/>
      <c r="TBD26" s="73"/>
      <c r="TBE26" s="73"/>
      <c r="TBF26" s="73"/>
      <c r="TBG26" s="73"/>
      <c r="TBH26" s="73"/>
      <c r="TBI26" s="73"/>
      <c r="TBJ26" s="73"/>
      <c r="TBK26" s="73"/>
      <c r="TBL26" s="73"/>
      <c r="TBM26" s="73"/>
      <c r="TBN26" s="73"/>
      <c r="TBO26" s="73"/>
      <c r="TBP26" s="73"/>
      <c r="TBQ26" s="73"/>
      <c r="TBR26" s="73"/>
      <c r="TBS26" s="73"/>
      <c r="TBT26" s="73"/>
      <c r="TBU26" s="73"/>
      <c r="TBV26" s="73"/>
      <c r="TBW26" s="73"/>
      <c r="TBX26" s="73"/>
      <c r="TBY26" s="73"/>
      <c r="TBZ26" s="73"/>
      <c r="TCA26" s="73"/>
      <c r="TCB26" s="73"/>
      <c r="TCC26" s="73"/>
      <c r="TCD26" s="73"/>
      <c r="TCE26" s="73"/>
      <c r="TCF26" s="73"/>
      <c r="TCG26" s="73"/>
      <c r="TCH26" s="73"/>
      <c r="TCI26" s="73"/>
      <c r="TCJ26" s="73"/>
      <c r="TCK26" s="73"/>
      <c r="TCL26" s="73"/>
      <c r="TCM26" s="73"/>
      <c r="TCN26" s="73"/>
      <c r="TCO26" s="73"/>
      <c r="TCP26" s="73"/>
      <c r="TCQ26" s="73"/>
      <c r="TCR26" s="73"/>
      <c r="TCS26" s="73"/>
      <c r="TCT26" s="73"/>
      <c r="TCU26" s="73"/>
      <c r="TCV26" s="73"/>
      <c r="TCW26" s="73"/>
      <c r="TCX26" s="73"/>
      <c r="TCY26" s="73"/>
      <c r="TCZ26" s="73"/>
      <c r="TDA26" s="73"/>
      <c r="TDB26" s="73"/>
      <c r="TDC26" s="73"/>
      <c r="TDD26" s="73"/>
      <c r="TDE26" s="73"/>
      <c r="TDF26" s="73"/>
      <c r="TDG26" s="73"/>
      <c r="TDH26" s="73"/>
      <c r="TDI26" s="73"/>
      <c r="TDJ26" s="73"/>
      <c r="TDK26" s="73"/>
      <c r="TDL26" s="73"/>
      <c r="TDM26" s="73"/>
      <c r="TDN26" s="73"/>
      <c r="TDO26" s="73"/>
      <c r="TDP26" s="73"/>
      <c r="TDQ26" s="73"/>
      <c r="TDR26" s="73"/>
      <c r="TDS26" s="73"/>
      <c r="TDT26" s="73"/>
      <c r="TDU26" s="73"/>
      <c r="TDV26" s="73"/>
      <c r="TDW26" s="73"/>
      <c r="TDX26" s="73"/>
      <c r="TDY26" s="73"/>
      <c r="TDZ26" s="73"/>
      <c r="TEA26" s="73"/>
      <c r="TEB26" s="73"/>
      <c r="TEC26" s="73"/>
      <c r="TED26" s="73"/>
      <c r="TEE26" s="73"/>
      <c r="TEF26" s="73"/>
      <c r="TEG26" s="73"/>
      <c r="TEH26" s="73"/>
      <c r="TEI26" s="73"/>
      <c r="TEJ26" s="73"/>
      <c r="TEK26" s="73"/>
      <c r="TEL26" s="73"/>
      <c r="TEM26" s="73"/>
      <c r="TEN26" s="73"/>
      <c r="TEO26" s="73"/>
      <c r="TEP26" s="73"/>
      <c r="TEQ26" s="73"/>
      <c r="TER26" s="73"/>
      <c r="TES26" s="73"/>
      <c r="TET26" s="73"/>
      <c r="TEU26" s="73"/>
      <c r="TEV26" s="73"/>
      <c r="TEW26" s="73"/>
      <c r="TEX26" s="73"/>
      <c r="TEY26" s="73"/>
      <c r="TEZ26" s="73"/>
      <c r="TFA26" s="73"/>
      <c r="TFB26" s="73"/>
      <c r="TFC26" s="73"/>
      <c r="TFD26" s="73"/>
      <c r="TFE26" s="73"/>
      <c r="TFF26" s="73"/>
      <c r="TFG26" s="73"/>
      <c r="TFH26" s="73"/>
      <c r="TFI26" s="73"/>
      <c r="TFJ26" s="73"/>
      <c r="TFK26" s="73"/>
      <c r="TFL26" s="73"/>
      <c r="TFM26" s="73"/>
      <c r="TFN26" s="73"/>
      <c r="TFO26" s="73"/>
      <c r="TFP26" s="73"/>
      <c r="TFQ26" s="73"/>
      <c r="TFR26" s="73"/>
      <c r="TFS26" s="73"/>
      <c r="TFT26" s="73"/>
      <c r="TFU26" s="73"/>
      <c r="TFV26" s="73"/>
      <c r="TFW26" s="73"/>
      <c r="TFX26" s="73"/>
      <c r="TFY26" s="73"/>
      <c r="TFZ26" s="73"/>
      <c r="TGA26" s="73"/>
      <c r="TGB26" s="73"/>
      <c r="TGC26" s="73"/>
      <c r="TGD26" s="73"/>
      <c r="TGE26" s="73"/>
      <c r="TGF26" s="73"/>
      <c r="TGG26" s="73"/>
      <c r="TGH26" s="73"/>
      <c r="TGI26" s="73"/>
      <c r="TGJ26" s="73"/>
      <c r="TGK26" s="73"/>
      <c r="TGL26" s="73"/>
      <c r="TGM26" s="73"/>
      <c r="TGN26" s="73"/>
      <c r="TGO26" s="73"/>
      <c r="TGP26" s="73"/>
      <c r="TGQ26" s="73"/>
      <c r="TGR26" s="73"/>
      <c r="TGS26" s="73"/>
      <c r="TGT26" s="73"/>
      <c r="TGU26" s="73"/>
      <c r="TGV26" s="73"/>
      <c r="TGW26" s="73"/>
      <c r="TGX26" s="73"/>
      <c r="TGY26" s="73"/>
      <c r="TGZ26" s="73"/>
      <c r="THA26" s="73"/>
      <c r="THB26" s="73"/>
      <c r="THC26" s="73"/>
      <c r="THD26" s="73"/>
      <c r="THE26" s="73"/>
      <c r="THF26" s="73"/>
      <c r="THG26" s="73"/>
      <c r="THH26" s="73"/>
      <c r="THI26" s="73"/>
      <c r="THJ26" s="73"/>
      <c r="THK26" s="73"/>
      <c r="THL26" s="73"/>
      <c r="THM26" s="73"/>
      <c r="THN26" s="73"/>
      <c r="THO26" s="73"/>
      <c r="THP26" s="73"/>
      <c r="THQ26" s="73"/>
      <c r="THR26" s="73"/>
      <c r="THS26" s="73"/>
      <c r="THT26" s="73"/>
      <c r="THU26" s="73"/>
      <c r="THV26" s="73"/>
      <c r="THW26" s="73"/>
      <c r="THX26" s="73"/>
      <c r="THY26" s="73"/>
      <c r="THZ26" s="73"/>
      <c r="TIA26" s="73"/>
      <c r="TIB26" s="73"/>
      <c r="TIC26" s="73"/>
      <c r="TID26" s="73"/>
      <c r="TIE26" s="73"/>
      <c r="TIF26" s="73"/>
      <c r="TIG26" s="73"/>
      <c r="TIH26" s="73"/>
      <c r="TII26" s="73"/>
      <c r="TIJ26" s="73"/>
      <c r="TIK26" s="73"/>
      <c r="TIL26" s="73"/>
      <c r="TIM26" s="73"/>
      <c r="TIN26" s="73"/>
      <c r="TIO26" s="73"/>
      <c r="TIP26" s="73"/>
      <c r="TIQ26" s="73"/>
      <c r="TIR26" s="73"/>
      <c r="TIS26" s="73"/>
      <c r="TIT26" s="73"/>
      <c r="TIU26" s="73"/>
      <c r="TIV26" s="73"/>
      <c r="TIW26" s="73"/>
      <c r="TIX26" s="73"/>
      <c r="TIY26" s="73"/>
      <c r="TIZ26" s="73"/>
      <c r="TJA26" s="73"/>
      <c r="TJB26" s="73"/>
      <c r="TJC26" s="73"/>
      <c r="TJD26" s="73"/>
      <c r="TJE26" s="73"/>
      <c r="TJF26" s="73"/>
      <c r="TJG26" s="73"/>
      <c r="TJH26" s="73"/>
      <c r="TJI26" s="73"/>
      <c r="TJJ26" s="73"/>
      <c r="TJK26" s="73"/>
      <c r="TJL26" s="73"/>
      <c r="TJM26" s="73"/>
      <c r="TJN26" s="73"/>
      <c r="TJO26" s="73"/>
      <c r="TJP26" s="73"/>
      <c r="TJQ26" s="73"/>
      <c r="TJR26" s="73"/>
      <c r="TJS26" s="73"/>
      <c r="TJT26" s="73"/>
      <c r="TJU26" s="73"/>
      <c r="TJV26" s="73"/>
      <c r="TJW26" s="73"/>
      <c r="TJX26" s="73"/>
      <c r="TJY26" s="73"/>
      <c r="TJZ26" s="73"/>
      <c r="TKA26" s="73"/>
      <c r="TKB26" s="73"/>
      <c r="TKC26" s="73"/>
      <c r="TKD26" s="73"/>
      <c r="TKE26" s="73"/>
      <c r="TKF26" s="73"/>
      <c r="TKG26" s="73"/>
      <c r="TKH26" s="73"/>
      <c r="TKI26" s="73"/>
      <c r="TKJ26" s="73"/>
      <c r="TKK26" s="73"/>
      <c r="TKL26" s="73"/>
      <c r="TKM26" s="73"/>
      <c r="TKN26" s="73"/>
      <c r="TKO26" s="73"/>
      <c r="TKP26" s="73"/>
      <c r="TKQ26" s="73"/>
      <c r="TKR26" s="73"/>
      <c r="TKS26" s="73"/>
      <c r="TKT26" s="73"/>
      <c r="TKU26" s="73"/>
      <c r="TKV26" s="73"/>
      <c r="TKW26" s="73"/>
      <c r="TKX26" s="73"/>
      <c r="TKY26" s="73"/>
      <c r="TKZ26" s="73"/>
      <c r="TLA26" s="73"/>
      <c r="TLB26" s="73"/>
      <c r="TLC26" s="73"/>
      <c r="TLD26" s="73"/>
      <c r="TLE26" s="73"/>
      <c r="TLF26" s="73"/>
      <c r="TLG26" s="73"/>
      <c r="TLH26" s="73"/>
      <c r="TLI26" s="73"/>
      <c r="TLJ26" s="73"/>
      <c r="TLK26" s="73"/>
      <c r="TLL26" s="73"/>
      <c r="TLM26" s="73"/>
      <c r="TLN26" s="73"/>
      <c r="TLO26" s="73"/>
      <c r="TLP26" s="73"/>
      <c r="TLQ26" s="73"/>
      <c r="TLR26" s="73"/>
      <c r="TLS26" s="73"/>
      <c r="TLT26" s="73"/>
      <c r="TLU26" s="73"/>
      <c r="TLV26" s="73"/>
      <c r="TLW26" s="73"/>
      <c r="TLX26" s="73"/>
      <c r="TLY26" s="73"/>
      <c r="TLZ26" s="73"/>
      <c r="TMA26" s="73"/>
      <c r="TMB26" s="73"/>
      <c r="TMC26" s="73"/>
      <c r="TMD26" s="73"/>
      <c r="TME26" s="73"/>
      <c r="TMF26" s="73"/>
      <c r="TMG26" s="73"/>
      <c r="TMH26" s="73"/>
      <c r="TMI26" s="73"/>
      <c r="TMJ26" s="73"/>
      <c r="TMK26" s="73"/>
      <c r="TML26" s="73"/>
      <c r="TMM26" s="73"/>
      <c r="TMN26" s="73"/>
      <c r="TMO26" s="73"/>
      <c r="TMP26" s="73"/>
      <c r="TMQ26" s="73"/>
      <c r="TMR26" s="73"/>
      <c r="TMS26" s="73"/>
      <c r="TMT26" s="73"/>
      <c r="TMU26" s="73"/>
      <c r="TMV26" s="73"/>
      <c r="TMW26" s="73"/>
      <c r="TMX26" s="73"/>
      <c r="TMY26" s="73"/>
      <c r="TMZ26" s="73"/>
      <c r="TNA26" s="73"/>
      <c r="TNB26" s="73"/>
      <c r="TNC26" s="73"/>
      <c r="TND26" s="73"/>
      <c r="TNE26" s="73"/>
      <c r="TNF26" s="73"/>
      <c r="TNG26" s="73"/>
      <c r="TNH26" s="73"/>
      <c r="TNI26" s="73"/>
      <c r="TNJ26" s="73"/>
      <c r="TNK26" s="73"/>
      <c r="TNL26" s="73"/>
      <c r="TNM26" s="73"/>
      <c r="TNN26" s="73"/>
      <c r="TNO26" s="73"/>
      <c r="TNP26" s="73"/>
      <c r="TNQ26" s="73"/>
      <c r="TNR26" s="73"/>
      <c r="TNS26" s="73"/>
      <c r="TNT26" s="73"/>
      <c r="TNU26" s="73"/>
      <c r="TNV26" s="73"/>
      <c r="TNW26" s="73"/>
      <c r="TNX26" s="73"/>
      <c r="TNY26" s="73"/>
      <c r="TNZ26" s="73"/>
      <c r="TOA26" s="73"/>
      <c r="TOB26" s="73"/>
      <c r="TOC26" s="73"/>
      <c r="TOD26" s="73"/>
      <c r="TOE26" s="73"/>
      <c r="TOF26" s="73"/>
      <c r="TOG26" s="73"/>
      <c r="TOH26" s="73"/>
      <c r="TOI26" s="73"/>
      <c r="TOJ26" s="73"/>
      <c r="TOK26" s="73"/>
      <c r="TOL26" s="73"/>
      <c r="TOM26" s="73"/>
      <c r="TON26" s="73"/>
      <c r="TOO26" s="73"/>
      <c r="TOP26" s="73"/>
      <c r="TOQ26" s="73"/>
      <c r="TOR26" s="73"/>
      <c r="TOS26" s="73"/>
      <c r="TOT26" s="73"/>
      <c r="TOU26" s="73"/>
      <c r="TOV26" s="73"/>
      <c r="TOW26" s="73"/>
      <c r="TOX26" s="73"/>
      <c r="TOY26" s="73"/>
      <c r="TOZ26" s="73"/>
      <c r="TPA26" s="73"/>
      <c r="TPB26" s="73"/>
      <c r="TPC26" s="73"/>
      <c r="TPD26" s="73"/>
      <c r="TPE26" s="73"/>
      <c r="TPF26" s="73"/>
      <c r="TPG26" s="73"/>
      <c r="TPH26" s="73"/>
      <c r="TPI26" s="73"/>
      <c r="TPJ26" s="73"/>
      <c r="TPK26" s="73"/>
      <c r="TPL26" s="73"/>
      <c r="TPM26" s="73"/>
      <c r="TPN26" s="73"/>
      <c r="TPO26" s="73"/>
      <c r="TPP26" s="73"/>
      <c r="TPQ26" s="73"/>
      <c r="TPR26" s="73"/>
      <c r="TPS26" s="73"/>
      <c r="TPT26" s="73"/>
      <c r="TPU26" s="73"/>
      <c r="TPV26" s="73"/>
      <c r="TPW26" s="73"/>
      <c r="TPX26" s="73"/>
      <c r="TPY26" s="73"/>
      <c r="TPZ26" s="73"/>
      <c r="TQA26" s="73"/>
      <c r="TQB26" s="73"/>
      <c r="TQC26" s="73"/>
      <c r="TQD26" s="73"/>
      <c r="TQE26" s="73"/>
      <c r="TQF26" s="73"/>
      <c r="TQG26" s="73"/>
      <c r="TQH26" s="73"/>
      <c r="TQI26" s="73"/>
      <c r="TQJ26" s="73"/>
      <c r="TQK26" s="73"/>
      <c r="TQL26" s="73"/>
      <c r="TQM26" s="73"/>
      <c r="TQN26" s="73"/>
      <c r="TQO26" s="73"/>
      <c r="TQP26" s="73"/>
      <c r="TQQ26" s="73"/>
      <c r="TQR26" s="73"/>
      <c r="TQS26" s="73"/>
      <c r="TQT26" s="73"/>
      <c r="TQU26" s="73"/>
      <c r="TQV26" s="73"/>
      <c r="TQW26" s="73"/>
      <c r="TQX26" s="73"/>
      <c r="TQY26" s="73"/>
      <c r="TQZ26" s="73"/>
      <c r="TRA26" s="73"/>
      <c r="TRB26" s="73"/>
      <c r="TRC26" s="73"/>
      <c r="TRD26" s="73"/>
      <c r="TRE26" s="73"/>
      <c r="TRF26" s="73"/>
      <c r="TRG26" s="73"/>
      <c r="TRH26" s="73"/>
      <c r="TRI26" s="73"/>
      <c r="TRJ26" s="73"/>
      <c r="TRK26" s="73"/>
      <c r="TRL26" s="73"/>
      <c r="TRM26" s="73"/>
      <c r="TRN26" s="73"/>
      <c r="TRO26" s="73"/>
      <c r="TRP26" s="73"/>
      <c r="TRQ26" s="73"/>
      <c r="TRR26" s="73"/>
      <c r="TRS26" s="73"/>
      <c r="TRT26" s="73"/>
      <c r="TRU26" s="73"/>
      <c r="TRV26" s="73"/>
      <c r="TRW26" s="73"/>
      <c r="TRX26" s="73"/>
      <c r="TRY26" s="73"/>
      <c r="TRZ26" s="73"/>
      <c r="TSA26" s="73"/>
      <c r="TSB26" s="73"/>
      <c r="TSC26" s="73"/>
      <c r="TSD26" s="73"/>
      <c r="TSE26" s="73"/>
      <c r="TSF26" s="73"/>
      <c r="TSG26" s="73"/>
      <c r="TSH26" s="73"/>
      <c r="TSI26" s="73"/>
      <c r="TSJ26" s="73"/>
      <c r="TSK26" s="73"/>
      <c r="TSL26" s="73"/>
      <c r="TSM26" s="73"/>
      <c r="TSN26" s="73"/>
      <c r="TSO26" s="73"/>
      <c r="TSP26" s="73"/>
      <c r="TSQ26" s="73"/>
      <c r="TSR26" s="73"/>
      <c r="TSS26" s="73"/>
      <c r="TST26" s="73"/>
      <c r="TSU26" s="73"/>
      <c r="TSV26" s="73"/>
      <c r="TSW26" s="73"/>
      <c r="TSX26" s="73"/>
      <c r="TSY26" s="73"/>
      <c r="TSZ26" s="73"/>
      <c r="TTA26" s="73"/>
      <c r="TTB26" s="73"/>
      <c r="TTC26" s="73"/>
      <c r="TTD26" s="73"/>
      <c r="TTE26" s="73"/>
      <c r="TTF26" s="73"/>
      <c r="TTG26" s="73"/>
      <c r="TTH26" s="73"/>
      <c r="TTI26" s="73"/>
      <c r="TTJ26" s="73"/>
      <c r="TTK26" s="73"/>
      <c r="TTL26" s="73"/>
      <c r="TTM26" s="73"/>
      <c r="TTN26" s="73"/>
      <c r="TTO26" s="73"/>
      <c r="TTP26" s="73"/>
      <c r="TTQ26" s="73"/>
      <c r="TTR26" s="73"/>
      <c r="TTS26" s="73"/>
      <c r="TTT26" s="73"/>
      <c r="TTU26" s="73"/>
      <c r="TTV26" s="73"/>
      <c r="TTW26" s="73"/>
      <c r="TTX26" s="73"/>
      <c r="TTY26" s="73"/>
      <c r="TTZ26" s="73"/>
      <c r="TUA26" s="73"/>
      <c r="TUB26" s="73"/>
      <c r="TUC26" s="73"/>
      <c r="TUD26" s="73"/>
      <c r="TUE26" s="73"/>
      <c r="TUF26" s="73"/>
      <c r="TUG26" s="73"/>
      <c r="TUH26" s="73"/>
      <c r="TUI26" s="73"/>
      <c r="TUJ26" s="73"/>
      <c r="TUK26" s="73"/>
      <c r="TUL26" s="73"/>
      <c r="TUM26" s="73"/>
      <c r="TUN26" s="73"/>
      <c r="TUO26" s="73"/>
      <c r="TUP26" s="73"/>
      <c r="TUQ26" s="73"/>
      <c r="TUR26" s="73"/>
      <c r="TUS26" s="73"/>
      <c r="TUT26" s="73"/>
      <c r="TUU26" s="73"/>
      <c r="TUV26" s="73"/>
      <c r="TUW26" s="73"/>
      <c r="TUX26" s="73"/>
      <c r="TUY26" s="73"/>
      <c r="TUZ26" s="73"/>
      <c r="TVA26" s="73"/>
      <c r="TVB26" s="73"/>
      <c r="TVC26" s="73"/>
      <c r="TVD26" s="73"/>
      <c r="TVE26" s="73"/>
      <c r="TVF26" s="73"/>
      <c r="TVG26" s="73"/>
      <c r="TVH26" s="73"/>
      <c r="TVI26" s="73"/>
      <c r="TVJ26" s="73"/>
      <c r="TVK26" s="73"/>
      <c r="TVL26" s="73"/>
      <c r="TVM26" s="73"/>
      <c r="TVN26" s="73"/>
      <c r="TVO26" s="73"/>
      <c r="TVP26" s="73"/>
      <c r="TVQ26" s="73"/>
      <c r="TVR26" s="73"/>
      <c r="TVS26" s="73"/>
      <c r="TVT26" s="73"/>
      <c r="TVU26" s="73"/>
      <c r="TVV26" s="73"/>
      <c r="TVW26" s="73"/>
      <c r="TVX26" s="73"/>
      <c r="TVY26" s="73"/>
      <c r="TVZ26" s="73"/>
      <c r="TWA26" s="73"/>
      <c r="TWB26" s="73"/>
      <c r="TWC26" s="73"/>
      <c r="TWD26" s="73"/>
      <c r="TWE26" s="73"/>
      <c r="TWF26" s="73"/>
      <c r="TWG26" s="73"/>
      <c r="TWH26" s="73"/>
      <c r="TWI26" s="73"/>
      <c r="TWJ26" s="73"/>
      <c r="TWK26" s="73"/>
      <c r="TWL26" s="73"/>
      <c r="TWM26" s="73"/>
      <c r="TWN26" s="73"/>
      <c r="TWO26" s="73"/>
      <c r="TWP26" s="73"/>
      <c r="TWQ26" s="73"/>
      <c r="TWR26" s="73"/>
      <c r="TWS26" s="73"/>
      <c r="TWT26" s="73"/>
      <c r="TWU26" s="73"/>
      <c r="TWV26" s="73"/>
      <c r="TWW26" s="73"/>
      <c r="TWX26" s="73"/>
      <c r="TWY26" s="73"/>
      <c r="TWZ26" s="73"/>
      <c r="TXA26" s="73"/>
      <c r="TXB26" s="73"/>
      <c r="TXC26" s="73"/>
      <c r="TXD26" s="73"/>
      <c r="TXE26" s="73"/>
      <c r="TXF26" s="73"/>
      <c r="TXG26" s="73"/>
      <c r="TXH26" s="73"/>
      <c r="TXI26" s="73"/>
      <c r="TXJ26" s="73"/>
      <c r="TXK26" s="73"/>
      <c r="TXL26" s="73"/>
      <c r="TXM26" s="73"/>
      <c r="TXN26" s="73"/>
      <c r="TXO26" s="73"/>
      <c r="TXP26" s="73"/>
      <c r="TXQ26" s="73"/>
      <c r="TXR26" s="73"/>
      <c r="TXS26" s="73"/>
      <c r="TXT26" s="73"/>
      <c r="TXU26" s="73"/>
      <c r="TXV26" s="73"/>
      <c r="TXW26" s="73"/>
      <c r="TXX26" s="73"/>
      <c r="TXY26" s="73"/>
      <c r="TXZ26" s="73"/>
      <c r="TYA26" s="73"/>
      <c r="TYB26" s="73"/>
      <c r="TYC26" s="73"/>
      <c r="TYD26" s="73"/>
      <c r="TYE26" s="73"/>
      <c r="TYF26" s="73"/>
      <c r="TYG26" s="73"/>
      <c r="TYH26" s="73"/>
      <c r="TYI26" s="73"/>
      <c r="TYJ26" s="73"/>
      <c r="TYK26" s="73"/>
      <c r="TYL26" s="73"/>
      <c r="TYM26" s="73"/>
      <c r="TYN26" s="73"/>
      <c r="TYO26" s="73"/>
      <c r="TYP26" s="73"/>
      <c r="TYQ26" s="73"/>
      <c r="TYR26" s="73"/>
      <c r="TYS26" s="73"/>
      <c r="TYT26" s="73"/>
      <c r="TYU26" s="73"/>
      <c r="TYV26" s="73"/>
      <c r="TYW26" s="73"/>
      <c r="TYX26" s="73"/>
      <c r="TYY26" s="73"/>
      <c r="TYZ26" s="73"/>
      <c r="TZA26" s="73"/>
      <c r="TZB26" s="73"/>
      <c r="TZC26" s="73"/>
      <c r="TZD26" s="73"/>
      <c r="TZE26" s="73"/>
      <c r="TZF26" s="73"/>
      <c r="TZG26" s="73"/>
      <c r="TZH26" s="73"/>
      <c r="TZI26" s="73"/>
      <c r="TZJ26" s="73"/>
      <c r="TZK26" s="73"/>
      <c r="TZL26" s="73"/>
      <c r="TZM26" s="73"/>
      <c r="TZN26" s="73"/>
      <c r="TZO26" s="73"/>
      <c r="TZP26" s="73"/>
      <c r="TZQ26" s="73"/>
      <c r="TZR26" s="73"/>
      <c r="TZS26" s="73"/>
      <c r="TZT26" s="73"/>
      <c r="TZU26" s="73"/>
      <c r="TZV26" s="73"/>
      <c r="TZW26" s="73"/>
      <c r="TZX26" s="73"/>
      <c r="TZY26" s="73"/>
      <c r="TZZ26" s="73"/>
      <c r="UAA26" s="73"/>
      <c r="UAB26" s="73"/>
      <c r="UAC26" s="73"/>
      <c r="UAD26" s="73"/>
      <c r="UAE26" s="73"/>
      <c r="UAF26" s="73"/>
      <c r="UAG26" s="73"/>
      <c r="UAH26" s="73"/>
      <c r="UAI26" s="73"/>
      <c r="UAJ26" s="73"/>
      <c r="UAK26" s="73"/>
      <c r="UAL26" s="73"/>
      <c r="UAM26" s="73"/>
      <c r="UAN26" s="73"/>
      <c r="UAO26" s="73"/>
      <c r="UAP26" s="73"/>
      <c r="UAQ26" s="73"/>
      <c r="UAR26" s="73"/>
      <c r="UAS26" s="73"/>
      <c r="UAT26" s="73"/>
      <c r="UAU26" s="73"/>
      <c r="UAV26" s="73"/>
      <c r="UAW26" s="73"/>
      <c r="UAX26" s="73"/>
      <c r="UAY26" s="73"/>
      <c r="UAZ26" s="73"/>
      <c r="UBA26" s="73"/>
      <c r="UBB26" s="73"/>
      <c r="UBC26" s="73"/>
      <c r="UBD26" s="73"/>
      <c r="UBE26" s="73"/>
      <c r="UBF26" s="73"/>
      <c r="UBG26" s="73"/>
      <c r="UBH26" s="73"/>
      <c r="UBI26" s="73"/>
      <c r="UBJ26" s="73"/>
      <c r="UBK26" s="73"/>
      <c r="UBL26" s="73"/>
      <c r="UBM26" s="73"/>
      <c r="UBN26" s="73"/>
      <c r="UBO26" s="73"/>
      <c r="UBP26" s="73"/>
      <c r="UBQ26" s="73"/>
      <c r="UBR26" s="73"/>
      <c r="UBS26" s="73"/>
      <c r="UBT26" s="73"/>
      <c r="UBU26" s="73"/>
      <c r="UBV26" s="73"/>
      <c r="UBW26" s="73"/>
      <c r="UBX26" s="73"/>
      <c r="UBY26" s="73"/>
      <c r="UBZ26" s="73"/>
      <c r="UCA26" s="73"/>
      <c r="UCB26" s="73"/>
      <c r="UCC26" s="73"/>
      <c r="UCD26" s="73"/>
      <c r="UCE26" s="73"/>
      <c r="UCF26" s="73"/>
      <c r="UCG26" s="73"/>
      <c r="UCH26" s="73"/>
      <c r="UCI26" s="73"/>
      <c r="UCJ26" s="73"/>
      <c r="UCK26" s="73"/>
      <c r="UCL26" s="73"/>
      <c r="UCM26" s="73"/>
      <c r="UCN26" s="73"/>
      <c r="UCO26" s="73"/>
      <c r="UCP26" s="73"/>
      <c r="UCQ26" s="73"/>
      <c r="UCR26" s="73"/>
      <c r="UCS26" s="73"/>
      <c r="UCT26" s="73"/>
      <c r="UCU26" s="73"/>
      <c r="UCV26" s="73"/>
      <c r="UCW26" s="73"/>
      <c r="UCX26" s="73"/>
      <c r="UCY26" s="73"/>
      <c r="UCZ26" s="73"/>
      <c r="UDA26" s="73"/>
      <c r="UDB26" s="73"/>
      <c r="UDC26" s="73"/>
      <c r="UDD26" s="73"/>
      <c r="UDE26" s="73"/>
      <c r="UDF26" s="73"/>
      <c r="UDG26" s="73"/>
      <c r="UDH26" s="73"/>
      <c r="UDI26" s="73"/>
      <c r="UDJ26" s="73"/>
      <c r="UDK26" s="73"/>
      <c r="UDL26" s="73"/>
      <c r="UDM26" s="73"/>
      <c r="UDN26" s="73"/>
      <c r="UDO26" s="73"/>
      <c r="UDP26" s="73"/>
      <c r="UDQ26" s="73"/>
      <c r="UDR26" s="73"/>
      <c r="UDS26" s="73"/>
      <c r="UDT26" s="73"/>
      <c r="UDU26" s="73"/>
      <c r="UDV26" s="73"/>
      <c r="UDW26" s="73"/>
      <c r="UDX26" s="73"/>
      <c r="UDY26" s="73"/>
      <c r="UDZ26" s="73"/>
      <c r="UEA26" s="73"/>
      <c r="UEB26" s="73"/>
      <c r="UEC26" s="73"/>
      <c r="UED26" s="73"/>
      <c r="UEE26" s="73"/>
      <c r="UEF26" s="73"/>
      <c r="UEG26" s="73"/>
      <c r="UEH26" s="73"/>
      <c r="UEI26" s="73"/>
      <c r="UEJ26" s="73"/>
      <c r="UEK26" s="73"/>
      <c r="UEL26" s="73"/>
      <c r="UEM26" s="73"/>
      <c r="UEN26" s="73"/>
      <c r="UEO26" s="73"/>
      <c r="UEP26" s="73"/>
      <c r="UEQ26" s="73"/>
      <c r="UER26" s="73"/>
      <c r="UES26" s="73"/>
      <c r="UET26" s="73"/>
      <c r="UEU26" s="73"/>
      <c r="UEV26" s="73"/>
      <c r="UEW26" s="73"/>
      <c r="UEX26" s="73"/>
      <c r="UEY26" s="73"/>
      <c r="UEZ26" s="73"/>
      <c r="UFA26" s="73"/>
      <c r="UFB26" s="73"/>
      <c r="UFC26" s="73"/>
      <c r="UFD26" s="73"/>
      <c r="UFE26" s="73"/>
      <c r="UFF26" s="73"/>
      <c r="UFG26" s="73"/>
      <c r="UFH26" s="73"/>
      <c r="UFI26" s="73"/>
      <c r="UFJ26" s="73"/>
      <c r="UFK26" s="73"/>
      <c r="UFL26" s="73"/>
      <c r="UFM26" s="73"/>
      <c r="UFN26" s="73"/>
      <c r="UFO26" s="73"/>
      <c r="UFP26" s="73"/>
      <c r="UFQ26" s="73"/>
      <c r="UFR26" s="73"/>
      <c r="UFS26" s="73"/>
      <c r="UFT26" s="73"/>
      <c r="UFU26" s="73"/>
      <c r="UFV26" s="73"/>
      <c r="UFW26" s="73"/>
      <c r="UFX26" s="73"/>
      <c r="UFY26" s="73"/>
      <c r="UFZ26" s="73"/>
      <c r="UGA26" s="73"/>
      <c r="UGB26" s="73"/>
      <c r="UGC26" s="73"/>
      <c r="UGD26" s="73"/>
      <c r="UGE26" s="73"/>
      <c r="UGF26" s="73"/>
      <c r="UGG26" s="73"/>
      <c r="UGH26" s="73"/>
      <c r="UGI26" s="73"/>
      <c r="UGJ26" s="73"/>
      <c r="UGK26" s="73"/>
      <c r="UGL26" s="73"/>
      <c r="UGM26" s="73"/>
      <c r="UGN26" s="73"/>
      <c r="UGO26" s="73"/>
      <c r="UGP26" s="73"/>
      <c r="UGQ26" s="73"/>
      <c r="UGR26" s="73"/>
      <c r="UGS26" s="73"/>
      <c r="UGT26" s="73"/>
      <c r="UGU26" s="73"/>
      <c r="UGV26" s="73"/>
      <c r="UGW26" s="73"/>
      <c r="UGX26" s="73"/>
      <c r="UGY26" s="73"/>
      <c r="UGZ26" s="73"/>
      <c r="UHA26" s="73"/>
      <c r="UHB26" s="73"/>
      <c r="UHC26" s="73"/>
      <c r="UHD26" s="73"/>
      <c r="UHE26" s="73"/>
      <c r="UHF26" s="73"/>
      <c r="UHG26" s="73"/>
      <c r="UHH26" s="73"/>
      <c r="UHI26" s="73"/>
      <c r="UHJ26" s="73"/>
      <c r="UHK26" s="73"/>
      <c r="UHL26" s="73"/>
      <c r="UHM26" s="73"/>
      <c r="UHN26" s="73"/>
      <c r="UHO26" s="73"/>
      <c r="UHP26" s="73"/>
      <c r="UHQ26" s="73"/>
      <c r="UHR26" s="73"/>
      <c r="UHS26" s="73"/>
      <c r="UHT26" s="73"/>
      <c r="UHU26" s="73"/>
      <c r="UHV26" s="73"/>
      <c r="UHW26" s="73"/>
      <c r="UHX26" s="73"/>
      <c r="UHY26" s="73"/>
      <c r="UHZ26" s="73"/>
      <c r="UIA26" s="73"/>
      <c r="UIB26" s="73"/>
      <c r="UIC26" s="73"/>
      <c r="UID26" s="73"/>
      <c r="UIE26" s="73"/>
      <c r="UIF26" s="73"/>
      <c r="UIG26" s="73"/>
      <c r="UIH26" s="73"/>
      <c r="UII26" s="73"/>
      <c r="UIJ26" s="73"/>
      <c r="UIK26" s="73"/>
      <c r="UIL26" s="73"/>
      <c r="UIM26" s="73"/>
      <c r="UIN26" s="73"/>
      <c r="UIO26" s="73"/>
      <c r="UIP26" s="73"/>
      <c r="UIQ26" s="73"/>
      <c r="UIR26" s="73"/>
      <c r="UIS26" s="73"/>
      <c r="UIT26" s="73"/>
      <c r="UIU26" s="73"/>
      <c r="UIV26" s="73"/>
      <c r="UIW26" s="73"/>
      <c r="UIX26" s="73"/>
      <c r="UIY26" s="73"/>
      <c r="UIZ26" s="73"/>
      <c r="UJA26" s="73"/>
      <c r="UJB26" s="73"/>
      <c r="UJC26" s="73"/>
      <c r="UJD26" s="73"/>
      <c r="UJE26" s="73"/>
      <c r="UJF26" s="73"/>
      <c r="UJG26" s="73"/>
      <c r="UJH26" s="73"/>
      <c r="UJI26" s="73"/>
      <c r="UJJ26" s="73"/>
      <c r="UJK26" s="73"/>
      <c r="UJL26" s="73"/>
      <c r="UJM26" s="73"/>
      <c r="UJN26" s="73"/>
      <c r="UJO26" s="73"/>
      <c r="UJP26" s="73"/>
      <c r="UJQ26" s="73"/>
      <c r="UJR26" s="73"/>
      <c r="UJS26" s="73"/>
      <c r="UJT26" s="73"/>
      <c r="UJU26" s="73"/>
      <c r="UJV26" s="73"/>
      <c r="UJW26" s="73"/>
      <c r="UJX26" s="73"/>
      <c r="UJY26" s="73"/>
      <c r="UJZ26" s="73"/>
      <c r="UKA26" s="73"/>
      <c r="UKB26" s="73"/>
      <c r="UKC26" s="73"/>
      <c r="UKD26" s="73"/>
      <c r="UKE26" s="73"/>
      <c r="UKF26" s="73"/>
      <c r="UKG26" s="73"/>
      <c r="UKH26" s="73"/>
      <c r="UKI26" s="73"/>
      <c r="UKJ26" s="73"/>
      <c r="UKK26" s="73"/>
      <c r="UKL26" s="73"/>
      <c r="UKM26" s="73"/>
      <c r="UKN26" s="73"/>
      <c r="UKO26" s="73"/>
      <c r="UKP26" s="73"/>
      <c r="UKQ26" s="73"/>
      <c r="UKR26" s="73"/>
      <c r="UKS26" s="73"/>
      <c r="UKT26" s="73"/>
      <c r="UKU26" s="73"/>
      <c r="UKV26" s="73"/>
      <c r="UKW26" s="73"/>
      <c r="UKX26" s="73"/>
      <c r="UKY26" s="73"/>
      <c r="UKZ26" s="73"/>
      <c r="ULA26" s="73"/>
      <c r="ULB26" s="73"/>
      <c r="ULC26" s="73"/>
      <c r="ULD26" s="73"/>
      <c r="ULE26" s="73"/>
      <c r="ULF26" s="73"/>
      <c r="ULG26" s="73"/>
      <c r="ULH26" s="73"/>
      <c r="ULI26" s="73"/>
      <c r="ULJ26" s="73"/>
      <c r="ULK26" s="73"/>
      <c r="ULL26" s="73"/>
      <c r="ULM26" s="73"/>
      <c r="ULN26" s="73"/>
      <c r="ULO26" s="73"/>
      <c r="ULP26" s="73"/>
      <c r="ULQ26" s="73"/>
      <c r="ULR26" s="73"/>
      <c r="ULS26" s="73"/>
      <c r="ULT26" s="73"/>
      <c r="ULU26" s="73"/>
      <c r="ULV26" s="73"/>
      <c r="ULW26" s="73"/>
      <c r="ULX26" s="73"/>
      <c r="ULY26" s="73"/>
      <c r="ULZ26" s="73"/>
      <c r="UMA26" s="73"/>
      <c r="UMB26" s="73"/>
      <c r="UMC26" s="73"/>
      <c r="UMD26" s="73"/>
      <c r="UME26" s="73"/>
      <c r="UMF26" s="73"/>
      <c r="UMG26" s="73"/>
      <c r="UMH26" s="73"/>
      <c r="UMI26" s="73"/>
      <c r="UMJ26" s="73"/>
      <c r="UMK26" s="73"/>
      <c r="UML26" s="73"/>
      <c r="UMM26" s="73"/>
      <c r="UMN26" s="73"/>
      <c r="UMO26" s="73"/>
      <c r="UMP26" s="73"/>
      <c r="UMQ26" s="73"/>
      <c r="UMR26" s="73"/>
      <c r="UMS26" s="73"/>
      <c r="UMT26" s="73"/>
      <c r="UMU26" s="73"/>
      <c r="UMV26" s="73"/>
      <c r="UMW26" s="73"/>
      <c r="UMX26" s="73"/>
      <c r="UMY26" s="73"/>
      <c r="UMZ26" s="73"/>
      <c r="UNA26" s="73"/>
      <c r="UNB26" s="73"/>
      <c r="UNC26" s="73"/>
      <c r="UND26" s="73"/>
      <c r="UNE26" s="73"/>
      <c r="UNF26" s="73"/>
      <c r="UNG26" s="73"/>
      <c r="UNH26" s="73"/>
      <c r="UNI26" s="73"/>
      <c r="UNJ26" s="73"/>
      <c r="UNK26" s="73"/>
      <c r="UNL26" s="73"/>
      <c r="UNM26" s="73"/>
      <c r="UNN26" s="73"/>
      <c r="UNO26" s="73"/>
      <c r="UNP26" s="73"/>
      <c r="UNQ26" s="73"/>
      <c r="UNR26" s="73"/>
      <c r="UNS26" s="73"/>
      <c r="UNT26" s="73"/>
      <c r="UNU26" s="73"/>
      <c r="UNV26" s="73"/>
      <c r="UNW26" s="73"/>
      <c r="UNX26" s="73"/>
      <c r="UNY26" s="73"/>
      <c r="UNZ26" s="73"/>
      <c r="UOA26" s="73"/>
      <c r="UOB26" s="73"/>
      <c r="UOC26" s="73"/>
      <c r="UOD26" s="73"/>
      <c r="UOE26" s="73"/>
      <c r="UOF26" s="73"/>
      <c r="UOG26" s="73"/>
      <c r="UOH26" s="73"/>
      <c r="UOI26" s="73"/>
      <c r="UOJ26" s="73"/>
      <c r="UOK26" s="73"/>
      <c r="UOL26" s="73"/>
      <c r="UOM26" s="73"/>
      <c r="UON26" s="73"/>
      <c r="UOO26" s="73"/>
      <c r="UOP26" s="73"/>
      <c r="UOQ26" s="73"/>
      <c r="UOR26" s="73"/>
      <c r="UOS26" s="73"/>
      <c r="UOT26" s="73"/>
      <c r="UOU26" s="73"/>
      <c r="UOV26" s="73"/>
      <c r="UOW26" s="73"/>
      <c r="UOX26" s="73"/>
      <c r="UOY26" s="73"/>
      <c r="UOZ26" s="73"/>
      <c r="UPA26" s="73"/>
      <c r="UPB26" s="73"/>
      <c r="UPC26" s="73"/>
      <c r="UPD26" s="73"/>
      <c r="UPE26" s="73"/>
      <c r="UPF26" s="73"/>
      <c r="UPG26" s="73"/>
      <c r="UPH26" s="73"/>
      <c r="UPI26" s="73"/>
      <c r="UPJ26" s="73"/>
      <c r="UPK26" s="73"/>
      <c r="UPL26" s="73"/>
      <c r="UPM26" s="73"/>
      <c r="UPN26" s="73"/>
      <c r="UPO26" s="73"/>
      <c r="UPP26" s="73"/>
      <c r="UPQ26" s="73"/>
      <c r="UPR26" s="73"/>
      <c r="UPS26" s="73"/>
      <c r="UPT26" s="73"/>
      <c r="UPU26" s="73"/>
      <c r="UPV26" s="73"/>
      <c r="UPW26" s="73"/>
      <c r="UPX26" s="73"/>
      <c r="UPY26" s="73"/>
      <c r="UPZ26" s="73"/>
      <c r="UQA26" s="73"/>
      <c r="UQB26" s="73"/>
      <c r="UQC26" s="73"/>
      <c r="UQD26" s="73"/>
      <c r="UQE26" s="73"/>
      <c r="UQF26" s="73"/>
      <c r="UQG26" s="73"/>
      <c r="UQH26" s="73"/>
      <c r="UQI26" s="73"/>
      <c r="UQJ26" s="73"/>
      <c r="UQK26" s="73"/>
      <c r="UQL26" s="73"/>
      <c r="UQM26" s="73"/>
      <c r="UQN26" s="73"/>
      <c r="UQO26" s="73"/>
      <c r="UQP26" s="73"/>
      <c r="UQQ26" s="73"/>
      <c r="UQR26" s="73"/>
      <c r="UQS26" s="73"/>
      <c r="UQT26" s="73"/>
      <c r="UQU26" s="73"/>
      <c r="UQV26" s="73"/>
      <c r="UQW26" s="73"/>
      <c r="UQX26" s="73"/>
      <c r="UQY26" s="73"/>
      <c r="UQZ26" s="73"/>
      <c r="URA26" s="73"/>
      <c r="URB26" s="73"/>
      <c r="URC26" s="73"/>
      <c r="URD26" s="73"/>
      <c r="URE26" s="73"/>
      <c r="URF26" s="73"/>
      <c r="URG26" s="73"/>
      <c r="URH26" s="73"/>
      <c r="URI26" s="73"/>
      <c r="URJ26" s="73"/>
      <c r="URK26" s="73"/>
      <c r="URL26" s="73"/>
      <c r="URM26" s="73"/>
      <c r="URN26" s="73"/>
      <c r="URO26" s="73"/>
      <c r="URP26" s="73"/>
      <c r="URQ26" s="73"/>
      <c r="URR26" s="73"/>
      <c r="URS26" s="73"/>
      <c r="URT26" s="73"/>
      <c r="URU26" s="73"/>
      <c r="URV26" s="73"/>
      <c r="URW26" s="73"/>
      <c r="URX26" s="73"/>
      <c r="URY26" s="73"/>
      <c r="URZ26" s="73"/>
      <c r="USA26" s="73"/>
      <c r="USB26" s="73"/>
      <c r="USC26" s="73"/>
      <c r="USD26" s="73"/>
      <c r="USE26" s="73"/>
      <c r="USF26" s="73"/>
      <c r="USG26" s="73"/>
      <c r="USH26" s="73"/>
      <c r="USI26" s="73"/>
      <c r="USJ26" s="73"/>
      <c r="USK26" s="73"/>
      <c r="USL26" s="73"/>
      <c r="USM26" s="73"/>
      <c r="USN26" s="73"/>
      <c r="USO26" s="73"/>
      <c r="USP26" s="73"/>
      <c r="USQ26" s="73"/>
      <c r="USR26" s="73"/>
      <c r="USS26" s="73"/>
      <c r="UST26" s="73"/>
      <c r="USU26" s="73"/>
      <c r="USV26" s="73"/>
      <c r="USW26" s="73"/>
      <c r="USX26" s="73"/>
      <c r="USY26" s="73"/>
      <c r="USZ26" s="73"/>
      <c r="UTA26" s="73"/>
      <c r="UTB26" s="73"/>
      <c r="UTC26" s="73"/>
      <c r="UTD26" s="73"/>
      <c r="UTE26" s="73"/>
      <c r="UTF26" s="73"/>
      <c r="UTG26" s="73"/>
      <c r="UTH26" s="73"/>
      <c r="UTI26" s="73"/>
      <c r="UTJ26" s="73"/>
      <c r="UTK26" s="73"/>
      <c r="UTL26" s="73"/>
      <c r="UTM26" s="73"/>
      <c r="UTN26" s="73"/>
      <c r="UTO26" s="73"/>
      <c r="UTP26" s="73"/>
      <c r="UTQ26" s="73"/>
      <c r="UTR26" s="73"/>
      <c r="UTS26" s="73"/>
      <c r="UTT26" s="73"/>
      <c r="UTU26" s="73"/>
      <c r="UTV26" s="73"/>
      <c r="UTW26" s="73"/>
      <c r="UTX26" s="73"/>
      <c r="UTY26" s="73"/>
      <c r="UTZ26" s="73"/>
      <c r="UUA26" s="73"/>
      <c r="UUB26" s="73"/>
      <c r="UUC26" s="73"/>
      <c r="UUD26" s="73"/>
      <c r="UUE26" s="73"/>
      <c r="UUF26" s="73"/>
      <c r="UUG26" s="73"/>
      <c r="UUH26" s="73"/>
      <c r="UUI26" s="73"/>
      <c r="UUJ26" s="73"/>
      <c r="UUK26" s="73"/>
      <c r="UUL26" s="73"/>
      <c r="UUM26" s="73"/>
      <c r="UUN26" s="73"/>
      <c r="UUO26" s="73"/>
      <c r="UUP26" s="73"/>
      <c r="UUQ26" s="73"/>
      <c r="UUR26" s="73"/>
      <c r="UUS26" s="73"/>
      <c r="UUT26" s="73"/>
      <c r="UUU26" s="73"/>
      <c r="UUV26" s="73"/>
      <c r="UUW26" s="73"/>
      <c r="UUX26" s="73"/>
      <c r="UUY26" s="73"/>
      <c r="UUZ26" s="73"/>
      <c r="UVA26" s="73"/>
      <c r="UVB26" s="73"/>
      <c r="UVC26" s="73"/>
      <c r="UVD26" s="73"/>
      <c r="UVE26" s="73"/>
      <c r="UVF26" s="73"/>
      <c r="UVG26" s="73"/>
      <c r="UVH26" s="73"/>
      <c r="UVI26" s="73"/>
      <c r="UVJ26" s="73"/>
      <c r="UVK26" s="73"/>
      <c r="UVL26" s="73"/>
      <c r="UVM26" s="73"/>
      <c r="UVN26" s="73"/>
      <c r="UVO26" s="73"/>
      <c r="UVP26" s="73"/>
      <c r="UVQ26" s="73"/>
      <c r="UVR26" s="73"/>
      <c r="UVS26" s="73"/>
      <c r="UVT26" s="73"/>
      <c r="UVU26" s="73"/>
      <c r="UVV26" s="73"/>
      <c r="UVW26" s="73"/>
      <c r="UVX26" s="73"/>
      <c r="UVY26" s="73"/>
      <c r="UVZ26" s="73"/>
      <c r="UWA26" s="73"/>
      <c r="UWB26" s="73"/>
      <c r="UWC26" s="73"/>
      <c r="UWD26" s="73"/>
      <c r="UWE26" s="73"/>
      <c r="UWF26" s="73"/>
      <c r="UWG26" s="73"/>
      <c r="UWH26" s="73"/>
      <c r="UWI26" s="73"/>
      <c r="UWJ26" s="73"/>
      <c r="UWK26" s="73"/>
      <c r="UWL26" s="73"/>
      <c r="UWM26" s="73"/>
      <c r="UWN26" s="73"/>
      <c r="UWO26" s="73"/>
      <c r="UWP26" s="73"/>
      <c r="UWQ26" s="73"/>
      <c r="UWR26" s="73"/>
      <c r="UWS26" s="73"/>
      <c r="UWT26" s="73"/>
      <c r="UWU26" s="73"/>
      <c r="UWV26" s="73"/>
      <c r="UWW26" s="73"/>
      <c r="UWX26" s="73"/>
      <c r="UWY26" s="73"/>
      <c r="UWZ26" s="73"/>
      <c r="UXA26" s="73"/>
      <c r="UXB26" s="73"/>
      <c r="UXC26" s="73"/>
      <c r="UXD26" s="73"/>
      <c r="UXE26" s="73"/>
      <c r="UXF26" s="73"/>
      <c r="UXG26" s="73"/>
      <c r="UXH26" s="73"/>
      <c r="UXI26" s="73"/>
      <c r="UXJ26" s="73"/>
      <c r="UXK26" s="73"/>
      <c r="UXL26" s="73"/>
      <c r="UXM26" s="73"/>
      <c r="UXN26" s="73"/>
      <c r="UXO26" s="73"/>
      <c r="UXP26" s="73"/>
      <c r="UXQ26" s="73"/>
      <c r="UXR26" s="73"/>
      <c r="UXS26" s="73"/>
      <c r="UXT26" s="73"/>
      <c r="UXU26" s="73"/>
      <c r="UXV26" s="73"/>
      <c r="UXW26" s="73"/>
      <c r="UXX26" s="73"/>
      <c r="UXY26" s="73"/>
      <c r="UXZ26" s="73"/>
      <c r="UYA26" s="73"/>
      <c r="UYB26" s="73"/>
      <c r="UYC26" s="73"/>
      <c r="UYD26" s="73"/>
      <c r="UYE26" s="73"/>
      <c r="UYF26" s="73"/>
      <c r="UYG26" s="73"/>
      <c r="UYH26" s="73"/>
      <c r="UYI26" s="73"/>
      <c r="UYJ26" s="73"/>
      <c r="UYK26" s="73"/>
      <c r="UYL26" s="73"/>
      <c r="UYM26" s="73"/>
      <c r="UYN26" s="73"/>
      <c r="UYO26" s="73"/>
      <c r="UYP26" s="73"/>
      <c r="UYQ26" s="73"/>
      <c r="UYR26" s="73"/>
      <c r="UYS26" s="73"/>
      <c r="UYT26" s="73"/>
      <c r="UYU26" s="73"/>
      <c r="UYV26" s="73"/>
      <c r="UYW26" s="73"/>
      <c r="UYX26" s="73"/>
      <c r="UYY26" s="73"/>
      <c r="UYZ26" s="73"/>
      <c r="UZA26" s="73"/>
      <c r="UZB26" s="73"/>
      <c r="UZC26" s="73"/>
      <c r="UZD26" s="73"/>
      <c r="UZE26" s="73"/>
      <c r="UZF26" s="73"/>
      <c r="UZG26" s="73"/>
      <c r="UZH26" s="73"/>
      <c r="UZI26" s="73"/>
      <c r="UZJ26" s="73"/>
      <c r="UZK26" s="73"/>
      <c r="UZL26" s="73"/>
      <c r="UZM26" s="73"/>
      <c r="UZN26" s="73"/>
      <c r="UZO26" s="73"/>
      <c r="UZP26" s="73"/>
      <c r="UZQ26" s="73"/>
      <c r="UZR26" s="73"/>
      <c r="UZS26" s="73"/>
      <c r="UZT26" s="73"/>
      <c r="UZU26" s="73"/>
      <c r="UZV26" s="73"/>
      <c r="UZW26" s="73"/>
      <c r="UZX26" s="73"/>
      <c r="UZY26" s="73"/>
      <c r="UZZ26" s="73"/>
      <c r="VAA26" s="73"/>
      <c r="VAB26" s="73"/>
      <c r="VAC26" s="73"/>
      <c r="VAD26" s="73"/>
      <c r="VAE26" s="73"/>
      <c r="VAF26" s="73"/>
      <c r="VAG26" s="73"/>
      <c r="VAH26" s="73"/>
      <c r="VAI26" s="73"/>
      <c r="VAJ26" s="73"/>
      <c r="VAK26" s="73"/>
      <c r="VAL26" s="73"/>
      <c r="VAM26" s="73"/>
      <c r="VAN26" s="73"/>
      <c r="VAO26" s="73"/>
      <c r="VAP26" s="73"/>
      <c r="VAQ26" s="73"/>
      <c r="VAR26" s="73"/>
      <c r="VAS26" s="73"/>
      <c r="VAT26" s="73"/>
      <c r="VAU26" s="73"/>
      <c r="VAV26" s="73"/>
      <c r="VAW26" s="73"/>
      <c r="VAX26" s="73"/>
      <c r="VAY26" s="73"/>
      <c r="VAZ26" s="73"/>
      <c r="VBA26" s="73"/>
      <c r="VBB26" s="73"/>
      <c r="VBC26" s="73"/>
      <c r="VBD26" s="73"/>
      <c r="VBE26" s="73"/>
      <c r="VBF26" s="73"/>
      <c r="VBG26" s="73"/>
      <c r="VBH26" s="73"/>
      <c r="VBI26" s="73"/>
      <c r="VBJ26" s="73"/>
      <c r="VBK26" s="73"/>
      <c r="VBL26" s="73"/>
      <c r="VBM26" s="73"/>
      <c r="VBN26" s="73"/>
      <c r="VBO26" s="73"/>
      <c r="VBP26" s="73"/>
      <c r="VBQ26" s="73"/>
      <c r="VBR26" s="73"/>
      <c r="VBS26" s="73"/>
      <c r="VBT26" s="73"/>
      <c r="VBU26" s="73"/>
      <c r="VBV26" s="73"/>
      <c r="VBW26" s="73"/>
      <c r="VBX26" s="73"/>
      <c r="VBY26" s="73"/>
      <c r="VBZ26" s="73"/>
      <c r="VCA26" s="73"/>
      <c r="VCB26" s="73"/>
      <c r="VCC26" s="73"/>
      <c r="VCD26" s="73"/>
      <c r="VCE26" s="73"/>
      <c r="VCF26" s="73"/>
      <c r="VCG26" s="73"/>
      <c r="VCH26" s="73"/>
      <c r="VCI26" s="73"/>
      <c r="VCJ26" s="73"/>
      <c r="VCK26" s="73"/>
      <c r="VCL26" s="73"/>
      <c r="VCM26" s="73"/>
      <c r="VCN26" s="73"/>
      <c r="VCO26" s="73"/>
      <c r="VCP26" s="73"/>
      <c r="VCQ26" s="73"/>
      <c r="VCR26" s="73"/>
      <c r="VCS26" s="73"/>
      <c r="VCT26" s="73"/>
      <c r="VCU26" s="73"/>
      <c r="VCV26" s="73"/>
      <c r="VCW26" s="73"/>
      <c r="VCX26" s="73"/>
      <c r="VCY26" s="73"/>
      <c r="VCZ26" s="73"/>
      <c r="VDA26" s="73"/>
      <c r="VDB26" s="73"/>
      <c r="VDC26" s="73"/>
      <c r="VDD26" s="73"/>
      <c r="VDE26" s="73"/>
      <c r="VDF26" s="73"/>
      <c r="VDG26" s="73"/>
      <c r="VDH26" s="73"/>
      <c r="VDI26" s="73"/>
      <c r="VDJ26" s="73"/>
      <c r="VDK26" s="73"/>
      <c r="VDL26" s="73"/>
      <c r="VDM26" s="73"/>
      <c r="VDN26" s="73"/>
      <c r="VDO26" s="73"/>
      <c r="VDP26" s="73"/>
      <c r="VDQ26" s="73"/>
      <c r="VDR26" s="73"/>
      <c r="VDS26" s="73"/>
      <c r="VDT26" s="73"/>
      <c r="VDU26" s="73"/>
      <c r="VDV26" s="73"/>
      <c r="VDW26" s="73"/>
      <c r="VDX26" s="73"/>
      <c r="VDY26" s="73"/>
      <c r="VDZ26" s="73"/>
      <c r="VEA26" s="73"/>
      <c r="VEB26" s="73"/>
      <c r="VEC26" s="73"/>
      <c r="VED26" s="73"/>
      <c r="VEE26" s="73"/>
      <c r="VEF26" s="73"/>
      <c r="VEG26" s="73"/>
      <c r="VEH26" s="73"/>
      <c r="VEI26" s="73"/>
      <c r="VEJ26" s="73"/>
      <c r="VEK26" s="73"/>
      <c r="VEL26" s="73"/>
      <c r="VEM26" s="73"/>
      <c r="VEN26" s="73"/>
      <c r="VEO26" s="73"/>
      <c r="VEP26" s="73"/>
      <c r="VEQ26" s="73"/>
      <c r="VER26" s="73"/>
      <c r="VES26" s="73"/>
      <c r="VET26" s="73"/>
      <c r="VEU26" s="73"/>
      <c r="VEV26" s="73"/>
      <c r="VEW26" s="73"/>
      <c r="VEX26" s="73"/>
      <c r="VEY26" s="73"/>
      <c r="VEZ26" s="73"/>
      <c r="VFA26" s="73"/>
      <c r="VFB26" s="73"/>
      <c r="VFC26" s="73"/>
      <c r="VFD26" s="73"/>
      <c r="VFE26" s="73"/>
      <c r="VFF26" s="73"/>
      <c r="VFG26" s="73"/>
      <c r="VFH26" s="73"/>
      <c r="VFI26" s="73"/>
      <c r="VFJ26" s="73"/>
      <c r="VFK26" s="73"/>
      <c r="VFL26" s="73"/>
      <c r="VFM26" s="73"/>
      <c r="VFN26" s="73"/>
      <c r="VFO26" s="73"/>
      <c r="VFP26" s="73"/>
      <c r="VFQ26" s="73"/>
      <c r="VFR26" s="73"/>
      <c r="VFS26" s="73"/>
      <c r="VFT26" s="73"/>
      <c r="VFU26" s="73"/>
      <c r="VFV26" s="73"/>
      <c r="VFW26" s="73"/>
      <c r="VFX26" s="73"/>
      <c r="VFY26" s="73"/>
      <c r="VFZ26" s="73"/>
      <c r="VGA26" s="73"/>
      <c r="VGB26" s="73"/>
      <c r="VGC26" s="73"/>
      <c r="VGD26" s="73"/>
      <c r="VGE26" s="73"/>
      <c r="VGF26" s="73"/>
      <c r="VGG26" s="73"/>
      <c r="VGH26" s="73"/>
      <c r="VGI26" s="73"/>
      <c r="VGJ26" s="73"/>
      <c r="VGK26" s="73"/>
      <c r="VGL26" s="73"/>
      <c r="VGM26" s="73"/>
      <c r="VGN26" s="73"/>
      <c r="VGO26" s="73"/>
      <c r="VGP26" s="73"/>
      <c r="VGQ26" s="73"/>
      <c r="VGR26" s="73"/>
      <c r="VGS26" s="73"/>
      <c r="VGT26" s="73"/>
      <c r="VGU26" s="73"/>
      <c r="VGV26" s="73"/>
      <c r="VGW26" s="73"/>
      <c r="VGX26" s="73"/>
      <c r="VGY26" s="73"/>
      <c r="VGZ26" s="73"/>
      <c r="VHA26" s="73"/>
      <c r="VHB26" s="73"/>
      <c r="VHC26" s="73"/>
      <c r="VHD26" s="73"/>
      <c r="VHE26" s="73"/>
      <c r="VHF26" s="73"/>
      <c r="VHG26" s="73"/>
      <c r="VHH26" s="73"/>
      <c r="VHI26" s="73"/>
      <c r="VHJ26" s="73"/>
      <c r="VHK26" s="73"/>
      <c r="VHL26" s="73"/>
      <c r="VHM26" s="73"/>
      <c r="VHN26" s="73"/>
      <c r="VHO26" s="73"/>
      <c r="VHP26" s="73"/>
      <c r="VHQ26" s="73"/>
      <c r="VHR26" s="73"/>
      <c r="VHS26" s="73"/>
      <c r="VHT26" s="73"/>
      <c r="VHU26" s="73"/>
      <c r="VHV26" s="73"/>
      <c r="VHW26" s="73"/>
      <c r="VHX26" s="73"/>
      <c r="VHY26" s="73"/>
      <c r="VHZ26" s="73"/>
      <c r="VIA26" s="73"/>
      <c r="VIB26" s="73"/>
      <c r="VIC26" s="73"/>
      <c r="VID26" s="73"/>
      <c r="VIE26" s="73"/>
      <c r="VIF26" s="73"/>
      <c r="VIG26" s="73"/>
      <c r="VIH26" s="73"/>
      <c r="VII26" s="73"/>
      <c r="VIJ26" s="73"/>
      <c r="VIK26" s="73"/>
      <c r="VIL26" s="73"/>
      <c r="VIM26" s="73"/>
      <c r="VIN26" s="73"/>
      <c r="VIO26" s="73"/>
      <c r="VIP26" s="73"/>
      <c r="VIQ26" s="73"/>
      <c r="VIR26" s="73"/>
      <c r="VIS26" s="73"/>
      <c r="VIT26" s="73"/>
      <c r="VIU26" s="73"/>
      <c r="VIV26" s="73"/>
      <c r="VIW26" s="73"/>
      <c r="VIX26" s="73"/>
      <c r="VIY26" s="73"/>
      <c r="VIZ26" s="73"/>
      <c r="VJA26" s="73"/>
      <c r="VJB26" s="73"/>
      <c r="VJC26" s="73"/>
      <c r="VJD26" s="73"/>
      <c r="VJE26" s="73"/>
      <c r="VJF26" s="73"/>
      <c r="VJG26" s="73"/>
      <c r="VJH26" s="73"/>
      <c r="VJI26" s="73"/>
      <c r="VJJ26" s="73"/>
      <c r="VJK26" s="73"/>
      <c r="VJL26" s="73"/>
      <c r="VJM26" s="73"/>
      <c r="VJN26" s="73"/>
      <c r="VJO26" s="73"/>
      <c r="VJP26" s="73"/>
      <c r="VJQ26" s="73"/>
      <c r="VJR26" s="73"/>
      <c r="VJS26" s="73"/>
      <c r="VJT26" s="73"/>
      <c r="VJU26" s="73"/>
      <c r="VJV26" s="73"/>
      <c r="VJW26" s="73"/>
      <c r="VJX26" s="73"/>
      <c r="VJY26" s="73"/>
      <c r="VJZ26" s="73"/>
      <c r="VKA26" s="73"/>
      <c r="VKB26" s="73"/>
      <c r="VKC26" s="73"/>
      <c r="VKD26" s="73"/>
      <c r="VKE26" s="73"/>
      <c r="VKF26" s="73"/>
      <c r="VKG26" s="73"/>
      <c r="VKH26" s="73"/>
      <c r="VKI26" s="73"/>
      <c r="VKJ26" s="73"/>
      <c r="VKK26" s="73"/>
      <c r="VKL26" s="73"/>
      <c r="VKM26" s="73"/>
      <c r="VKN26" s="73"/>
      <c r="VKO26" s="73"/>
      <c r="VKP26" s="73"/>
      <c r="VKQ26" s="73"/>
      <c r="VKR26" s="73"/>
      <c r="VKS26" s="73"/>
      <c r="VKT26" s="73"/>
      <c r="VKU26" s="73"/>
      <c r="VKV26" s="73"/>
      <c r="VKW26" s="73"/>
      <c r="VKX26" s="73"/>
      <c r="VKY26" s="73"/>
      <c r="VKZ26" s="73"/>
      <c r="VLA26" s="73"/>
      <c r="VLB26" s="73"/>
      <c r="VLC26" s="73"/>
      <c r="VLD26" s="73"/>
      <c r="VLE26" s="73"/>
      <c r="VLF26" s="73"/>
      <c r="VLG26" s="73"/>
      <c r="VLH26" s="73"/>
      <c r="VLI26" s="73"/>
      <c r="VLJ26" s="73"/>
      <c r="VLK26" s="73"/>
      <c r="VLL26" s="73"/>
      <c r="VLM26" s="73"/>
      <c r="VLN26" s="73"/>
      <c r="VLO26" s="73"/>
      <c r="VLP26" s="73"/>
      <c r="VLQ26" s="73"/>
      <c r="VLR26" s="73"/>
      <c r="VLS26" s="73"/>
      <c r="VLT26" s="73"/>
      <c r="VLU26" s="73"/>
      <c r="VLV26" s="73"/>
      <c r="VLW26" s="73"/>
      <c r="VLX26" s="73"/>
      <c r="VLY26" s="73"/>
      <c r="VLZ26" s="73"/>
      <c r="VMA26" s="73"/>
      <c r="VMB26" s="73"/>
      <c r="VMC26" s="73"/>
      <c r="VMD26" s="73"/>
      <c r="VME26" s="73"/>
      <c r="VMF26" s="73"/>
      <c r="VMG26" s="73"/>
      <c r="VMH26" s="73"/>
      <c r="VMI26" s="73"/>
      <c r="VMJ26" s="73"/>
      <c r="VMK26" s="73"/>
      <c r="VML26" s="73"/>
      <c r="VMM26" s="73"/>
      <c r="VMN26" s="73"/>
      <c r="VMO26" s="73"/>
      <c r="VMP26" s="73"/>
      <c r="VMQ26" s="73"/>
      <c r="VMR26" s="73"/>
      <c r="VMS26" s="73"/>
      <c r="VMT26" s="73"/>
      <c r="VMU26" s="73"/>
      <c r="VMV26" s="73"/>
      <c r="VMW26" s="73"/>
      <c r="VMX26" s="73"/>
      <c r="VMY26" s="73"/>
      <c r="VMZ26" s="73"/>
      <c r="VNA26" s="73"/>
      <c r="VNB26" s="73"/>
      <c r="VNC26" s="73"/>
      <c r="VND26" s="73"/>
      <c r="VNE26" s="73"/>
      <c r="VNF26" s="73"/>
      <c r="VNG26" s="73"/>
      <c r="VNH26" s="73"/>
      <c r="VNI26" s="73"/>
      <c r="VNJ26" s="73"/>
      <c r="VNK26" s="73"/>
      <c r="VNL26" s="73"/>
      <c r="VNM26" s="73"/>
      <c r="VNN26" s="73"/>
      <c r="VNO26" s="73"/>
      <c r="VNP26" s="73"/>
      <c r="VNQ26" s="73"/>
      <c r="VNR26" s="73"/>
      <c r="VNS26" s="73"/>
      <c r="VNT26" s="73"/>
      <c r="VNU26" s="73"/>
      <c r="VNV26" s="73"/>
      <c r="VNW26" s="73"/>
      <c r="VNX26" s="73"/>
      <c r="VNY26" s="73"/>
      <c r="VNZ26" s="73"/>
      <c r="VOA26" s="73"/>
      <c r="VOB26" s="73"/>
      <c r="VOC26" s="73"/>
      <c r="VOD26" s="73"/>
      <c r="VOE26" s="73"/>
      <c r="VOF26" s="73"/>
      <c r="VOG26" s="73"/>
      <c r="VOH26" s="73"/>
      <c r="VOI26" s="73"/>
      <c r="VOJ26" s="73"/>
      <c r="VOK26" s="73"/>
      <c r="VOL26" s="73"/>
      <c r="VOM26" s="73"/>
      <c r="VON26" s="73"/>
      <c r="VOO26" s="73"/>
      <c r="VOP26" s="73"/>
      <c r="VOQ26" s="73"/>
      <c r="VOR26" s="73"/>
      <c r="VOS26" s="73"/>
      <c r="VOT26" s="73"/>
      <c r="VOU26" s="73"/>
      <c r="VOV26" s="73"/>
      <c r="VOW26" s="73"/>
      <c r="VOX26" s="73"/>
      <c r="VOY26" s="73"/>
      <c r="VOZ26" s="73"/>
      <c r="VPA26" s="73"/>
      <c r="VPB26" s="73"/>
      <c r="VPC26" s="73"/>
      <c r="VPD26" s="73"/>
      <c r="VPE26" s="73"/>
      <c r="VPF26" s="73"/>
      <c r="VPG26" s="73"/>
      <c r="VPH26" s="73"/>
      <c r="VPI26" s="73"/>
      <c r="VPJ26" s="73"/>
      <c r="VPK26" s="73"/>
      <c r="VPL26" s="73"/>
      <c r="VPM26" s="73"/>
      <c r="VPN26" s="73"/>
      <c r="VPO26" s="73"/>
      <c r="VPP26" s="73"/>
      <c r="VPQ26" s="73"/>
      <c r="VPR26" s="73"/>
      <c r="VPS26" s="73"/>
      <c r="VPT26" s="73"/>
      <c r="VPU26" s="73"/>
      <c r="VPV26" s="73"/>
      <c r="VPW26" s="73"/>
      <c r="VPX26" s="73"/>
      <c r="VPY26" s="73"/>
      <c r="VPZ26" s="73"/>
      <c r="VQA26" s="73"/>
      <c r="VQB26" s="73"/>
      <c r="VQC26" s="73"/>
      <c r="VQD26" s="73"/>
      <c r="VQE26" s="73"/>
      <c r="VQF26" s="73"/>
      <c r="VQG26" s="73"/>
      <c r="VQH26" s="73"/>
      <c r="VQI26" s="73"/>
      <c r="VQJ26" s="73"/>
      <c r="VQK26" s="73"/>
      <c r="VQL26" s="73"/>
      <c r="VQM26" s="73"/>
      <c r="VQN26" s="73"/>
      <c r="VQO26" s="73"/>
      <c r="VQP26" s="73"/>
      <c r="VQQ26" s="73"/>
      <c r="VQR26" s="73"/>
      <c r="VQS26" s="73"/>
      <c r="VQT26" s="73"/>
      <c r="VQU26" s="73"/>
      <c r="VQV26" s="73"/>
      <c r="VQW26" s="73"/>
      <c r="VQX26" s="73"/>
      <c r="VQY26" s="73"/>
      <c r="VQZ26" s="73"/>
      <c r="VRA26" s="73"/>
      <c r="VRB26" s="73"/>
      <c r="VRC26" s="73"/>
      <c r="VRD26" s="73"/>
      <c r="VRE26" s="73"/>
      <c r="VRF26" s="73"/>
      <c r="VRG26" s="73"/>
      <c r="VRH26" s="73"/>
      <c r="VRI26" s="73"/>
      <c r="VRJ26" s="73"/>
      <c r="VRK26" s="73"/>
      <c r="VRL26" s="73"/>
      <c r="VRM26" s="73"/>
      <c r="VRN26" s="73"/>
      <c r="VRO26" s="73"/>
      <c r="VRP26" s="73"/>
      <c r="VRQ26" s="73"/>
      <c r="VRR26" s="73"/>
      <c r="VRS26" s="73"/>
      <c r="VRT26" s="73"/>
      <c r="VRU26" s="73"/>
      <c r="VRV26" s="73"/>
      <c r="VRW26" s="73"/>
      <c r="VRX26" s="73"/>
      <c r="VRY26" s="73"/>
      <c r="VRZ26" s="73"/>
      <c r="VSA26" s="73"/>
      <c r="VSB26" s="73"/>
      <c r="VSC26" s="73"/>
      <c r="VSD26" s="73"/>
      <c r="VSE26" s="73"/>
      <c r="VSF26" s="73"/>
      <c r="VSG26" s="73"/>
      <c r="VSH26" s="73"/>
      <c r="VSI26" s="73"/>
      <c r="VSJ26" s="73"/>
      <c r="VSK26" s="73"/>
      <c r="VSL26" s="73"/>
      <c r="VSM26" s="73"/>
      <c r="VSN26" s="73"/>
      <c r="VSO26" s="73"/>
      <c r="VSP26" s="73"/>
      <c r="VSQ26" s="73"/>
      <c r="VSR26" s="73"/>
      <c r="VSS26" s="73"/>
      <c r="VST26" s="73"/>
      <c r="VSU26" s="73"/>
      <c r="VSV26" s="73"/>
      <c r="VSW26" s="73"/>
      <c r="VSX26" s="73"/>
      <c r="VSY26" s="73"/>
      <c r="VSZ26" s="73"/>
      <c r="VTA26" s="73"/>
      <c r="VTB26" s="73"/>
      <c r="VTC26" s="73"/>
      <c r="VTD26" s="73"/>
      <c r="VTE26" s="73"/>
      <c r="VTF26" s="73"/>
      <c r="VTG26" s="73"/>
      <c r="VTH26" s="73"/>
      <c r="VTI26" s="73"/>
      <c r="VTJ26" s="73"/>
      <c r="VTK26" s="73"/>
      <c r="VTL26" s="73"/>
      <c r="VTM26" s="73"/>
      <c r="VTN26" s="73"/>
      <c r="VTO26" s="73"/>
      <c r="VTP26" s="73"/>
      <c r="VTQ26" s="73"/>
      <c r="VTR26" s="73"/>
      <c r="VTS26" s="73"/>
      <c r="VTT26" s="73"/>
      <c r="VTU26" s="73"/>
      <c r="VTV26" s="73"/>
      <c r="VTW26" s="73"/>
      <c r="VTX26" s="73"/>
      <c r="VTY26" s="73"/>
      <c r="VTZ26" s="73"/>
      <c r="VUA26" s="73"/>
      <c r="VUB26" s="73"/>
      <c r="VUC26" s="73"/>
      <c r="VUD26" s="73"/>
      <c r="VUE26" s="73"/>
      <c r="VUF26" s="73"/>
      <c r="VUG26" s="73"/>
      <c r="VUH26" s="73"/>
      <c r="VUI26" s="73"/>
      <c r="VUJ26" s="73"/>
      <c r="VUK26" s="73"/>
      <c r="VUL26" s="73"/>
      <c r="VUM26" s="73"/>
      <c r="VUN26" s="73"/>
      <c r="VUO26" s="73"/>
      <c r="VUP26" s="73"/>
      <c r="VUQ26" s="73"/>
      <c r="VUR26" s="73"/>
      <c r="VUS26" s="73"/>
      <c r="VUT26" s="73"/>
      <c r="VUU26" s="73"/>
      <c r="VUV26" s="73"/>
      <c r="VUW26" s="73"/>
      <c r="VUX26" s="73"/>
      <c r="VUY26" s="73"/>
      <c r="VUZ26" s="73"/>
      <c r="VVA26" s="73"/>
      <c r="VVB26" s="73"/>
      <c r="VVC26" s="73"/>
      <c r="VVD26" s="73"/>
      <c r="VVE26" s="73"/>
      <c r="VVF26" s="73"/>
      <c r="VVG26" s="73"/>
      <c r="VVH26" s="73"/>
      <c r="VVI26" s="73"/>
      <c r="VVJ26" s="73"/>
      <c r="VVK26" s="73"/>
      <c r="VVL26" s="73"/>
      <c r="VVM26" s="73"/>
      <c r="VVN26" s="73"/>
      <c r="VVO26" s="73"/>
      <c r="VVP26" s="73"/>
      <c r="VVQ26" s="73"/>
      <c r="VVR26" s="73"/>
      <c r="VVS26" s="73"/>
      <c r="VVT26" s="73"/>
      <c r="VVU26" s="73"/>
      <c r="VVV26" s="73"/>
      <c r="VVW26" s="73"/>
      <c r="VVX26" s="73"/>
      <c r="VVY26" s="73"/>
      <c r="VVZ26" s="73"/>
      <c r="VWA26" s="73"/>
      <c r="VWB26" s="73"/>
      <c r="VWC26" s="73"/>
      <c r="VWD26" s="73"/>
      <c r="VWE26" s="73"/>
      <c r="VWF26" s="73"/>
      <c r="VWG26" s="73"/>
      <c r="VWH26" s="73"/>
      <c r="VWI26" s="73"/>
      <c r="VWJ26" s="73"/>
      <c r="VWK26" s="73"/>
      <c r="VWL26" s="73"/>
      <c r="VWM26" s="73"/>
      <c r="VWN26" s="73"/>
      <c r="VWO26" s="73"/>
      <c r="VWP26" s="73"/>
      <c r="VWQ26" s="73"/>
      <c r="VWR26" s="73"/>
      <c r="VWS26" s="73"/>
      <c r="VWT26" s="73"/>
      <c r="VWU26" s="73"/>
      <c r="VWV26" s="73"/>
      <c r="VWW26" s="73"/>
      <c r="VWX26" s="73"/>
      <c r="VWY26" s="73"/>
      <c r="VWZ26" s="73"/>
      <c r="VXA26" s="73"/>
      <c r="VXB26" s="73"/>
      <c r="VXC26" s="73"/>
      <c r="VXD26" s="73"/>
      <c r="VXE26" s="73"/>
      <c r="VXF26" s="73"/>
      <c r="VXG26" s="73"/>
      <c r="VXH26" s="73"/>
      <c r="VXI26" s="73"/>
      <c r="VXJ26" s="73"/>
      <c r="VXK26" s="73"/>
      <c r="VXL26" s="73"/>
      <c r="VXM26" s="73"/>
      <c r="VXN26" s="73"/>
      <c r="VXO26" s="73"/>
      <c r="VXP26" s="73"/>
      <c r="VXQ26" s="73"/>
      <c r="VXR26" s="73"/>
      <c r="VXS26" s="73"/>
      <c r="VXT26" s="73"/>
      <c r="VXU26" s="73"/>
      <c r="VXV26" s="73"/>
      <c r="VXW26" s="73"/>
      <c r="VXX26" s="73"/>
      <c r="VXY26" s="73"/>
      <c r="VXZ26" s="73"/>
      <c r="VYA26" s="73"/>
      <c r="VYB26" s="73"/>
      <c r="VYC26" s="73"/>
      <c r="VYD26" s="73"/>
      <c r="VYE26" s="73"/>
      <c r="VYF26" s="73"/>
      <c r="VYG26" s="73"/>
      <c r="VYH26" s="73"/>
      <c r="VYI26" s="73"/>
      <c r="VYJ26" s="73"/>
      <c r="VYK26" s="73"/>
      <c r="VYL26" s="73"/>
      <c r="VYM26" s="73"/>
      <c r="VYN26" s="73"/>
      <c r="VYO26" s="73"/>
      <c r="VYP26" s="73"/>
      <c r="VYQ26" s="73"/>
      <c r="VYR26" s="73"/>
      <c r="VYS26" s="73"/>
      <c r="VYT26" s="73"/>
      <c r="VYU26" s="73"/>
      <c r="VYV26" s="73"/>
      <c r="VYW26" s="73"/>
      <c r="VYX26" s="73"/>
      <c r="VYY26" s="73"/>
      <c r="VYZ26" s="73"/>
      <c r="VZA26" s="73"/>
      <c r="VZB26" s="73"/>
      <c r="VZC26" s="73"/>
      <c r="VZD26" s="73"/>
      <c r="VZE26" s="73"/>
      <c r="VZF26" s="73"/>
      <c r="VZG26" s="73"/>
      <c r="VZH26" s="73"/>
      <c r="VZI26" s="73"/>
      <c r="VZJ26" s="73"/>
      <c r="VZK26" s="73"/>
      <c r="VZL26" s="73"/>
      <c r="VZM26" s="73"/>
      <c r="VZN26" s="73"/>
      <c r="VZO26" s="73"/>
      <c r="VZP26" s="73"/>
      <c r="VZQ26" s="73"/>
      <c r="VZR26" s="73"/>
      <c r="VZS26" s="73"/>
      <c r="VZT26" s="73"/>
      <c r="VZU26" s="73"/>
      <c r="VZV26" s="73"/>
      <c r="VZW26" s="73"/>
      <c r="VZX26" s="73"/>
      <c r="VZY26" s="73"/>
      <c r="VZZ26" s="73"/>
      <c r="WAA26" s="73"/>
      <c r="WAB26" s="73"/>
      <c r="WAC26" s="73"/>
      <c r="WAD26" s="73"/>
      <c r="WAE26" s="73"/>
      <c r="WAF26" s="73"/>
      <c r="WAG26" s="73"/>
      <c r="WAH26" s="73"/>
      <c r="WAI26" s="73"/>
      <c r="WAJ26" s="73"/>
      <c r="WAK26" s="73"/>
      <c r="WAL26" s="73"/>
      <c r="WAM26" s="73"/>
      <c r="WAN26" s="73"/>
      <c r="WAO26" s="73"/>
      <c r="WAP26" s="73"/>
      <c r="WAQ26" s="73"/>
      <c r="WAR26" s="73"/>
      <c r="WAS26" s="73"/>
      <c r="WAT26" s="73"/>
      <c r="WAU26" s="73"/>
      <c r="WAV26" s="73"/>
      <c r="WAW26" s="73"/>
      <c r="WAX26" s="73"/>
      <c r="WAY26" s="73"/>
      <c r="WAZ26" s="73"/>
      <c r="WBA26" s="73"/>
      <c r="WBB26" s="73"/>
      <c r="WBC26" s="73"/>
      <c r="WBD26" s="73"/>
      <c r="WBE26" s="73"/>
      <c r="WBF26" s="73"/>
      <c r="WBG26" s="73"/>
      <c r="WBH26" s="73"/>
      <c r="WBI26" s="73"/>
      <c r="WBJ26" s="73"/>
      <c r="WBK26" s="73"/>
      <c r="WBL26" s="73"/>
      <c r="WBM26" s="73"/>
      <c r="WBN26" s="73"/>
      <c r="WBO26" s="73"/>
      <c r="WBP26" s="73"/>
      <c r="WBQ26" s="73"/>
      <c r="WBR26" s="73"/>
      <c r="WBS26" s="73"/>
      <c r="WBT26" s="73"/>
      <c r="WBU26" s="73"/>
      <c r="WBV26" s="73"/>
      <c r="WBW26" s="73"/>
      <c r="WBX26" s="73"/>
      <c r="WBY26" s="73"/>
      <c r="WBZ26" s="73"/>
      <c r="WCA26" s="73"/>
      <c r="WCB26" s="73"/>
      <c r="WCC26" s="73"/>
      <c r="WCD26" s="73"/>
      <c r="WCE26" s="73"/>
      <c r="WCF26" s="73"/>
      <c r="WCG26" s="73"/>
      <c r="WCH26" s="73"/>
      <c r="WCI26" s="73"/>
      <c r="WCJ26" s="73"/>
      <c r="WCK26" s="73"/>
      <c r="WCL26" s="73"/>
      <c r="WCM26" s="73"/>
      <c r="WCN26" s="73"/>
      <c r="WCO26" s="73"/>
      <c r="WCP26" s="73"/>
      <c r="WCQ26" s="73"/>
      <c r="WCR26" s="73"/>
      <c r="WCS26" s="73"/>
      <c r="WCT26" s="73"/>
      <c r="WCU26" s="73"/>
      <c r="WCV26" s="73"/>
      <c r="WCW26" s="73"/>
      <c r="WCX26" s="73"/>
      <c r="WCY26" s="73"/>
      <c r="WCZ26" s="73"/>
      <c r="WDA26" s="73"/>
      <c r="WDB26" s="73"/>
      <c r="WDC26" s="73"/>
      <c r="WDD26" s="73"/>
      <c r="WDE26" s="73"/>
      <c r="WDF26" s="73"/>
      <c r="WDG26" s="73"/>
      <c r="WDH26" s="73"/>
      <c r="WDI26" s="73"/>
      <c r="WDJ26" s="73"/>
      <c r="WDK26" s="73"/>
      <c r="WDL26" s="73"/>
      <c r="WDM26" s="73"/>
      <c r="WDN26" s="73"/>
      <c r="WDO26" s="73"/>
      <c r="WDP26" s="73"/>
      <c r="WDQ26" s="73"/>
      <c r="WDR26" s="73"/>
      <c r="WDS26" s="73"/>
      <c r="WDT26" s="73"/>
      <c r="WDU26" s="73"/>
      <c r="WDV26" s="73"/>
      <c r="WDW26" s="73"/>
      <c r="WDX26" s="73"/>
      <c r="WDY26" s="73"/>
      <c r="WDZ26" s="73"/>
      <c r="WEA26" s="73"/>
      <c r="WEB26" s="73"/>
      <c r="WEC26" s="73"/>
      <c r="WED26" s="73"/>
      <c r="WEE26" s="73"/>
      <c r="WEF26" s="73"/>
      <c r="WEG26" s="73"/>
      <c r="WEH26" s="73"/>
      <c r="WEI26" s="73"/>
      <c r="WEJ26" s="73"/>
      <c r="WEK26" s="73"/>
      <c r="WEL26" s="73"/>
      <c r="WEM26" s="73"/>
      <c r="WEN26" s="73"/>
      <c r="WEO26" s="73"/>
      <c r="WEP26" s="73"/>
      <c r="WEQ26" s="73"/>
      <c r="WER26" s="73"/>
      <c r="WES26" s="73"/>
      <c r="WET26" s="73"/>
      <c r="WEU26" s="73"/>
      <c r="WEV26" s="73"/>
      <c r="WEW26" s="73"/>
      <c r="WEX26" s="73"/>
      <c r="WEY26" s="73"/>
      <c r="WEZ26" s="73"/>
      <c r="WFA26" s="73"/>
      <c r="WFB26" s="73"/>
      <c r="WFC26" s="73"/>
      <c r="WFD26" s="73"/>
      <c r="WFE26" s="73"/>
      <c r="WFF26" s="73"/>
      <c r="WFG26" s="73"/>
      <c r="WFH26" s="73"/>
      <c r="WFI26" s="73"/>
      <c r="WFJ26" s="73"/>
      <c r="WFK26" s="73"/>
      <c r="WFL26" s="73"/>
      <c r="WFM26" s="73"/>
      <c r="WFN26" s="73"/>
      <c r="WFO26" s="73"/>
      <c r="WFP26" s="73"/>
      <c r="WFQ26" s="73"/>
      <c r="WFR26" s="73"/>
      <c r="WFS26" s="73"/>
      <c r="WFT26" s="73"/>
      <c r="WFU26" s="73"/>
      <c r="WFV26" s="73"/>
      <c r="WFW26" s="73"/>
      <c r="WFX26" s="73"/>
      <c r="WFY26" s="73"/>
      <c r="WFZ26" s="73"/>
      <c r="WGA26" s="73"/>
      <c r="WGB26" s="73"/>
      <c r="WGC26" s="73"/>
      <c r="WGD26" s="73"/>
      <c r="WGE26" s="73"/>
      <c r="WGF26" s="73"/>
      <c r="WGG26" s="73"/>
      <c r="WGH26" s="73"/>
      <c r="WGI26" s="73"/>
      <c r="WGJ26" s="73"/>
      <c r="WGK26" s="73"/>
      <c r="WGL26" s="73"/>
      <c r="WGM26" s="73"/>
      <c r="WGN26" s="73"/>
      <c r="WGO26" s="73"/>
      <c r="WGP26" s="73"/>
      <c r="WGQ26" s="73"/>
      <c r="WGR26" s="73"/>
      <c r="WGS26" s="73"/>
      <c r="WGT26" s="73"/>
      <c r="WGU26" s="73"/>
      <c r="WGV26" s="73"/>
      <c r="WGW26" s="73"/>
      <c r="WGX26" s="73"/>
      <c r="WGY26" s="73"/>
      <c r="WGZ26" s="73"/>
      <c r="WHA26" s="73"/>
      <c r="WHB26" s="73"/>
      <c r="WHC26" s="73"/>
      <c r="WHD26" s="73"/>
      <c r="WHE26" s="73"/>
      <c r="WHF26" s="73"/>
      <c r="WHG26" s="73"/>
      <c r="WHH26" s="73"/>
      <c r="WHI26" s="73"/>
      <c r="WHJ26" s="73"/>
      <c r="WHK26" s="73"/>
      <c r="WHL26" s="73"/>
      <c r="WHM26" s="73"/>
      <c r="WHN26" s="73"/>
      <c r="WHO26" s="73"/>
      <c r="WHP26" s="73"/>
      <c r="WHQ26" s="73"/>
      <c r="WHR26" s="73"/>
      <c r="WHS26" s="73"/>
      <c r="WHT26" s="73"/>
      <c r="WHU26" s="73"/>
      <c r="WHV26" s="73"/>
      <c r="WHW26" s="73"/>
      <c r="WHX26" s="73"/>
      <c r="WHY26" s="73"/>
      <c r="WHZ26" s="73"/>
      <c r="WIA26" s="73"/>
      <c r="WIB26" s="73"/>
      <c r="WIC26" s="73"/>
      <c r="WID26" s="73"/>
      <c r="WIE26" s="73"/>
      <c r="WIF26" s="73"/>
      <c r="WIG26" s="73"/>
      <c r="WIH26" s="73"/>
      <c r="WII26" s="73"/>
      <c r="WIJ26" s="73"/>
      <c r="WIK26" s="73"/>
      <c r="WIL26" s="73"/>
      <c r="WIM26" s="73"/>
      <c r="WIN26" s="73"/>
      <c r="WIO26" s="73"/>
      <c r="WIP26" s="73"/>
      <c r="WIQ26" s="73"/>
      <c r="WIR26" s="73"/>
      <c r="WIS26" s="73"/>
      <c r="WIT26" s="73"/>
      <c r="WIU26" s="73"/>
      <c r="WIV26" s="73"/>
      <c r="WIW26" s="73"/>
      <c r="WIX26" s="73"/>
      <c r="WIY26" s="73"/>
      <c r="WIZ26" s="73"/>
      <c r="WJA26" s="73"/>
      <c r="WJB26" s="73"/>
      <c r="WJC26" s="73"/>
      <c r="WJD26" s="73"/>
      <c r="WJE26" s="73"/>
      <c r="WJF26" s="73"/>
      <c r="WJG26" s="73"/>
      <c r="WJH26" s="73"/>
      <c r="WJI26" s="73"/>
      <c r="WJJ26" s="73"/>
      <c r="WJK26" s="73"/>
      <c r="WJL26" s="73"/>
      <c r="WJM26" s="73"/>
      <c r="WJN26" s="73"/>
      <c r="WJO26" s="73"/>
      <c r="WJP26" s="73"/>
      <c r="WJQ26" s="73"/>
      <c r="WJR26" s="73"/>
      <c r="WJS26" s="73"/>
      <c r="WJT26" s="73"/>
      <c r="WJU26" s="73"/>
      <c r="WJV26" s="73"/>
      <c r="WJW26" s="73"/>
      <c r="WJX26" s="73"/>
      <c r="WJY26" s="73"/>
      <c r="WJZ26" s="73"/>
      <c r="WKA26" s="73"/>
      <c r="WKB26" s="73"/>
      <c r="WKC26" s="73"/>
      <c r="WKD26" s="73"/>
      <c r="WKE26" s="73"/>
      <c r="WKF26" s="73"/>
      <c r="WKG26" s="73"/>
      <c r="WKH26" s="73"/>
      <c r="WKI26" s="73"/>
      <c r="WKJ26" s="73"/>
      <c r="WKK26" s="73"/>
      <c r="WKL26" s="73"/>
      <c r="WKM26" s="73"/>
      <c r="WKN26" s="73"/>
      <c r="WKO26" s="73"/>
      <c r="WKP26" s="73"/>
      <c r="WKQ26" s="73"/>
      <c r="WKR26" s="73"/>
      <c r="WKS26" s="73"/>
      <c r="WKT26" s="73"/>
      <c r="WKU26" s="73"/>
      <c r="WKV26" s="73"/>
      <c r="WKW26" s="73"/>
      <c r="WKX26" s="73"/>
      <c r="WKY26" s="73"/>
      <c r="WKZ26" s="73"/>
      <c r="WLA26" s="73"/>
      <c r="WLB26" s="73"/>
      <c r="WLC26" s="73"/>
      <c r="WLD26" s="73"/>
      <c r="WLE26" s="73"/>
      <c r="WLF26" s="73"/>
      <c r="WLG26" s="73"/>
      <c r="WLH26" s="73"/>
      <c r="WLI26" s="73"/>
      <c r="WLJ26" s="73"/>
      <c r="WLK26" s="73"/>
      <c r="WLL26" s="73"/>
      <c r="WLM26" s="73"/>
      <c r="WLN26" s="73"/>
      <c r="WLO26" s="73"/>
      <c r="WLP26" s="73"/>
      <c r="WLQ26" s="73"/>
      <c r="WLR26" s="73"/>
      <c r="WLS26" s="73"/>
      <c r="WLT26" s="73"/>
      <c r="WLU26" s="73"/>
      <c r="WLV26" s="73"/>
      <c r="WLW26" s="73"/>
      <c r="WLX26" s="73"/>
      <c r="WLY26" s="73"/>
      <c r="WLZ26" s="73"/>
      <c r="WMA26" s="73"/>
      <c r="WMB26" s="73"/>
      <c r="WMC26" s="73"/>
      <c r="WMD26" s="73"/>
      <c r="WME26" s="73"/>
      <c r="WMF26" s="73"/>
      <c r="WMG26" s="73"/>
      <c r="WMH26" s="73"/>
      <c r="WMI26" s="73"/>
      <c r="WMJ26" s="73"/>
      <c r="WMK26" s="73"/>
      <c r="WML26" s="73"/>
      <c r="WMM26" s="73"/>
      <c r="WMN26" s="73"/>
      <c r="WMO26" s="73"/>
      <c r="WMP26" s="73"/>
      <c r="WMQ26" s="73"/>
      <c r="WMR26" s="73"/>
      <c r="WMS26" s="73"/>
      <c r="WMT26" s="73"/>
      <c r="WMU26" s="73"/>
      <c r="WMV26" s="73"/>
      <c r="WMW26" s="73"/>
      <c r="WMX26" s="73"/>
      <c r="WMY26" s="73"/>
      <c r="WMZ26" s="73"/>
      <c r="WNA26" s="73"/>
      <c r="WNB26" s="73"/>
      <c r="WNC26" s="73"/>
      <c r="WND26" s="73"/>
      <c r="WNE26" s="73"/>
      <c r="WNF26" s="73"/>
      <c r="WNG26" s="73"/>
      <c r="WNH26" s="73"/>
      <c r="WNI26" s="73"/>
      <c r="WNJ26" s="73"/>
      <c r="WNK26" s="73"/>
      <c r="WNL26" s="73"/>
      <c r="WNM26" s="73"/>
      <c r="WNN26" s="73"/>
      <c r="WNO26" s="73"/>
      <c r="WNP26" s="73"/>
      <c r="WNQ26" s="73"/>
      <c r="WNR26" s="73"/>
      <c r="WNS26" s="73"/>
      <c r="WNT26" s="73"/>
      <c r="WNU26" s="73"/>
      <c r="WNV26" s="73"/>
      <c r="WNW26" s="73"/>
      <c r="WNX26" s="73"/>
      <c r="WNY26" s="73"/>
      <c r="WNZ26" s="73"/>
      <c r="WOA26" s="73"/>
      <c r="WOB26" s="73"/>
      <c r="WOC26" s="73"/>
      <c r="WOD26" s="73"/>
      <c r="WOE26" s="73"/>
      <c r="WOF26" s="73"/>
      <c r="WOG26" s="73"/>
      <c r="WOH26" s="73"/>
      <c r="WOI26" s="73"/>
      <c r="WOJ26" s="73"/>
      <c r="WOK26" s="73"/>
      <c r="WOL26" s="73"/>
      <c r="WOM26" s="73"/>
      <c r="WON26" s="73"/>
      <c r="WOO26" s="73"/>
      <c r="WOP26" s="73"/>
      <c r="WOQ26" s="73"/>
      <c r="WOR26" s="73"/>
      <c r="WOS26" s="73"/>
      <c r="WOT26" s="73"/>
      <c r="WOU26" s="73"/>
      <c r="WOV26" s="73"/>
      <c r="WOW26" s="73"/>
      <c r="WOX26" s="73"/>
      <c r="WOY26" s="73"/>
      <c r="WOZ26" s="73"/>
      <c r="WPA26" s="73"/>
      <c r="WPB26" s="73"/>
      <c r="WPC26" s="73"/>
      <c r="WPD26" s="73"/>
      <c r="WPE26" s="73"/>
      <c r="WPF26" s="73"/>
      <c r="WPG26" s="73"/>
      <c r="WPH26" s="73"/>
      <c r="WPI26" s="73"/>
      <c r="WPJ26" s="73"/>
      <c r="WPK26" s="73"/>
      <c r="WPL26" s="73"/>
      <c r="WPM26" s="73"/>
      <c r="WPN26" s="73"/>
      <c r="WPO26" s="73"/>
      <c r="WPP26" s="73"/>
      <c r="WPQ26" s="73"/>
      <c r="WPR26" s="73"/>
      <c r="WPS26" s="73"/>
      <c r="WPT26" s="73"/>
      <c r="WPU26" s="73"/>
      <c r="WPV26" s="73"/>
      <c r="WPW26" s="73"/>
      <c r="WPX26" s="73"/>
      <c r="WPY26" s="73"/>
      <c r="WPZ26" s="73"/>
      <c r="WQA26" s="73"/>
      <c r="WQB26" s="73"/>
      <c r="WQC26" s="73"/>
      <c r="WQD26" s="73"/>
      <c r="WQE26" s="73"/>
      <c r="WQF26" s="73"/>
      <c r="WQG26" s="73"/>
      <c r="WQH26" s="73"/>
      <c r="WQI26" s="73"/>
      <c r="WQJ26" s="73"/>
      <c r="WQK26" s="73"/>
      <c r="WQL26" s="73"/>
      <c r="WQM26" s="73"/>
      <c r="WQN26" s="73"/>
      <c r="WQO26" s="73"/>
      <c r="WQP26" s="73"/>
      <c r="WQQ26" s="73"/>
      <c r="WQR26" s="73"/>
      <c r="WQS26" s="73"/>
      <c r="WQT26" s="73"/>
      <c r="WQU26" s="73"/>
      <c r="WQV26" s="73"/>
      <c r="WQW26" s="73"/>
      <c r="WQX26" s="73"/>
      <c r="WQY26" s="73"/>
      <c r="WQZ26" s="73"/>
      <c r="WRA26" s="73"/>
      <c r="WRB26" s="73"/>
      <c r="WRC26" s="73"/>
      <c r="WRD26" s="73"/>
      <c r="WRE26" s="73"/>
      <c r="WRF26" s="73"/>
      <c r="WRG26" s="73"/>
      <c r="WRH26" s="73"/>
      <c r="WRI26" s="73"/>
      <c r="WRJ26" s="73"/>
      <c r="WRK26" s="73"/>
      <c r="WRL26" s="73"/>
      <c r="WRM26" s="73"/>
      <c r="WRN26" s="73"/>
      <c r="WRO26" s="73"/>
      <c r="WRP26" s="73"/>
      <c r="WRQ26" s="73"/>
      <c r="WRR26" s="73"/>
      <c r="WRS26" s="73"/>
      <c r="WRT26" s="73"/>
      <c r="WRU26" s="73"/>
      <c r="WRV26" s="73"/>
      <c r="WRW26" s="73"/>
      <c r="WRX26" s="73"/>
      <c r="WRY26" s="73"/>
      <c r="WRZ26" s="73"/>
      <c r="WSA26" s="73"/>
      <c r="WSB26" s="73"/>
      <c r="WSC26" s="73"/>
      <c r="WSD26" s="73"/>
      <c r="WSE26" s="73"/>
      <c r="WSF26" s="73"/>
      <c r="WSG26" s="73"/>
      <c r="WSH26" s="73"/>
      <c r="WSI26" s="73"/>
      <c r="WSJ26" s="73"/>
      <c r="WSK26" s="73"/>
      <c r="WSL26" s="73"/>
      <c r="WSM26" s="73"/>
      <c r="WSN26" s="73"/>
      <c r="WSO26" s="73"/>
      <c r="WSP26" s="73"/>
      <c r="WSQ26" s="73"/>
      <c r="WSR26" s="73"/>
      <c r="WSS26" s="73"/>
      <c r="WST26" s="73"/>
      <c r="WSU26" s="73"/>
      <c r="WSV26" s="73"/>
      <c r="WSW26" s="73"/>
      <c r="WSX26" s="73"/>
      <c r="WSY26" s="73"/>
      <c r="WSZ26" s="73"/>
      <c r="WTA26" s="73"/>
      <c r="WTB26" s="73"/>
      <c r="WTC26" s="73"/>
      <c r="WTD26" s="73"/>
      <c r="WTE26" s="73"/>
      <c r="WTF26" s="73"/>
      <c r="WTG26" s="73"/>
      <c r="WTH26" s="73"/>
      <c r="WTI26" s="73"/>
      <c r="WTJ26" s="73"/>
      <c r="WTK26" s="73"/>
      <c r="WTL26" s="73"/>
      <c r="WTM26" s="73"/>
      <c r="WTN26" s="73"/>
      <c r="WTO26" s="73"/>
      <c r="WTP26" s="73"/>
      <c r="WTQ26" s="73"/>
      <c r="WTR26" s="73"/>
      <c r="WTS26" s="73"/>
      <c r="WTT26" s="73"/>
      <c r="WTU26" s="73"/>
      <c r="WTV26" s="73"/>
      <c r="WTW26" s="73"/>
      <c r="WTX26" s="73"/>
      <c r="WTY26" s="73"/>
      <c r="WTZ26" s="73"/>
      <c r="WUA26" s="73"/>
      <c r="WUB26" s="73"/>
      <c r="WUC26" s="73"/>
      <c r="WUD26" s="73"/>
      <c r="WUE26" s="73"/>
      <c r="WUF26" s="73"/>
      <c r="WUG26" s="73"/>
      <c r="WUH26" s="73"/>
      <c r="WUI26" s="73"/>
      <c r="WUJ26" s="73"/>
      <c r="WUK26" s="73"/>
      <c r="WUL26" s="73"/>
      <c r="WUM26" s="73"/>
      <c r="WUN26" s="73"/>
      <c r="WUO26" s="73"/>
      <c r="WUP26" s="73"/>
      <c r="WUQ26" s="73"/>
      <c r="WUR26" s="73"/>
      <c r="WUS26" s="73"/>
      <c r="WUT26" s="73"/>
      <c r="WUU26" s="73"/>
      <c r="WUV26" s="73"/>
      <c r="WUW26" s="73"/>
      <c r="WUX26" s="73"/>
      <c r="WUY26" s="73"/>
      <c r="WUZ26" s="73"/>
      <c r="WVA26" s="73"/>
      <c r="WVB26" s="73"/>
      <c r="WVC26" s="73"/>
      <c r="WVD26" s="73"/>
      <c r="WVE26" s="73"/>
      <c r="WVF26" s="73"/>
      <c r="WVG26" s="73"/>
      <c r="WVH26" s="73"/>
      <c r="WVI26" s="73"/>
      <c r="WVJ26" s="73"/>
      <c r="WVK26" s="73"/>
      <c r="WVL26" s="73"/>
      <c r="WVM26" s="73"/>
      <c r="WVN26" s="73"/>
      <c r="WVO26" s="73"/>
      <c r="WVP26" s="73"/>
      <c r="WVQ26" s="73"/>
      <c r="WVR26" s="73"/>
      <c r="WVS26" s="73"/>
      <c r="WVT26" s="73"/>
      <c r="WVU26" s="73"/>
      <c r="WVV26" s="73"/>
      <c r="WVW26" s="73"/>
      <c r="WVX26" s="73"/>
      <c r="WVY26" s="73"/>
      <c r="WVZ26" s="73"/>
      <c r="WWA26" s="73"/>
      <c r="WWB26" s="73"/>
      <c r="WWC26" s="73"/>
      <c r="WWD26" s="73"/>
      <c r="WWE26" s="73"/>
      <c r="WWF26" s="73"/>
      <c r="WWG26" s="73"/>
      <c r="WWH26" s="73"/>
      <c r="WWI26" s="73"/>
      <c r="WWJ26" s="73"/>
      <c r="WWK26" s="73"/>
      <c r="WWL26" s="73"/>
      <c r="WWM26" s="73"/>
      <c r="WWN26" s="73"/>
      <c r="WWO26" s="73"/>
      <c r="WWP26" s="73"/>
      <c r="WWQ26" s="73"/>
      <c r="WWR26" s="73"/>
      <c r="WWS26" s="73"/>
      <c r="WWT26" s="73"/>
      <c r="WWU26" s="73"/>
      <c r="WWV26" s="73"/>
      <c r="WWW26" s="73"/>
      <c r="WWX26" s="73"/>
      <c r="WWY26" s="73"/>
      <c r="WWZ26" s="73"/>
      <c r="WXA26" s="73"/>
      <c r="WXB26" s="73"/>
      <c r="WXC26" s="73"/>
      <c r="WXD26" s="73"/>
      <c r="WXE26" s="73"/>
      <c r="WXF26" s="73"/>
      <c r="WXG26" s="73"/>
      <c r="WXH26" s="73"/>
      <c r="WXI26" s="73"/>
      <c r="WXJ26" s="73"/>
      <c r="WXK26" s="73"/>
      <c r="WXL26" s="73"/>
      <c r="WXM26" s="73"/>
      <c r="WXN26" s="73"/>
      <c r="WXO26" s="73"/>
      <c r="WXP26" s="73"/>
      <c r="WXQ26" s="73"/>
      <c r="WXR26" s="73"/>
      <c r="WXS26" s="73"/>
      <c r="WXT26" s="73"/>
      <c r="WXU26" s="73"/>
      <c r="WXV26" s="73"/>
      <c r="WXW26" s="73"/>
      <c r="WXX26" s="73"/>
      <c r="WXY26" s="73"/>
      <c r="WXZ26" s="73"/>
      <c r="WYA26" s="73"/>
      <c r="WYB26" s="73"/>
      <c r="WYC26" s="73"/>
      <c r="WYD26" s="73"/>
      <c r="WYE26" s="73"/>
      <c r="WYF26" s="73"/>
      <c r="WYG26" s="73"/>
      <c r="WYH26" s="73"/>
      <c r="WYI26" s="73"/>
      <c r="WYJ26" s="73"/>
      <c r="WYK26" s="73"/>
      <c r="WYL26" s="73"/>
      <c r="WYM26" s="73"/>
      <c r="WYN26" s="73"/>
      <c r="WYO26" s="73"/>
      <c r="WYP26" s="73"/>
      <c r="WYQ26" s="73"/>
      <c r="WYR26" s="73"/>
      <c r="WYS26" s="73"/>
      <c r="WYT26" s="73"/>
      <c r="WYU26" s="73"/>
      <c r="WYV26" s="73"/>
      <c r="WYW26" s="73"/>
      <c r="WYX26" s="73"/>
      <c r="WYY26" s="73"/>
      <c r="WYZ26" s="73"/>
      <c r="WZA26" s="73"/>
      <c r="WZB26" s="73"/>
      <c r="WZC26" s="73"/>
      <c r="WZD26" s="73"/>
      <c r="WZE26" s="73"/>
      <c r="WZF26" s="73"/>
      <c r="WZG26" s="73"/>
      <c r="WZH26" s="73"/>
      <c r="WZI26" s="73"/>
      <c r="WZJ26" s="73"/>
      <c r="WZK26" s="73"/>
      <c r="WZL26" s="73"/>
      <c r="WZM26" s="73"/>
      <c r="WZN26" s="73"/>
      <c r="WZO26" s="73"/>
      <c r="WZP26" s="73"/>
      <c r="WZQ26" s="73"/>
      <c r="WZR26" s="73"/>
      <c r="WZS26" s="73"/>
      <c r="WZT26" s="73"/>
      <c r="WZU26" s="73"/>
      <c r="WZV26" s="73"/>
      <c r="WZW26" s="73"/>
      <c r="WZX26" s="73"/>
      <c r="WZY26" s="73"/>
      <c r="WZZ26" s="73"/>
      <c r="XAA26" s="73"/>
      <c r="XAB26" s="73"/>
      <c r="XAC26" s="73"/>
      <c r="XAD26" s="73"/>
      <c r="XAE26" s="73"/>
      <c r="XAF26" s="73"/>
      <c r="XAG26" s="73"/>
      <c r="XAH26" s="73"/>
      <c r="XAI26" s="73"/>
      <c r="XAJ26" s="73"/>
      <c r="XAK26" s="73"/>
      <c r="XAL26" s="73"/>
      <c r="XAM26" s="73"/>
      <c r="XAN26" s="73"/>
      <c r="XAO26" s="73"/>
      <c r="XAP26" s="73"/>
      <c r="XAQ26" s="73"/>
      <c r="XAR26" s="73"/>
      <c r="XAS26" s="73"/>
      <c r="XAT26" s="73"/>
      <c r="XAU26" s="73"/>
      <c r="XAV26" s="73"/>
      <c r="XAW26" s="73"/>
      <c r="XAX26" s="73"/>
      <c r="XAY26" s="73"/>
      <c r="XAZ26" s="73"/>
      <c r="XBA26" s="73"/>
      <c r="XBB26" s="73"/>
      <c r="XBC26" s="73"/>
      <c r="XBD26" s="73"/>
      <c r="XBE26" s="73"/>
      <c r="XBF26" s="73"/>
      <c r="XBG26" s="73"/>
      <c r="XBH26" s="73"/>
      <c r="XBI26" s="73"/>
      <c r="XBJ26" s="73"/>
      <c r="XBK26" s="73"/>
      <c r="XBL26" s="73"/>
      <c r="XBM26" s="73"/>
      <c r="XBN26" s="73"/>
      <c r="XBO26" s="73"/>
      <c r="XBP26" s="73"/>
      <c r="XBQ26" s="73"/>
      <c r="XBR26" s="73"/>
      <c r="XBS26" s="73"/>
      <c r="XBT26" s="73"/>
      <c r="XBU26" s="73"/>
      <c r="XBV26" s="73"/>
      <c r="XBW26" s="73"/>
      <c r="XBX26" s="73"/>
      <c r="XBY26" s="73"/>
      <c r="XBZ26" s="73"/>
      <c r="XCA26" s="73"/>
      <c r="XCB26" s="73"/>
      <c r="XCC26" s="73"/>
      <c r="XCD26" s="73"/>
      <c r="XCE26" s="73"/>
      <c r="XCF26" s="73"/>
      <c r="XCG26" s="73"/>
      <c r="XCH26" s="73"/>
      <c r="XCI26" s="73"/>
      <c r="XCJ26" s="73"/>
      <c r="XCK26" s="73"/>
      <c r="XCL26" s="73"/>
      <c r="XCM26" s="73"/>
      <c r="XCN26" s="73"/>
      <c r="XCO26" s="73"/>
      <c r="XCP26" s="73"/>
      <c r="XCQ26" s="73"/>
      <c r="XCR26" s="73"/>
      <c r="XCS26" s="73"/>
      <c r="XCT26" s="73"/>
      <c r="XCU26" s="73"/>
      <c r="XCV26" s="73"/>
      <c r="XCW26" s="73"/>
      <c r="XCX26" s="73"/>
      <c r="XCY26" s="73"/>
      <c r="XCZ26" s="73"/>
      <c r="XDA26" s="73"/>
      <c r="XDB26" s="73"/>
      <c r="XDC26" s="73"/>
      <c r="XDD26" s="73"/>
      <c r="XDE26" s="73"/>
      <c r="XDF26" s="73"/>
      <c r="XDG26" s="73"/>
      <c r="XDH26" s="73"/>
      <c r="XDI26" s="73"/>
      <c r="XDJ26" s="73"/>
      <c r="XDK26" s="73"/>
      <c r="XDL26" s="73"/>
      <c r="XDM26" s="73"/>
      <c r="XDN26" s="73"/>
      <c r="XDO26" s="73"/>
      <c r="XDP26" s="73"/>
      <c r="XDQ26" s="73"/>
      <c r="XDR26" s="73"/>
      <c r="XDS26" s="73"/>
      <c r="XDT26" s="73"/>
      <c r="XDU26" s="73"/>
      <c r="XDV26" s="73"/>
      <c r="XDW26" s="73"/>
      <c r="XDX26" s="73"/>
      <c r="XDY26" s="73"/>
      <c r="XDZ26" s="73"/>
      <c r="XEA26" s="73"/>
      <c r="XEB26" s="73"/>
      <c r="XEC26" s="73"/>
      <c r="XED26" s="73"/>
      <c r="XEE26" s="73"/>
      <c r="XEF26" s="73"/>
      <c r="XEG26" s="73"/>
      <c r="XEH26" s="73"/>
      <c r="XEI26" s="73"/>
      <c r="XEJ26" s="73"/>
      <c r="XEK26" s="73"/>
      <c r="XEL26" s="73"/>
      <c r="XEM26" s="73"/>
      <c r="XEN26" s="73"/>
      <c r="XEO26" s="73"/>
      <c r="XEP26" s="73"/>
      <c r="XEQ26" s="73"/>
      <c r="XER26" s="73"/>
      <c r="XES26" s="73"/>
      <c r="XET26" s="73"/>
      <c r="XEU26" s="73"/>
    </row>
    <row r="27" spans="1:16375" s="73" customFormat="1" ht="14.5" x14ac:dyDescent="0.35">
      <c r="A27" s="78" t="s">
        <v>536</v>
      </c>
      <c r="B27" s="70" t="s">
        <v>569</v>
      </c>
      <c r="C27" s="70" t="s">
        <v>568</v>
      </c>
      <c r="D27" s="70">
        <v>23</v>
      </c>
      <c r="E27" s="70" t="s">
        <v>564</v>
      </c>
      <c r="F27" s="70">
        <v>4</v>
      </c>
      <c r="G27" s="70" t="s">
        <v>532</v>
      </c>
      <c r="H27" s="70" t="s">
        <v>563</v>
      </c>
      <c r="I27" s="70" t="s">
        <v>529</v>
      </c>
      <c r="J27" s="70">
        <v>1</v>
      </c>
      <c r="K27" s="70" t="s">
        <v>530</v>
      </c>
      <c r="L27" s="70" t="s">
        <v>529</v>
      </c>
      <c r="M27" s="70">
        <v>2023</v>
      </c>
      <c r="N27" s="77">
        <v>89162</v>
      </c>
      <c r="O27" s="70">
        <v>52</v>
      </c>
      <c r="P27" s="70">
        <v>80</v>
      </c>
      <c r="Q27" s="70" t="s">
        <v>528</v>
      </c>
      <c r="R27" s="76">
        <v>2723.81</v>
      </c>
      <c r="S27" s="76">
        <v>2767.81</v>
      </c>
      <c r="T27" s="76">
        <v>2364.7399999999998</v>
      </c>
      <c r="U27" s="76">
        <v>2364.7399999999998</v>
      </c>
      <c r="V27" s="76">
        <v>2424.14</v>
      </c>
      <c r="W27" s="76">
        <v>2778.48</v>
      </c>
      <c r="X27" s="76">
        <v>2468.71</v>
      </c>
      <c r="Y27" s="76">
        <v>2468.6999999999998</v>
      </c>
      <c r="Z27" s="76">
        <v>2468.71</v>
      </c>
      <c r="AA27" s="76">
        <v>2468.6999999999998</v>
      </c>
      <c r="AB27" s="76">
        <v>2468.71</v>
      </c>
      <c r="AC27" s="76">
        <v>2915.81</v>
      </c>
      <c r="AD27" s="76">
        <v>2915.82</v>
      </c>
      <c r="AE27" s="76">
        <v>2915.81</v>
      </c>
      <c r="AF27" s="76">
        <v>2915.82</v>
      </c>
      <c r="AG27" s="76">
        <v>2915.81</v>
      </c>
      <c r="AH27" s="76">
        <v>2915.82</v>
      </c>
      <c r="AI27" s="76">
        <v>2915.81</v>
      </c>
      <c r="AJ27" s="76">
        <v>2915.81</v>
      </c>
      <c r="AK27" s="76">
        <v>2424.14</v>
      </c>
      <c r="AL27" s="76">
        <v>2915.82</v>
      </c>
      <c r="AM27" s="76">
        <v>2917.07</v>
      </c>
      <c r="AN27" s="76">
        <v>2917.07</v>
      </c>
      <c r="AO27" s="76">
        <v>2917.08</v>
      </c>
      <c r="AP27" s="76">
        <v>2917.08</v>
      </c>
      <c r="AQ27" s="76">
        <v>2917.08</v>
      </c>
      <c r="AR27" s="76">
        <v>71019.099999999991</v>
      </c>
      <c r="AS27" s="76">
        <v>289.2</v>
      </c>
      <c r="AT27" s="76">
        <v>77379.990000000005</v>
      </c>
      <c r="AU27" s="76">
        <v>360</v>
      </c>
      <c r="AV27" s="76">
        <v>81327.47</v>
      </c>
      <c r="AW27" s="76">
        <v>360</v>
      </c>
      <c r="AX27" s="76">
        <v>84441.06</v>
      </c>
      <c r="AY27" s="76">
        <v>360</v>
      </c>
      <c r="AZ27" s="74"/>
    </row>
    <row r="28" spans="1:16375" s="73" customFormat="1" ht="14.5" hidden="1" x14ac:dyDescent="0.35">
      <c r="A28" s="78" t="s">
        <v>536</v>
      </c>
      <c r="B28" s="85" t="s">
        <v>566</v>
      </c>
      <c r="C28" s="70" t="s">
        <v>565</v>
      </c>
      <c r="D28" s="70">
        <v>23</v>
      </c>
      <c r="E28" s="70" t="s">
        <v>564</v>
      </c>
      <c r="F28" s="70">
        <v>4</v>
      </c>
      <c r="G28" s="70" t="s">
        <v>532</v>
      </c>
      <c r="H28" s="70" t="s">
        <v>563</v>
      </c>
      <c r="I28" s="70" t="s">
        <v>562</v>
      </c>
      <c r="J28" s="70">
        <v>0.5</v>
      </c>
      <c r="K28" s="70" t="s">
        <v>567</v>
      </c>
      <c r="L28" s="70" t="s">
        <v>562</v>
      </c>
      <c r="M28" s="70">
        <v>2023</v>
      </c>
      <c r="N28" s="77">
        <v>42679</v>
      </c>
      <c r="O28" s="70">
        <v>52</v>
      </c>
      <c r="P28" s="70">
        <v>80</v>
      </c>
      <c r="Q28" s="70" t="s">
        <v>528</v>
      </c>
      <c r="R28" s="76">
        <v>1814.8</v>
      </c>
      <c r="S28" s="76">
        <v>1842.4</v>
      </c>
      <c r="T28" s="76">
        <v>1468.39</v>
      </c>
      <c r="U28" s="76">
        <v>1468.36</v>
      </c>
      <c r="V28" s="76">
        <v>1446.1</v>
      </c>
      <c r="W28" s="76">
        <v>1468.39</v>
      </c>
      <c r="X28" s="76">
        <v>1468.38</v>
      </c>
      <c r="Y28" s="76">
        <v>1468.34</v>
      </c>
      <c r="Z28" s="76">
        <v>1757.45</v>
      </c>
      <c r="AA28" s="76">
        <v>1526.14</v>
      </c>
      <c r="AB28" s="76">
        <v>1526.12</v>
      </c>
      <c r="AC28" s="76">
        <v>1927.78</v>
      </c>
      <c r="AD28" s="76">
        <v>1927.71</v>
      </c>
      <c r="AE28" s="76">
        <v>1927.81</v>
      </c>
      <c r="AF28" s="76">
        <v>1927.83</v>
      </c>
      <c r="AG28" s="76">
        <v>1927.81</v>
      </c>
      <c r="AH28" s="76">
        <v>1927.77</v>
      </c>
      <c r="AI28" s="76">
        <v>1927.75</v>
      </c>
      <c r="AJ28" s="76">
        <v>1927.77</v>
      </c>
      <c r="AK28" s="76">
        <v>1503.93</v>
      </c>
      <c r="AL28" s="76">
        <v>1927.77</v>
      </c>
      <c r="AM28" s="76">
        <v>1928.25</v>
      </c>
      <c r="AN28" s="76">
        <v>1928.23</v>
      </c>
      <c r="AO28" s="76">
        <v>1928.22</v>
      </c>
      <c r="AP28" s="76">
        <v>1928.23</v>
      </c>
      <c r="AQ28" s="76">
        <v>1928.23</v>
      </c>
      <c r="AR28" s="76">
        <v>45749.960000000006</v>
      </c>
      <c r="AS28" s="76">
        <v>144.6</v>
      </c>
      <c r="AT28" s="76">
        <v>50587.334999999999</v>
      </c>
      <c r="AU28" s="75">
        <v>180</v>
      </c>
      <c r="AV28" s="75">
        <v>51681.625</v>
      </c>
      <c r="AW28" s="75">
        <v>180</v>
      </c>
      <c r="AX28" s="75">
        <v>52198.44</v>
      </c>
      <c r="AY28" s="75">
        <v>180</v>
      </c>
      <c r="AZ28" s="74"/>
    </row>
    <row r="29" spans="1:16375" s="73" customFormat="1" ht="14.5" x14ac:dyDescent="0.35">
      <c r="A29" s="78" t="s">
        <v>536</v>
      </c>
      <c r="B29" s="85" t="s">
        <v>566</v>
      </c>
      <c r="C29" s="70" t="s">
        <v>565</v>
      </c>
      <c r="D29" s="70">
        <v>23</v>
      </c>
      <c r="E29" s="70" t="s">
        <v>564</v>
      </c>
      <c r="F29" s="70">
        <v>4</v>
      </c>
      <c r="G29" s="70" t="s">
        <v>532</v>
      </c>
      <c r="H29" s="70" t="s">
        <v>563</v>
      </c>
      <c r="I29" s="70" t="s">
        <v>529</v>
      </c>
      <c r="J29" s="70">
        <v>0.5</v>
      </c>
      <c r="K29" s="70" t="s">
        <v>530</v>
      </c>
      <c r="L29" s="70" t="s">
        <v>562</v>
      </c>
      <c r="M29" s="70">
        <v>2023</v>
      </c>
      <c r="N29" s="77">
        <v>42675</v>
      </c>
      <c r="O29" s="70">
        <v>52</v>
      </c>
      <c r="P29" s="70">
        <v>80</v>
      </c>
      <c r="Q29" s="70" t="s">
        <v>528</v>
      </c>
      <c r="R29" s="76">
        <v>1814.84</v>
      </c>
      <c r="S29" s="76">
        <v>1842.4</v>
      </c>
      <c r="T29" s="76">
        <v>1468.42</v>
      </c>
      <c r="U29" s="76">
        <v>1468.44</v>
      </c>
      <c r="V29" s="76">
        <v>1446.26</v>
      </c>
      <c r="W29" s="76">
        <v>1468.42</v>
      </c>
      <c r="X29" s="76">
        <v>1468.42</v>
      </c>
      <c r="Y29" s="76">
        <v>1468.46</v>
      </c>
      <c r="Z29" s="76">
        <v>1757.52</v>
      </c>
      <c r="AA29" s="76">
        <v>1526.3</v>
      </c>
      <c r="AB29" s="76">
        <v>1526.32</v>
      </c>
      <c r="AC29" s="76">
        <v>1927.83</v>
      </c>
      <c r="AD29" s="76">
        <v>1927.9</v>
      </c>
      <c r="AE29" s="76">
        <v>1927.81</v>
      </c>
      <c r="AF29" s="76">
        <v>1927.78</v>
      </c>
      <c r="AG29" s="76">
        <v>1927.8</v>
      </c>
      <c r="AH29" s="76">
        <v>1927.84</v>
      </c>
      <c r="AI29" s="76">
        <v>1927.87</v>
      </c>
      <c r="AJ29" s="76">
        <v>1927.84</v>
      </c>
      <c r="AK29" s="76">
        <v>1504.07</v>
      </c>
      <c r="AL29" s="76">
        <v>1927.85</v>
      </c>
      <c r="AM29" s="76">
        <v>1928.2</v>
      </c>
      <c r="AN29" s="76">
        <v>1928.23</v>
      </c>
      <c r="AO29" s="76">
        <v>1928.23</v>
      </c>
      <c r="AP29" s="76">
        <v>1928.23</v>
      </c>
      <c r="AQ29" s="76">
        <v>1928.23</v>
      </c>
      <c r="AR29" s="76">
        <v>45751.510000000009</v>
      </c>
      <c r="AS29" s="76">
        <v>144.6</v>
      </c>
      <c r="AT29" s="76">
        <v>50587.34</v>
      </c>
      <c r="AU29" s="75">
        <v>180</v>
      </c>
      <c r="AV29" s="75">
        <v>51681.63</v>
      </c>
      <c r="AW29" s="75">
        <v>180</v>
      </c>
      <c r="AX29" s="75">
        <v>52198.44</v>
      </c>
      <c r="AY29" s="75">
        <v>180</v>
      </c>
      <c r="AZ29" s="74"/>
    </row>
    <row r="30" spans="1:16375" s="73" customFormat="1" ht="14.5" hidden="1" x14ac:dyDescent="0.35">
      <c r="A30" s="78"/>
      <c r="B30" s="78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7"/>
      <c r="O30" s="70"/>
      <c r="P30" s="70"/>
      <c r="Q30" s="70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5"/>
      <c r="AV30" s="75"/>
      <c r="AW30" s="75"/>
      <c r="AX30" s="75"/>
      <c r="AY30" s="75"/>
      <c r="AZ30" s="74"/>
    </row>
    <row r="31" spans="1:16375" s="73" customFormat="1" ht="14.5" x14ac:dyDescent="0.35">
      <c r="A31" s="78" t="s">
        <v>536</v>
      </c>
      <c r="B31" s="85" t="s">
        <v>560</v>
      </c>
      <c r="C31" s="70" t="s">
        <v>561</v>
      </c>
      <c r="D31" s="70">
        <v>26</v>
      </c>
      <c r="E31" s="70" t="s">
        <v>555</v>
      </c>
      <c r="F31" s="70">
        <v>9</v>
      </c>
      <c r="G31" s="70" t="s">
        <v>539</v>
      </c>
      <c r="H31" s="70" t="s">
        <v>554</v>
      </c>
      <c r="I31" s="70" t="s">
        <v>529</v>
      </c>
      <c r="J31" s="70">
        <v>1</v>
      </c>
      <c r="K31" s="70" t="s">
        <v>530</v>
      </c>
      <c r="L31" s="70" t="s">
        <v>529</v>
      </c>
      <c r="M31" s="70">
        <v>2023</v>
      </c>
      <c r="N31" s="77">
        <v>114259</v>
      </c>
      <c r="O31" s="70">
        <v>52</v>
      </c>
      <c r="P31" s="70">
        <v>80</v>
      </c>
      <c r="Q31" s="70" t="s">
        <v>528</v>
      </c>
      <c r="R31" s="76">
        <v>4552.63</v>
      </c>
      <c r="S31" s="76">
        <v>4625.03</v>
      </c>
      <c r="T31" s="76">
        <v>3890.86</v>
      </c>
      <c r="U31" s="76">
        <v>3890.86</v>
      </c>
      <c r="V31" s="76">
        <v>3846.26</v>
      </c>
      <c r="W31" s="76">
        <v>24085.439999999999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0</v>
      </c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>
        <v>44891.08</v>
      </c>
      <c r="AS31" s="76">
        <v>289.2</v>
      </c>
      <c r="AT31" s="87"/>
      <c r="AU31" s="86"/>
      <c r="AV31" s="86"/>
      <c r="AW31" s="86"/>
      <c r="AX31" s="86"/>
      <c r="AY31" s="86"/>
      <c r="AZ31" s="84" t="s">
        <v>558</v>
      </c>
    </row>
    <row r="32" spans="1:16375" s="73" customFormat="1" ht="14.5" x14ac:dyDescent="0.35">
      <c r="A32" s="78" t="s">
        <v>536</v>
      </c>
      <c r="B32" s="85" t="s">
        <v>560</v>
      </c>
      <c r="C32" s="70" t="s">
        <v>559</v>
      </c>
      <c r="D32" s="70">
        <v>26</v>
      </c>
      <c r="E32" s="70" t="s">
        <v>555</v>
      </c>
      <c r="F32" s="70">
        <v>9</v>
      </c>
      <c r="G32" s="70" t="s">
        <v>539</v>
      </c>
      <c r="H32" s="70" t="s">
        <v>554</v>
      </c>
      <c r="I32" s="70" t="s">
        <v>529</v>
      </c>
      <c r="J32" s="70"/>
      <c r="K32" s="70" t="s">
        <v>530</v>
      </c>
      <c r="L32" s="70" t="s">
        <v>529</v>
      </c>
      <c r="M32" s="70">
        <v>2023</v>
      </c>
      <c r="N32" s="77"/>
      <c r="O32" s="70"/>
      <c r="P32" s="70"/>
      <c r="Q32" s="70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>
        <v>2833.34</v>
      </c>
      <c r="AE32" s="76">
        <v>2847.37</v>
      </c>
      <c r="AF32" s="76">
        <v>2847.37</v>
      </c>
      <c r="AG32" s="76">
        <v>2847.37</v>
      </c>
      <c r="AH32" s="76">
        <v>2847.37</v>
      </c>
      <c r="AI32" s="76">
        <v>2847.37</v>
      </c>
      <c r="AJ32" s="76">
        <v>2847.37</v>
      </c>
      <c r="AK32" s="76">
        <v>2803.34</v>
      </c>
      <c r="AL32" s="76">
        <v>2847.37</v>
      </c>
      <c r="AM32" s="76">
        <v>2849.05</v>
      </c>
      <c r="AN32" s="76">
        <v>2849.05</v>
      </c>
      <c r="AO32" s="76">
        <v>2849.05</v>
      </c>
      <c r="AP32" s="76">
        <v>2849.05</v>
      </c>
      <c r="AQ32" s="76">
        <v>2849.05</v>
      </c>
      <c r="AR32" s="76">
        <v>39813.520000000004</v>
      </c>
      <c r="AS32" s="76">
        <v>289.2</v>
      </c>
      <c r="AT32" s="76">
        <v>76083.55</v>
      </c>
      <c r="AU32" s="76">
        <v>360</v>
      </c>
      <c r="AV32" s="76">
        <v>79748.509999999995</v>
      </c>
      <c r="AW32" s="76">
        <v>360</v>
      </c>
      <c r="AX32" s="76">
        <v>83514.09</v>
      </c>
      <c r="AY32" s="76">
        <v>360</v>
      </c>
      <c r="AZ32" s="84" t="s">
        <v>558</v>
      </c>
    </row>
    <row r="33" spans="1:16375" s="73" customFormat="1" ht="14.5" x14ac:dyDescent="0.35">
      <c r="A33" s="78" t="s">
        <v>536</v>
      </c>
      <c r="B33" s="70" t="s">
        <v>557</v>
      </c>
      <c r="C33" s="70" t="s">
        <v>556</v>
      </c>
      <c r="D33" s="70">
        <v>26</v>
      </c>
      <c r="E33" s="70" t="s">
        <v>555</v>
      </c>
      <c r="F33" s="70">
        <v>9</v>
      </c>
      <c r="G33" s="70" t="s">
        <v>539</v>
      </c>
      <c r="H33" s="70" t="s">
        <v>554</v>
      </c>
      <c r="I33" s="70" t="s">
        <v>529</v>
      </c>
      <c r="J33" s="70">
        <v>1</v>
      </c>
      <c r="K33" s="70" t="s">
        <v>530</v>
      </c>
      <c r="L33" s="70" t="s">
        <v>529</v>
      </c>
      <c r="M33" s="70">
        <v>2023</v>
      </c>
      <c r="N33" s="77">
        <v>93648</v>
      </c>
      <c r="O33" s="70">
        <v>52</v>
      </c>
      <c r="P33" s="70">
        <v>80</v>
      </c>
      <c r="Q33" s="70" t="s">
        <v>528</v>
      </c>
      <c r="R33" s="76">
        <v>3959.57</v>
      </c>
      <c r="S33" s="76">
        <v>4021.04</v>
      </c>
      <c r="T33" s="76">
        <v>3279.47</v>
      </c>
      <c r="U33" s="76">
        <v>3279.4</v>
      </c>
      <c r="V33" s="76">
        <v>3235.01</v>
      </c>
      <c r="W33" s="76">
        <v>3279.47</v>
      </c>
      <c r="X33" s="76">
        <v>3279.4</v>
      </c>
      <c r="Y33" s="76">
        <v>3279.47</v>
      </c>
      <c r="Z33" s="76">
        <v>3279.4</v>
      </c>
      <c r="AA33" s="76">
        <v>3279.47</v>
      </c>
      <c r="AB33" s="76">
        <v>3279.39</v>
      </c>
      <c r="AC33" s="76">
        <v>4082.66</v>
      </c>
      <c r="AD33" s="76">
        <v>4082.56</v>
      </c>
      <c r="AE33" s="76">
        <v>4081.62</v>
      </c>
      <c r="AF33" s="76">
        <v>4081.45</v>
      </c>
      <c r="AG33" s="76">
        <v>4081.61</v>
      </c>
      <c r="AH33" s="76">
        <v>4081.45</v>
      </c>
      <c r="AI33" s="76">
        <v>4081.62</v>
      </c>
      <c r="AJ33" s="76">
        <v>4081.45</v>
      </c>
      <c r="AK33" s="76">
        <v>3233.9</v>
      </c>
      <c r="AL33" s="76">
        <v>5683.54</v>
      </c>
      <c r="AM33" s="76">
        <v>4242.95</v>
      </c>
      <c r="AN33" s="76">
        <v>4243.1099999999997</v>
      </c>
      <c r="AO33" s="76">
        <v>4526.1400000000003</v>
      </c>
      <c r="AP33" s="76">
        <v>4526.1400000000003</v>
      </c>
      <c r="AQ33" s="76">
        <v>4526.1400000000003</v>
      </c>
      <c r="AR33" s="76">
        <v>101087.42999999998</v>
      </c>
      <c r="AS33" s="76">
        <v>289.2</v>
      </c>
      <c r="AT33" s="76">
        <v>110076.2</v>
      </c>
      <c r="AU33" s="76">
        <v>360</v>
      </c>
      <c r="AV33" s="76">
        <v>115339.26</v>
      </c>
      <c r="AW33" s="76">
        <v>360</v>
      </c>
      <c r="AX33" s="76">
        <v>119180.38</v>
      </c>
      <c r="AY33" s="76">
        <v>360</v>
      </c>
      <c r="AZ33" s="74"/>
    </row>
    <row r="34" spans="1:16375" s="73" customFormat="1" ht="14.5" x14ac:dyDescent="0.35">
      <c r="A34" s="78" t="s">
        <v>536</v>
      </c>
      <c r="B34" s="70" t="s">
        <v>553</v>
      </c>
      <c r="C34" s="70" t="s">
        <v>552</v>
      </c>
      <c r="D34" s="70">
        <v>13</v>
      </c>
      <c r="E34" s="70" t="s">
        <v>545</v>
      </c>
      <c r="F34" s="70">
        <v>80</v>
      </c>
      <c r="G34" s="70" t="s">
        <v>544</v>
      </c>
      <c r="H34" s="70" t="s">
        <v>543</v>
      </c>
      <c r="I34" s="70" t="s">
        <v>529</v>
      </c>
      <c r="J34" s="70">
        <v>1</v>
      </c>
      <c r="K34" s="70" t="s">
        <v>530</v>
      </c>
      <c r="L34" s="70" t="s">
        <v>529</v>
      </c>
      <c r="M34" s="70">
        <v>2023</v>
      </c>
      <c r="N34" s="77">
        <v>70672</v>
      </c>
      <c r="O34" s="70">
        <v>52</v>
      </c>
      <c r="P34" s="70">
        <v>80</v>
      </c>
      <c r="Q34" s="70" t="s">
        <v>528</v>
      </c>
      <c r="R34" s="76">
        <v>2805.49</v>
      </c>
      <c r="S34" s="76">
        <v>2850.06</v>
      </c>
      <c r="T34" s="76">
        <v>2560.1799999999998</v>
      </c>
      <c r="U34" s="76">
        <v>2432.87</v>
      </c>
      <c r="V34" s="76">
        <v>2388.27</v>
      </c>
      <c r="W34" s="76">
        <v>2432.88</v>
      </c>
      <c r="X34" s="76">
        <v>2432.87</v>
      </c>
      <c r="Y34" s="76">
        <v>2432.87</v>
      </c>
      <c r="Z34" s="76">
        <v>2432.87</v>
      </c>
      <c r="AA34" s="76">
        <v>2432.88</v>
      </c>
      <c r="AB34" s="76">
        <v>2432.87</v>
      </c>
      <c r="AC34" s="76">
        <v>2905.22</v>
      </c>
      <c r="AD34" s="76">
        <v>2905.22</v>
      </c>
      <c r="AE34" s="76">
        <v>2905.22</v>
      </c>
      <c r="AF34" s="76">
        <v>2905.22</v>
      </c>
      <c r="AG34" s="76">
        <v>2905.23</v>
      </c>
      <c r="AH34" s="76">
        <v>2905.22</v>
      </c>
      <c r="AI34" s="76">
        <v>2905.22</v>
      </c>
      <c r="AJ34" s="76">
        <v>2905.22</v>
      </c>
      <c r="AK34" s="76">
        <v>2388.2800000000002</v>
      </c>
      <c r="AL34" s="76">
        <v>2905.22</v>
      </c>
      <c r="AM34" s="76">
        <v>2905.22</v>
      </c>
      <c r="AN34" s="76">
        <v>2905.22</v>
      </c>
      <c r="AO34" s="76">
        <v>2905.22</v>
      </c>
      <c r="AP34" s="76">
        <v>2905.22</v>
      </c>
      <c r="AQ34" s="76">
        <v>2905.22</v>
      </c>
      <c r="AR34" s="76">
        <v>70695.48000000001</v>
      </c>
      <c r="AS34" s="76">
        <v>289.2</v>
      </c>
      <c r="AT34" s="76">
        <v>74096.59</v>
      </c>
      <c r="AU34" s="76">
        <v>360</v>
      </c>
      <c r="AV34" s="76">
        <v>75101.36</v>
      </c>
      <c r="AW34" s="76">
        <v>360</v>
      </c>
      <c r="AX34" s="76">
        <v>75852.373600000006</v>
      </c>
      <c r="AY34" s="76">
        <v>360</v>
      </c>
      <c r="AZ34" s="74" t="s">
        <v>551</v>
      </c>
    </row>
    <row r="35" spans="1:16375" s="73" customFormat="1" ht="14.5" x14ac:dyDescent="0.35">
      <c r="A35" s="78" t="s">
        <v>536</v>
      </c>
      <c r="B35" s="70" t="s">
        <v>550</v>
      </c>
      <c r="C35" s="70" t="s">
        <v>549</v>
      </c>
      <c r="D35" s="70">
        <v>13</v>
      </c>
      <c r="E35" s="70" t="s">
        <v>545</v>
      </c>
      <c r="F35" s="70">
        <v>80</v>
      </c>
      <c r="G35" s="70" t="s">
        <v>544</v>
      </c>
      <c r="H35" s="70" t="s">
        <v>543</v>
      </c>
      <c r="I35" s="70" t="s">
        <v>529</v>
      </c>
      <c r="J35" s="70">
        <v>1</v>
      </c>
      <c r="K35" s="70" t="s">
        <v>530</v>
      </c>
      <c r="L35" s="70" t="s">
        <v>529</v>
      </c>
      <c r="M35" s="70">
        <v>2023</v>
      </c>
      <c r="N35" s="77">
        <v>79073</v>
      </c>
      <c r="O35" s="70">
        <v>52</v>
      </c>
      <c r="P35" s="70">
        <v>80</v>
      </c>
      <c r="Q35" s="70" t="s">
        <v>528</v>
      </c>
      <c r="R35" s="76">
        <v>3146.76</v>
      </c>
      <c r="S35" s="76">
        <v>3191.33</v>
      </c>
      <c r="T35" s="76">
        <v>2432.71</v>
      </c>
      <c r="U35" s="76">
        <v>2432.71</v>
      </c>
      <c r="V35" s="76">
        <v>2388.27</v>
      </c>
      <c r="W35" s="76">
        <v>2432.7199999999998</v>
      </c>
      <c r="X35" s="76">
        <v>2432.71</v>
      </c>
      <c r="Y35" s="76">
        <v>2432.71</v>
      </c>
      <c r="Z35" s="76">
        <v>2432.71</v>
      </c>
      <c r="AA35" s="76">
        <v>2432.71</v>
      </c>
      <c r="AB35" s="76">
        <v>2432.71</v>
      </c>
      <c r="AC35" s="76">
        <v>3235.88</v>
      </c>
      <c r="AD35" s="76">
        <v>3235.88</v>
      </c>
      <c r="AE35" s="76">
        <v>3235.88</v>
      </c>
      <c r="AF35" s="76">
        <v>3235.88</v>
      </c>
      <c r="AG35" s="76">
        <v>3235.88</v>
      </c>
      <c r="AH35" s="76">
        <v>3235.88</v>
      </c>
      <c r="AI35" s="76">
        <v>3235.88</v>
      </c>
      <c r="AJ35" s="76">
        <v>3235.88</v>
      </c>
      <c r="AK35" s="76">
        <v>2388.2800000000002</v>
      </c>
      <c r="AL35" s="76">
        <v>3235.88</v>
      </c>
      <c r="AM35" s="76">
        <v>3235.88</v>
      </c>
      <c r="AN35" s="76">
        <v>3235.88</v>
      </c>
      <c r="AO35" s="76">
        <v>3235.88</v>
      </c>
      <c r="AP35" s="76">
        <v>3235.88</v>
      </c>
      <c r="AQ35" s="76">
        <v>3235.88</v>
      </c>
      <c r="AR35" s="76">
        <v>75878.649999999994</v>
      </c>
      <c r="AS35" s="76">
        <v>289.2</v>
      </c>
      <c r="AT35" s="76">
        <v>81634.92</v>
      </c>
      <c r="AU35" s="76">
        <v>360</v>
      </c>
      <c r="AV35" s="76">
        <v>83379.92</v>
      </c>
      <c r="AW35" s="76">
        <v>360</v>
      </c>
      <c r="AX35" s="76">
        <v>84213.719199999992</v>
      </c>
      <c r="AY35" s="76">
        <v>360</v>
      </c>
      <c r="AZ35" s="84" t="s">
        <v>548</v>
      </c>
    </row>
    <row r="36" spans="1:16375" ht="14.5" x14ac:dyDescent="0.35">
      <c r="A36" s="78" t="s">
        <v>536</v>
      </c>
      <c r="B36" s="70" t="s">
        <v>547</v>
      </c>
      <c r="C36" s="70" t="s">
        <v>546</v>
      </c>
      <c r="D36" s="70">
        <v>13</v>
      </c>
      <c r="E36" s="70" t="s">
        <v>545</v>
      </c>
      <c r="F36" s="70">
        <v>80</v>
      </c>
      <c r="G36" s="70" t="s">
        <v>544</v>
      </c>
      <c r="H36" s="70" t="s">
        <v>543</v>
      </c>
      <c r="I36" s="70" t="s">
        <v>529</v>
      </c>
      <c r="J36" s="70">
        <v>1</v>
      </c>
      <c r="K36" s="70" t="s">
        <v>530</v>
      </c>
      <c r="L36" s="70" t="s">
        <v>529</v>
      </c>
      <c r="M36" s="70">
        <v>2023</v>
      </c>
      <c r="N36" s="77">
        <v>37751</v>
      </c>
      <c r="O36" s="70">
        <v>52</v>
      </c>
      <c r="P36" s="70">
        <v>40</v>
      </c>
      <c r="Q36" s="83" t="s">
        <v>528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6">
        <v>0</v>
      </c>
      <c r="AR36" s="76">
        <v>0</v>
      </c>
      <c r="AS36" s="76">
        <v>289.2</v>
      </c>
      <c r="AT36" s="76">
        <v>36992.65</v>
      </c>
      <c r="AU36" s="76">
        <v>360</v>
      </c>
      <c r="AV36" s="76">
        <v>38010</v>
      </c>
      <c r="AW36" s="76">
        <v>360</v>
      </c>
      <c r="AX36" s="76">
        <v>39615.68</v>
      </c>
      <c r="AY36" s="76">
        <v>360</v>
      </c>
      <c r="AZ36" s="80" t="s">
        <v>537</v>
      </c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  <c r="AMK36" s="73"/>
      <c r="AML36" s="73"/>
      <c r="AMM36" s="73"/>
      <c r="AMN36" s="73"/>
      <c r="AMO36" s="73"/>
      <c r="AMP36" s="73"/>
      <c r="AMQ36" s="73"/>
      <c r="AMR36" s="73"/>
      <c r="AMS36" s="73"/>
      <c r="AMT36" s="73"/>
      <c r="AMU36" s="73"/>
      <c r="AMV36" s="73"/>
      <c r="AMW36" s="73"/>
      <c r="AMX36" s="73"/>
      <c r="AMY36" s="73"/>
      <c r="AMZ36" s="73"/>
      <c r="ANA36" s="73"/>
      <c r="ANB36" s="73"/>
      <c r="ANC36" s="73"/>
      <c r="AND36" s="73"/>
      <c r="ANE36" s="73"/>
      <c r="ANF36" s="73"/>
      <c r="ANG36" s="73"/>
      <c r="ANH36" s="73"/>
      <c r="ANI36" s="73"/>
      <c r="ANJ36" s="73"/>
      <c r="ANK36" s="73"/>
      <c r="ANL36" s="73"/>
      <c r="ANM36" s="73"/>
      <c r="ANN36" s="73"/>
      <c r="ANO36" s="73"/>
      <c r="ANP36" s="73"/>
      <c r="ANQ36" s="73"/>
      <c r="ANR36" s="73"/>
      <c r="ANS36" s="73"/>
      <c r="ANT36" s="73"/>
      <c r="ANU36" s="73"/>
      <c r="ANV36" s="73"/>
      <c r="ANW36" s="73"/>
      <c r="ANX36" s="73"/>
      <c r="ANY36" s="73"/>
      <c r="ANZ36" s="73"/>
      <c r="AOA36" s="73"/>
      <c r="AOB36" s="73"/>
      <c r="AOC36" s="73"/>
      <c r="AOD36" s="73"/>
      <c r="AOE36" s="73"/>
      <c r="AOF36" s="73"/>
      <c r="AOG36" s="73"/>
      <c r="AOH36" s="73"/>
      <c r="AOI36" s="73"/>
      <c r="AOJ36" s="73"/>
      <c r="AOK36" s="73"/>
      <c r="AOL36" s="73"/>
      <c r="AOM36" s="73"/>
      <c r="AON36" s="73"/>
      <c r="AOO36" s="73"/>
      <c r="AOP36" s="73"/>
      <c r="AOQ36" s="73"/>
      <c r="AOR36" s="73"/>
      <c r="AOS36" s="73"/>
      <c r="AOT36" s="73"/>
      <c r="AOU36" s="73"/>
      <c r="AOV36" s="73"/>
      <c r="AOW36" s="73"/>
      <c r="AOX36" s="73"/>
      <c r="AOY36" s="73"/>
      <c r="AOZ36" s="73"/>
      <c r="APA36" s="73"/>
      <c r="APB36" s="73"/>
      <c r="APC36" s="73"/>
      <c r="APD36" s="73"/>
      <c r="APE36" s="73"/>
      <c r="APF36" s="73"/>
      <c r="APG36" s="73"/>
      <c r="APH36" s="73"/>
      <c r="API36" s="73"/>
      <c r="APJ36" s="73"/>
      <c r="APK36" s="73"/>
      <c r="APL36" s="73"/>
      <c r="APM36" s="73"/>
      <c r="APN36" s="73"/>
      <c r="APO36" s="73"/>
      <c r="APP36" s="73"/>
      <c r="APQ36" s="73"/>
      <c r="APR36" s="73"/>
      <c r="APS36" s="73"/>
      <c r="APT36" s="73"/>
      <c r="APU36" s="73"/>
      <c r="APV36" s="73"/>
      <c r="APW36" s="73"/>
      <c r="APX36" s="73"/>
      <c r="APY36" s="73"/>
      <c r="APZ36" s="73"/>
      <c r="AQA36" s="73"/>
      <c r="AQB36" s="73"/>
      <c r="AQC36" s="73"/>
      <c r="AQD36" s="73"/>
      <c r="AQE36" s="73"/>
      <c r="AQF36" s="73"/>
      <c r="AQG36" s="73"/>
      <c r="AQH36" s="73"/>
      <c r="AQI36" s="73"/>
      <c r="AQJ36" s="73"/>
      <c r="AQK36" s="73"/>
      <c r="AQL36" s="73"/>
      <c r="AQM36" s="73"/>
      <c r="AQN36" s="73"/>
      <c r="AQO36" s="73"/>
      <c r="AQP36" s="73"/>
      <c r="AQQ36" s="73"/>
      <c r="AQR36" s="73"/>
      <c r="AQS36" s="73"/>
      <c r="AQT36" s="73"/>
      <c r="AQU36" s="73"/>
      <c r="AQV36" s="73"/>
      <c r="AQW36" s="73"/>
      <c r="AQX36" s="73"/>
      <c r="AQY36" s="73"/>
      <c r="AQZ36" s="73"/>
      <c r="ARA36" s="73"/>
      <c r="ARB36" s="73"/>
      <c r="ARC36" s="73"/>
      <c r="ARD36" s="73"/>
      <c r="ARE36" s="73"/>
      <c r="ARF36" s="73"/>
      <c r="ARG36" s="73"/>
      <c r="ARH36" s="73"/>
      <c r="ARI36" s="73"/>
      <c r="ARJ36" s="73"/>
      <c r="ARK36" s="73"/>
      <c r="ARL36" s="73"/>
      <c r="ARM36" s="73"/>
      <c r="ARN36" s="73"/>
      <c r="ARO36" s="73"/>
      <c r="ARP36" s="73"/>
      <c r="ARQ36" s="73"/>
      <c r="ARR36" s="73"/>
      <c r="ARS36" s="73"/>
      <c r="ART36" s="73"/>
      <c r="ARU36" s="73"/>
      <c r="ARV36" s="73"/>
      <c r="ARW36" s="73"/>
      <c r="ARX36" s="73"/>
      <c r="ARY36" s="73"/>
      <c r="ARZ36" s="73"/>
      <c r="ASA36" s="73"/>
      <c r="ASB36" s="73"/>
      <c r="ASC36" s="73"/>
      <c r="ASD36" s="73"/>
      <c r="ASE36" s="73"/>
      <c r="ASF36" s="73"/>
      <c r="ASG36" s="73"/>
      <c r="ASH36" s="73"/>
      <c r="ASI36" s="73"/>
      <c r="ASJ36" s="73"/>
      <c r="ASK36" s="73"/>
      <c r="ASL36" s="73"/>
      <c r="ASM36" s="73"/>
      <c r="ASN36" s="73"/>
      <c r="ASO36" s="73"/>
      <c r="ASP36" s="73"/>
      <c r="ASQ36" s="73"/>
      <c r="ASR36" s="73"/>
      <c r="ASS36" s="73"/>
      <c r="AST36" s="73"/>
      <c r="ASU36" s="73"/>
      <c r="ASV36" s="73"/>
      <c r="ASW36" s="73"/>
      <c r="ASX36" s="73"/>
      <c r="ASY36" s="73"/>
      <c r="ASZ36" s="73"/>
      <c r="ATA36" s="73"/>
      <c r="ATB36" s="73"/>
      <c r="ATC36" s="73"/>
      <c r="ATD36" s="73"/>
      <c r="ATE36" s="73"/>
      <c r="ATF36" s="73"/>
      <c r="ATG36" s="73"/>
      <c r="ATH36" s="73"/>
      <c r="ATI36" s="73"/>
      <c r="ATJ36" s="73"/>
      <c r="ATK36" s="73"/>
      <c r="ATL36" s="73"/>
      <c r="ATM36" s="73"/>
      <c r="ATN36" s="73"/>
      <c r="ATO36" s="73"/>
      <c r="ATP36" s="73"/>
      <c r="ATQ36" s="73"/>
      <c r="ATR36" s="73"/>
      <c r="ATS36" s="73"/>
      <c r="ATT36" s="73"/>
      <c r="ATU36" s="73"/>
      <c r="ATV36" s="73"/>
      <c r="ATW36" s="73"/>
      <c r="ATX36" s="73"/>
      <c r="ATY36" s="73"/>
      <c r="ATZ36" s="73"/>
      <c r="AUA36" s="73"/>
      <c r="AUB36" s="73"/>
      <c r="AUC36" s="73"/>
      <c r="AUD36" s="73"/>
      <c r="AUE36" s="73"/>
      <c r="AUF36" s="73"/>
      <c r="AUG36" s="73"/>
      <c r="AUH36" s="73"/>
      <c r="AUI36" s="73"/>
      <c r="AUJ36" s="73"/>
      <c r="AUK36" s="73"/>
      <c r="AUL36" s="73"/>
      <c r="AUM36" s="73"/>
      <c r="AUN36" s="73"/>
      <c r="AUO36" s="73"/>
      <c r="AUP36" s="73"/>
      <c r="AUQ36" s="73"/>
      <c r="AUR36" s="73"/>
      <c r="AUS36" s="73"/>
      <c r="AUT36" s="73"/>
      <c r="AUU36" s="73"/>
      <c r="AUV36" s="73"/>
      <c r="AUW36" s="73"/>
      <c r="AUX36" s="73"/>
      <c r="AUY36" s="73"/>
      <c r="AUZ36" s="73"/>
      <c r="AVA36" s="73"/>
      <c r="AVB36" s="73"/>
      <c r="AVC36" s="73"/>
      <c r="AVD36" s="73"/>
      <c r="AVE36" s="73"/>
      <c r="AVF36" s="73"/>
      <c r="AVG36" s="73"/>
      <c r="AVH36" s="73"/>
      <c r="AVI36" s="73"/>
      <c r="AVJ36" s="73"/>
      <c r="AVK36" s="73"/>
      <c r="AVL36" s="73"/>
      <c r="AVM36" s="73"/>
      <c r="AVN36" s="73"/>
      <c r="AVO36" s="73"/>
      <c r="AVP36" s="73"/>
      <c r="AVQ36" s="73"/>
      <c r="AVR36" s="73"/>
      <c r="AVS36" s="73"/>
      <c r="AVT36" s="73"/>
      <c r="AVU36" s="73"/>
      <c r="AVV36" s="73"/>
      <c r="AVW36" s="73"/>
      <c r="AVX36" s="73"/>
      <c r="AVY36" s="73"/>
      <c r="AVZ36" s="73"/>
      <c r="AWA36" s="73"/>
      <c r="AWB36" s="73"/>
      <c r="AWC36" s="73"/>
      <c r="AWD36" s="73"/>
      <c r="AWE36" s="73"/>
      <c r="AWF36" s="73"/>
      <c r="AWG36" s="73"/>
      <c r="AWH36" s="73"/>
      <c r="AWI36" s="73"/>
      <c r="AWJ36" s="73"/>
      <c r="AWK36" s="73"/>
      <c r="AWL36" s="73"/>
      <c r="AWM36" s="73"/>
      <c r="AWN36" s="73"/>
      <c r="AWO36" s="73"/>
      <c r="AWP36" s="73"/>
      <c r="AWQ36" s="73"/>
      <c r="AWR36" s="73"/>
      <c r="AWS36" s="73"/>
      <c r="AWT36" s="73"/>
      <c r="AWU36" s="73"/>
      <c r="AWV36" s="73"/>
      <c r="AWW36" s="73"/>
      <c r="AWX36" s="73"/>
      <c r="AWY36" s="73"/>
      <c r="AWZ36" s="73"/>
      <c r="AXA36" s="73"/>
      <c r="AXB36" s="73"/>
      <c r="AXC36" s="73"/>
      <c r="AXD36" s="73"/>
      <c r="AXE36" s="73"/>
      <c r="AXF36" s="73"/>
      <c r="AXG36" s="73"/>
      <c r="AXH36" s="73"/>
      <c r="AXI36" s="73"/>
      <c r="AXJ36" s="73"/>
      <c r="AXK36" s="73"/>
      <c r="AXL36" s="73"/>
      <c r="AXM36" s="73"/>
      <c r="AXN36" s="73"/>
      <c r="AXO36" s="73"/>
      <c r="AXP36" s="73"/>
      <c r="AXQ36" s="73"/>
      <c r="AXR36" s="73"/>
      <c r="AXS36" s="73"/>
      <c r="AXT36" s="73"/>
      <c r="AXU36" s="73"/>
      <c r="AXV36" s="73"/>
      <c r="AXW36" s="73"/>
      <c r="AXX36" s="73"/>
      <c r="AXY36" s="73"/>
      <c r="AXZ36" s="73"/>
      <c r="AYA36" s="73"/>
      <c r="AYB36" s="73"/>
      <c r="AYC36" s="73"/>
      <c r="AYD36" s="73"/>
      <c r="AYE36" s="73"/>
      <c r="AYF36" s="73"/>
      <c r="AYG36" s="73"/>
      <c r="AYH36" s="73"/>
      <c r="AYI36" s="73"/>
      <c r="AYJ36" s="73"/>
      <c r="AYK36" s="73"/>
      <c r="AYL36" s="73"/>
      <c r="AYM36" s="73"/>
      <c r="AYN36" s="73"/>
      <c r="AYO36" s="73"/>
      <c r="AYP36" s="73"/>
      <c r="AYQ36" s="73"/>
      <c r="AYR36" s="73"/>
      <c r="AYS36" s="73"/>
      <c r="AYT36" s="73"/>
      <c r="AYU36" s="73"/>
      <c r="AYV36" s="73"/>
      <c r="AYW36" s="73"/>
      <c r="AYX36" s="73"/>
      <c r="AYY36" s="73"/>
      <c r="AYZ36" s="73"/>
      <c r="AZA36" s="73"/>
      <c r="AZB36" s="73"/>
      <c r="AZC36" s="73"/>
      <c r="AZD36" s="73"/>
      <c r="AZE36" s="73"/>
      <c r="AZF36" s="73"/>
      <c r="AZG36" s="73"/>
      <c r="AZH36" s="73"/>
      <c r="AZI36" s="73"/>
      <c r="AZJ36" s="73"/>
      <c r="AZK36" s="73"/>
      <c r="AZL36" s="73"/>
      <c r="AZM36" s="73"/>
      <c r="AZN36" s="73"/>
      <c r="AZO36" s="73"/>
      <c r="AZP36" s="73"/>
      <c r="AZQ36" s="73"/>
      <c r="AZR36" s="73"/>
      <c r="AZS36" s="73"/>
      <c r="AZT36" s="73"/>
      <c r="AZU36" s="73"/>
      <c r="AZV36" s="73"/>
      <c r="AZW36" s="73"/>
      <c r="AZX36" s="73"/>
      <c r="AZY36" s="73"/>
      <c r="AZZ36" s="73"/>
      <c r="BAA36" s="73"/>
      <c r="BAB36" s="73"/>
      <c r="BAC36" s="73"/>
      <c r="BAD36" s="73"/>
      <c r="BAE36" s="73"/>
      <c r="BAF36" s="73"/>
      <c r="BAG36" s="73"/>
      <c r="BAH36" s="73"/>
      <c r="BAI36" s="73"/>
      <c r="BAJ36" s="73"/>
      <c r="BAK36" s="73"/>
      <c r="BAL36" s="73"/>
      <c r="BAM36" s="73"/>
      <c r="BAN36" s="73"/>
      <c r="BAO36" s="73"/>
      <c r="BAP36" s="73"/>
      <c r="BAQ36" s="73"/>
      <c r="BAR36" s="73"/>
      <c r="BAS36" s="73"/>
      <c r="BAT36" s="73"/>
      <c r="BAU36" s="73"/>
      <c r="BAV36" s="73"/>
      <c r="BAW36" s="73"/>
      <c r="BAX36" s="73"/>
      <c r="BAY36" s="73"/>
      <c r="BAZ36" s="73"/>
      <c r="BBA36" s="73"/>
      <c r="BBB36" s="73"/>
      <c r="BBC36" s="73"/>
      <c r="BBD36" s="73"/>
      <c r="BBE36" s="73"/>
      <c r="BBF36" s="73"/>
      <c r="BBG36" s="73"/>
      <c r="BBH36" s="73"/>
      <c r="BBI36" s="73"/>
      <c r="BBJ36" s="73"/>
      <c r="BBK36" s="73"/>
      <c r="BBL36" s="73"/>
      <c r="BBM36" s="73"/>
      <c r="BBN36" s="73"/>
      <c r="BBO36" s="73"/>
      <c r="BBP36" s="73"/>
      <c r="BBQ36" s="73"/>
      <c r="BBR36" s="73"/>
      <c r="BBS36" s="73"/>
      <c r="BBT36" s="73"/>
      <c r="BBU36" s="73"/>
      <c r="BBV36" s="73"/>
      <c r="BBW36" s="73"/>
      <c r="BBX36" s="73"/>
      <c r="BBY36" s="73"/>
      <c r="BBZ36" s="73"/>
      <c r="BCA36" s="73"/>
      <c r="BCB36" s="73"/>
      <c r="BCC36" s="73"/>
      <c r="BCD36" s="73"/>
      <c r="BCE36" s="73"/>
      <c r="BCF36" s="73"/>
      <c r="BCG36" s="73"/>
      <c r="BCH36" s="73"/>
      <c r="BCI36" s="73"/>
      <c r="BCJ36" s="73"/>
      <c r="BCK36" s="73"/>
      <c r="BCL36" s="73"/>
      <c r="BCM36" s="73"/>
      <c r="BCN36" s="73"/>
      <c r="BCO36" s="73"/>
      <c r="BCP36" s="73"/>
      <c r="BCQ36" s="73"/>
      <c r="BCR36" s="73"/>
      <c r="BCS36" s="73"/>
      <c r="BCT36" s="73"/>
      <c r="BCU36" s="73"/>
      <c r="BCV36" s="73"/>
      <c r="BCW36" s="73"/>
      <c r="BCX36" s="73"/>
      <c r="BCY36" s="73"/>
      <c r="BCZ36" s="73"/>
      <c r="BDA36" s="73"/>
      <c r="BDB36" s="73"/>
      <c r="BDC36" s="73"/>
      <c r="BDD36" s="73"/>
      <c r="BDE36" s="73"/>
      <c r="BDF36" s="73"/>
      <c r="BDG36" s="73"/>
      <c r="BDH36" s="73"/>
      <c r="BDI36" s="73"/>
      <c r="BDJ36" s="73"/>
      <c r="BDK36" s="73"/>
      <c r="BDL36" s="73"/>
      <c r="BDM36" s="73"/>
      <c r="BDN36" s="73"/>
      <c r="BDO36" s="73"/>
      <c r="BDP36" s="73"/>
      <c r="BDQ36" s="73"/>
      <c r="BDR36" s="73"/>
      <c r="BDS36" s="73"/>
      <c r="BDT36" s="73"/>
      <c r="BDU36" s="73"/>
      <c r="BDV36" s="73"/>
      <c r="BDW36" s="73"/>
      <c r="BDX36" s="73"/>
      <c r="BDY36" s="73"/>
      <c r="BDZ36" s="73"/>
      <c r="BEA36" s="73"/>
      <c r="BEB36" s="73"/>
      <c r="BEC36" s="73"/>
      <c r="BED36" s="73"/>
      <c r="BEE36" s="73"/>
      <c r="BEF36" s="73"/>
      <c r="BEG36" s="73"/>
      <c r="BEH36" s="73"/>
      <c r="BEI36" s="73"/>
      <c r="BEJ36" s="73"/>
      <c r="BEK36" s="73"/>
      <c r="BEL36" s="73"/>
      <c r="BEM36" s="73"/>
      <c r="BEN36" s="73"/>
      <c r="BEO36" s="73"/>
      <c r="BEP36" s="73"/>
      <c r="BEQ36" s="73"/>
      <c r="BER36" s="73"/>
      <c r="BES36" s="73"/>
      <c r="BET36" s="73"/>
      <c r="BEU36" s="73"/>
      <c r="BEV36" s="73"/>
      <c r="BEW36" s="73"/>
      <c r="BEX36" s="73"/>
      <c r="BEY36" s="73"/>
      <c r="BEZ36" s="73"/>
      <c r="BFA36" s="73"/>
      <c r="BFB36" s="73"/>
      <c r="BFC36" s="73"/>
      <c r="BFD36" s="73"/>
      <c r="BFE36" s="73"/>
      <c r="BFF36" s="73"/>
      <c r="BFG36" s="73"/>
      <c r="BFH36" s="73"/>
      <c r="BFI36" s="73"/>
      <c r="BFJ36" s="73"/>
      <c r="BFK36" s="73"/>
      <c r="BFL36" s="73"/>
      <c r="BFM36" s="73"/>
      <c r="BFN36" s="73"/>
      <c r="BFO36" s="73"/>
      <c r="BFP36" s="73"/>
      <c r="BFQ36" s="73"/>
      <c r="BFR36" s="73"/>
      <c r="BFS36" s="73"/>
      <c r="BFT36" s="73"/>
      <c r="BFU36" s="73"/>
      <c r="BFV36" s="73"/>
      <c r="BFW36" s="73"/>
      <c r="BFX36" s="73"/>
      <c r="BFY36" s="73"/>
      <c r="BFZ36" s="73"/>
      <c r="BGA36" s="73"/>
      <c r="BGB36" s="73"/>
      <c r="BGC36" s="73"/>
      <c r="BGD36" s="73"/>
      <c r="BGE36" s="73"/>
      <c r="BGF36" s="73"/>
      <c r="BGG36" s="73"/>
      <c r="BGH36" s="73"/>
      <c r="BGI36" s="73"/>
      <c r="BGJ36" s="73"/>
      <c r="BGK36" s="73"/>
      <c r="BGL36" s="73"/>
      <c r="BGM36" s="73"/>
      <c r="BGN36" s="73"/>
      <c r="BGO36" s="73"/>
      <c r="BGP36" s="73"/>
      <c r="BGQ36" s="73"/>
      <c r="BGR36" s="73"/>
      <c r="BGS36" s="73"/>
      <c r="BGT36" s="73"/>
      <c r="BGU36" s="73"/>
      <c r="BGV36" s="73"/>
      <c r="BGW36" s="73"/>
      <c r="BGX36" s="73"/>
      <c r="BGY36" s="73"/>
      <c r="BGZ36" s="73"/>
      <c r="BHA36" s="73"/>
      <c r="BHB36" s="73"/>
      <c r="BHC36" s="73"/>
      <c r="BHD36" s="73"/>
      <c r="BHE36" s="73"/>
      <c r="BHF36" s="73"/>
      <c r="BHG36" s="73"/>
      <c r="BHH36" s="73"/>
      <c r="BHI36" s="73"/>
      <c r="BHJ36" s="73"/>
      <c r="BHK36" s="73"/>
      <c r="BHL36" s="73"/>
      <c r="BHM36" s="73"/>
      <c r="BHN36" s="73"/>
      <c r="BHO36" s="73"/>
      <c r="BHP36" s="73"/>
      <c r="BHQ36" s="73"/>
      <c r="BHR36" s="73"/>
      <c r="BHS36" s="73"/>
      <c r="BHT36" s="73"/>
      <c r="BHU36" s="73"/>
      <c r="BHV36" s="73"/>
      <c r="BHW36" s="73"/>
      <c r="BHX36" s="73"/>
      <c r="BHY36" s="73"/>
      <c r="BHZ36" s="73"/>
      <c r="BIA36" s="73"/>
      <c r="BIB36" s="73"/>
      <c r="BIC36" s="73"/>
      <c r="BID36" s="73"/>
      <c r="BIE36" s="73"/>
      <c r="BIF36" s="73"/>
      <c r="BIG36" s="73"/>
      <c r="BIH36" s="73"/>
      <c r="BII36" s="73"/>
      <c r="BIJ36" s="73"/>
      <c r="BIK36" s="73"/>
      <c r="BIL36" s="73"/>
      <c r="BIM36" s="73"/>
      <c r="BIN36" s="73"/>
      <c r="BIO36" s="73"/>
      <c r="BIP36" s="73"/>
      <c r="BIQ36" s="73"/>
      <c r="BIR36" s="73"/>
      <c r="BIS36" s="73"/>
      <c r="BIT36" s="73"/>
      <c r="BIU36" s="73"/>
      <c r="BIV36" s="73"/>
      <c r="BIW36" s="73"/>
      <c r="BIX36" s="73"/>
      <c r="BIY36" s="73"/>
      <c r="BIZ36" s="73"/>
      <c r="BJA36" s="73"/>
      <c r="BJB36" s="73"/>
      <c r="BJC36" s="73"/>
      <c r="BJD36" s="73"/>
      <c r="BJE36" s="73"/>
      <c r="BJF36" s="73"/>
      <c r="BJG36" s="73"/>
      <c r="BJH36" s="73"/>
      <c r="BJI36" s="73"/>
      <c r="BJJ36" s="73"/>
      <c r="BJK36" s="73"/>
      <c r="BJL36" s="73"/>
      <c r="BJM36" s="73"/>
      <c r="BJN36" s="73"/>
      <c r="BJO36" s="73"/>
      <c r="BJP36" s="73"/>
      <c r="BJQ36" s="73"/>
      <c r="BJR36" s="73"/>
      <c r="BJS36" s="73"/>
      <c r="BJT36" s="73"/>
      <c r="BJU36" s="73"/>
      <c r="BJV36" s="73"/>
      <c r="BJW36" s="73"/>
      <c r="BJX36" s="73"/>
      <c r="BJY36" s="73"/>
      <c r="BJZ36" s="73"/>
      <c r="BKA36" s="73"/>
      <c r="BKB36" s="73"/>
      <c r="BKC36" s="73"/>
      <c r="BKD36" s="73"/>
      <c r="BKE36" s="73"/>
      <c r="BKF36" s="73"/>
      <c r="BKG36" s="73"/>
      <c r="BKH36" s="73"/>
      <c r="BKI36" s="73"/>
      <c r="BKJ36" s="73"/>
      <c r="BKK36" s="73"/>
      <c r="BKL36" s="73"/>
      <c r="BKM36" s="73"/>
      <c r="BKN36" s="73"/>
      <c r="BKO36" s="73"/>
      <c r="BKP36" s="73"/>
      <c r="BKQ36" s="73"/>
      <c r="BKR36" s="73"/>
      <c r="BKS36" s="73"/>
      <c r="BKT36" s="73"/>
      <c r="BKU36" s="73"/>
      <c r="BKV36" s="73"/>
      <c r="BKW36" s="73"/>
      <c r="BKX36" s="73"/>
      <c r="BKY36" s="73"/>
      <c r="BKZ36" s="73"/>
      <c r="BLA36" s="73"/>
      <c r="BLB36" s="73"/>
      <c r="BLC36" s="73"/>
      <c r="BLD36" s="73"/>
      <c r="BLE36" s="73"/>
      <c r="BLF36" s="73"/>
      <c r="BLG36" s="73"/>
      <c r="BLH36" s="73"/>
      <c r="BLI36" s="73"/>
      <c r="BLJ36" s="73"/>
      <c r="BLK36" s="73"/>
      <c r="BLL36" s="73"/>
      <c r="BLM36" s="73"/>
      <c r="BLN36" s="73"/>
      <c r="BLO36" s="73"/>
      <c r="BLP36" s="73"/>
      <c r="BLQ36" s="73"/>
      <c r="BLR36" s="73"/>
      <c r="BLS36" s="73"/>
      <c r="BLT36" s="73"/>
      <c r="BLU36" s="73"/>
      <c r="BLV36" s="73"/>
      <c r="BLW36" s="73"/>
      <c r="BLX36" s="73"/>
      <c r="BLY36" s="73"/>
      <c r="BLZ36" s="73"/>
      <c r="BMA36" s="73"/>
      <c r="BMB36" s="73"/>
      <c r="BMC36" s="73"/>
      <c r="BMD36" s="73"/>
      <c r="BME36" s="73"/>
      <c r="BMF36" s="73"/>
      <c r="BMG36" s="73"/>
      <c r="BMH36" s="73"/>
      <c r="BMI36" s="73"/>
      <c r="BMJ36" s="73"/>
      <c r="BMK36" s="73"/>
      <c r="BML36" s="73"/>
      <c r="BMM36" s="73"/>
      <c r="BMN36" s="73"/>
      <c r="BMO36" s="73"/>
      <c r="BMP36" s="73"/>
      <c r="BMQ36" s="73"/>
      <c r="BMR36" s="73"/>
      <c r="BMS36" s="73"/>
      <c r="BMT36" s="73"/>
      <c r="BMU36" s="73"/>
      <c r="BMV36" s="73"/>
      <c r="BMW36" s="73"/>
      <c r="BMX36" s="73"/>
      <c r="BMY36" s="73"/>
      <c r="BMZ36" s="73"/>
      <c r="BNA36" s="73"/>
      <c r="BNB36" s="73"/>
      <c r="BNC36" s="73"/>
      <c r="BND36" s="73"/>
      <c r="BNE36" s="73"/>
      <c r="BNF36" s="73"/>
      <c r="BNG36" s="73"/>
      <c r="BNH36" s="73"/>
      <c r="BNI36" s="73"/>
      <c r="BNJ36" s="73"/>
      <c r="BNK36" s="73"/>
      <c r="BNL36" s="73"/>
      <c r="BNM36" s="73"/>
      <c r="BNN36" s="73"/>
      <c r="BNO36" s="73"/>
      <c r="BNP36" s="73"/>
      <c r="BNQ36" s="73"/>
      <c r="BNR36" s="73"/>
      <c r="BNS36" s="73"/>
      <c r="BNT36" s="73"/>
      <c r="BNU36" s="73"/>
      <c r="BNV36" s="73"/>
      <c r="BNW36" s="73"/>
      <c r="BNX36" s="73"/>
      <c r="BNY36" s="73"/>
      <c r="BNZ36" s="73"/>
      <c r="BOA36" s="73"/>
      <c r="BOB36" s="73"/>
      <c r="BOC36" s="73"/>
      <c r="BOD36" s="73"/>
      <c r="BOE36" s="73"/>
      <c r="BOF36" s="73"/>
      <c r="BOG36" s="73"/>
      <c r="BOH36" s="73"/>
      <c r="BOI36" s="73"/>
      <c r="BOJ36" s="73"/>
      <c r="BOK36" s="73"/>
      <c r="BOL36" s="73"/>
      <c r="BOM36" s="73"/>
      <c r="BON36" s="73"/>
      <c r="BOO36" s="73"/>
      <c r="BOP36" s="73"/>
      <c r="BOQ36" s="73"/>
      <c r="BOR36" s="73"/>
      <c r="BOS36" s="73"/>
      <c r="BOT36" s="73"/>
      <c r="BOU36" s="73"/>
      <c r="BOV36" s="73"/>
      <c r="BOW36" s="73"/>
      <c r="BOX36" s="73"/>
      <c r="BOY36" s="73"/>
      <c r="BOZ36" s="73"/>
      <c r="BPA36" s="73"/>
      <c r="BPB36" s="73"/>
      <c r="BPC36" s="73"/>
      <c r="BPD36" s="73"/>
      <c r="BPE36" s="73"/>
      <c r="BPF36" s="73"/>
      <c r="BPG36" s="73"/>
      <c r="BPH36" s="73"/>
      <c r="BPI36" s="73"/>
      <c r="BPJ36" s="73"/>
      <c r="BPK36" s="73"/>
      <c r="BPL36" s="73"/>
      <c r="BPM36" s="73"/>
      <c r="BPN36" s="73"/>
      <c r="BPO36" s="73"/>
      <c r="BPP36" s="73"/>
      <c r="BPQ36" s="73"/>
      <c r="BPR36" s="73"/>
      <c r="BPS36" s="73"/>
      <c r="BPT36" s="73"/>
      <c r="BPU36" s="73"/>
      <c r="BPV36" s="73"/>
      <c r="BPW36" s="73"/>
      <c r="BPX36" s="73"/>
      <c r="BPY36" s="73"/>
      <c r="BPZ36" s="73"/>
      <c r="BQA36" s="73"/>
      <c r="BQB36" s="73"/>
      <c r="BQC36" s="73"/>
      <c r="BQD36" s="73"/>
      <c r="BQE36" s="73"/>
      <c r="BQF36" s="73"/>
      <c r="BQG36" s="73"/>
      <c r="BQH36" s="73"/>
      <c r="BQI36" s="73"/>
      <c r="BQJ36" s="73"/>
      <c r="BQK36" s="73"/>
      <c r="BQL36" s="73"/>
      <c r="BQM36" s="73"/>
      <c r="BQN36" s="73"/>
      <c r="BQO36" s="73"/>
      <c r="BQP36" s="73"/>
      <c r="BQQ36" s="73"/>
      <c r="BQR36" s="73"/>
      <c r="BQS36" s="73"/>
      <c r="BQT36" s="73"/>
      <c r="BQU36" s="73"/>
      <c r="BQV36" s="73"/>
      <c r="BQW36" s="73"/>
      <c r="BQX36" s="73"/>
      <c r="BQY36" s="73"/>
      <c r="BQZ36" s="73"/>
      <c r="BRA36" s="73"/>
      <c r="BRB36" s="73"/>
      <c r="BRC36" s="73"/>
      <c r="BRD36" s="73"/>
      <c r="BRE36" s="73"/>
      <c r="BRF36" s="73"/>
      <c r="BRG36" s="73"/>
      <c r="BRH36" s="73"/>
      <c r="BRI36" s="73"/>
      <c r="BRJ36" s="73"/>
      <c r="BRK36" s="73"/>
      <c r="BRL36" s="73"/>
      <c r="BRM36" s="73"/>
      <c r="BRN36" s="73"/>
      <c r="BRO36" s="73"/>
      <c r="BRP36" s="73"/>
      <c r="BRQ36" s="73"/>
      <c r="BRR36" s="73"/>
      <c r="BRS36" s="73"/>
      <c r="BRT36" s="73"/>
      <c r="BRU36" s="73"/>
      <c r="BRV36" s="73"/>
      <c r="BRW36" s="73"/>
      <c r="BRX36" s="73"/>
      <c r="BRY36" s="73"/>
      <c r="BRZ36" s="73"/>
      <c r="BSA36" s="73"/>
      <c r="BSB36" s="73"/>
      <c r="BSC36" s="73"/>
      <c r="BSD36" s="73"/>
      <c r="BSE36" s="73"/>
      <c r="BSF36" s="73"/>
      <c r="BSG36" s="73"/>
      <c r="BSH36" s="73"/>
      <c r="BSI36" s="73"/>
      <c r="BSJ36" s="73"/>
      <c r="BSK36" s="73"/>
      <c r="BSL36" s="73"/>
      <c r="BSM36" s="73"/>
      <c r="BSN36" s="73"/>
      <c r="BSO36" s="73"/>
      <c r="BSP36" s="73"/>
      <c r="BSQ36" s="73"/>
      <c r="BSR36" s="73"/>
      <c r="BSS36" s="73"/>
      <c r="BST36" s="73"/>
      <c r="BSU36" s="73"/>
      <c r="BSV36" s="73"/>
      <c r="BSW36" s="73"/>
      <c r="BSX36" s="73"/>
      <c r="BSY36" s="73"/>
      <c r="BSZ36" s="73"/>
      <c r="BTA36" s="73"/>
      <c r="BTB36" s="73"/>
      <c r="BTC36" s="73"/>
      <c r="BTD36" s="73"/>
      <c r="BTE36" s="73"/>
      <c r="BTF36" s="73"/>
      <c r="BTG36" s="73"/>
      <c r="BTH36" s="73"/>
      <c r="BTI36" s="73"/>
      <c r="BTJ36" s="73"/>
      <c r="BTK36" s="73"/>
      <c r="BTL36" s="73"/>
      <c r="BTM36" s="73"/>
      <c r="BTN36" s="73"/>
      <c r="BTO36" s="73"/>
      <c r="BTP36" s="73"/>
      <c r="BTQ36" s="73"/>
      <c r="BTR36" s="73"/>
      <c r="BTS36" s="73"/>
      <c r="BTT36" s="73"/>
      <c r="BTU36" s="73"/>
      <c r="BTV36" s="73"/>
      <c r="BTW36" s="73"/>
      <c r="BTX36" s="73"/>
      <c r="BTY36" s="73"/>
      <c r="BTZ36" s="73"/>
      <c r="BUA36" s="73"/>
      <c r="BUB36" s="73"/>
      <c r="BUC36" s="73"/>
      <c r="BUD36" s="73"/>
      <c r="BUE36" s="73"/>
      <c r="BUF36" s="73"/>
      <c r="BUG36" s="73"/>
      <c r="BUH36" s="73"/>
      <c r="BUI36" s="73"/>
      <c r="BUJ36" s="73"/>
      <c r="BUK36" s="73"/>
      <c r="BUL36" s="73"/>
      <c r="BUM36" s="73"/>
      <c r="BUN36" s="73"/>
      <c r="BUO36" s="73"/>
      <c r="BUP36" s="73"/>
      <c r="BUQ36" s="73"/>
      <c r="BUR36" s="73"/>
      <c r="BUS36" s="73"/>
      <c r="BUT36" s="73"/>
      <c r="BUU36" s="73"/>
      <c r="BUV36" s="73"/>
      <c r="BUW36" s="73"/>
      <c r="BUX36" s="73"/>
      <c r="BUY36" s="73"/>
      <c r="BUZ36" s="73"/>
      <c r="BVA36" s="73"/>
      <c r="BVB36" s="73"/>
      <c r="BVC36" s="73"/>
      <c r="BVD36" s="73"/>
      <c r="BVE36" s="73"/>
      <c r="BVF36" s="73"/>
      <c r="BVG36" s="73"/>
      <c r="BVH36" s="73"/>
      <c r="BVI36" s="73"/>
      <c r="BVJ36" s="73"/>
      <c r="BVK36" s="73"/>
      <c r="BVL36" s="73"/>
      <c r="BVM36" s="73"/>
      <c r="BVN36" s="73"/>
      <c r="BVO36" s="73"/>
      <c r="BVP36" s="73"/>
      <c r="BVQ36" s="73"/>
      <c r="BVR36" s="73"/>
      <c r="BVS36" s="73"/>
      <c r="BVT36" s="73"/>
      <c r="BVU36" s="73"/>
      <c r="BVV36" s="73"/>
      <c r="BVW36" s="73"/>
      <c r="BVX36" s="73"/>
      <c r="BVY36" s="73"/>
      <c r="BVZ36" s="73"/>
      <c r="BWA36" s="73"/>
      <c r="BWB36" s="73"/>
      <c r="BWC36" s="73"/>
      <c r="BWD36" s="73"/>
      <c r="BWE36" s="73"/>
      <c r="BWF36" s="73"/>
      <c r="BWG36" s="73"/>
      <c r="BWH36" s="73"/>
      <c r="BWI36" s="73"/>
      <c r="BWJ36" s="73"/>
      <c r="BWK36" s="73"/>
      <c r="BWL36" s="73"/>
      <c r="BWM36" s="73"/>
      <c r="BWN36" s="73"/>
      <c r="BWO36" s="73"/>
      <c r="BWP36" s="73"/>
      <c r="BWQ36" s="73"/>
      <c r="BWR36" s="73"/>
      <c r="BWS36" s="73"/>
      <c r="BWT36" s="73"/>
      <c r="BWU36" s="73"/>
      <c r="BWV36" s="73"/>
      <c r="BWW36" s="73"/>
      <c r="BWX36" s="73"/>
      <c r="BWY36" s="73"/>
      <c r="BWZ36" s="73"/>
      <c r="BXA36" s="73"/>
      <c r="BXB36" s="73"/>
      <c r="BXC36" s="73"/>
      <c r="BXD36" s="73"/>
      <c r="BXE36" s="73"/>
      <c r="BXF36" s="73"/>
      <c r="BXG36" s="73"/>
      <c r="BXH36" s="73"/>
      <c r="BXI36" s="73"/>
      <c r="BXJ36" s="73"/>
      <c r="BXK36" s="73"/>
      <c r="BXL36" s="73"/>
      <c r="BXM36" s="73"/>
      <c r="BXN36" s="73"/>
      <c r="BXO36" s="73"/>
      <c r="BXP36" s="73"/>
      <c r="BXQ36" s="73"/>
      <c r="BXR36" s="73"/>
      <c r="BXS36" s="73"/>
      <c r="BXT36" s="73"/>
      <c r="BXU36" s="73"/>
      <c r="BXV36" s="73"/>
      <c r="BXW36" s="73"/>
      <c r="BXX36" s="73"/>
      <c r="BXY36" s="73"/>
      <c r="BXZ36" s="73"/>
      <c r="BYA36" s="73"/>
      <c r="BYB36" s="73"/>
      <c r="BYC36" s="73"/>
      <c r="BYD36" s="73"/>
      <c r="BYE36" s="73"/>
      <c r="BYF36" s="73"/>
      <c r="BYG36" s="73"/>
      <c r="BYH36" s="73"/>
      <c r="BYI36" s="73"/>
      <c r="BYJ36" s="73"/>
      <c r="BYK36" s="73"/>
      <c r="BYL36" s="73"/>
      <c r="BYM36" s="73"/>
      <c r="BYN36" s="73"/>
      <c r="BYO36" s="73"/>
      <c r="BYP36" s="73"/>
      <c r="BYQ36" s="73"/>
      <c r="BYR36" s="73"/>
      <c r="BYS36" s="73"/>
      <c r="BYT36" s="73"/>
      <c r="BYU36" s="73"/>
      <c r="BYV36" s="73"/>
      <c r="BYW36" s="73"/>
      <c r="BYX36" s="73"/>
      <c r="BYY36" s="73"/>
      <c r="BYZ36" s="73"/>
      <c r="BZA36" s="73"/>
      <c r="BZB36" s="73"/>
      <c r="BZC36" s="73"/>
      <c r="BZD36" s="73"/>
      <c r="BZE36" s="73"/>
      <c r="BZF36" s="73"/>
      <c r="BZG36" s="73"/>
      <c r="BZH36" s="73"/>
      <c r="BZI36" s="73"/>
      <c r="BZJ36" s="73"/>
      <c r="BZK36" s="73"/>
      <c r="BZL36" s="73"/>
      <c r="BZM36" s="73"/>
      <c r="BZN36" s="73"/>
      <c r="BZO36" s="73"/>
      <c r="BZP36" s="73"/>
      <c r="BZQ36" s="73"/>
      <c r="BZR36" s="73"/>
      <c r="BZS36" s="73"/>
      <c r="BZT36" s="73"/>
      <c r="BZU36" s="73"/>
      <c r="BZV36" s="73"/>
      <c r="BZW36" s="73"/>
      <c r="BZX36" s="73"/>
      <c r="BZY36" s="73"/>
      <c r="BZZ36" s="73"/>
      <c r="CAA36" s="73"/>
      <c r="CAB36" s="73"/>
      <c r="CAC36" s="73"/>
      <c r="CAD36" s="73"/>
      <c r="CAE36" s="73"/>
      <c r="CAF36" s="73"/>
      <c r="CAG36" s="73"/>
      <c r="CAH36" s="73"/>
      <c r="CAI36" s="73"/>
      <c r="CAJ36" s="73"/>
      <c r="CAK36" s="73"/>
      <c r="CAL36" s="73"/>
      <c r="CAM36" s="73"/>
      <c r="CAN36" s="73"/>
      <c r="CAO36" s="73"/>
      <c r="CAP36" s="73"/>
      <c r="CAQ36" s="73"/>
      <c r="CAR36" s="73"/>
      <c r="CAS36" s="73"/>
      <c r="CAT36" s="73"/>
      <c r="CAU36" s="73"/>
      <c r="CAV36" s="73"/>
      <c r="CAW36" s="73"/>
      <c r="CAX36" s="73"/>
      <c r="CAY36" s="73"/>
      <c r="CAZ36" s="73"/>
      <c r="CBA36" s="73"/>
      <c r="CBB36" s="73"/>
      <c r="CBC36" s="73"/>
      <c r="CBD36" s="73"/>
      <c r="CBE36" s="73"/>
      <c r="CBF36" s="73"/>
      <c r="CBG36" s="73"/>
      <c r="CBH36" s="73"/>
      <c r="CBI36" s="73"/>
      <c r="CBJ36" s="73"/>
      <c r="CBK36" s="73"/>
      <c r="CBL36" s="73"/>
      <c r="CBM36" s="73"/>
      <c r="CBN36" s="73"/>
      <c r="CBO36" s="73"/>
      <c r="CBP36" s="73"/>
      <c r="CBQ36" s="73"/>
      <c r="CBR36" s="73"/>
      <c r="CBS36" s="73"/>
      <c r="CBT36" s="73"/>
      <c r="CBU36" s="73"/>
      <c r="CBV36" s="73"/>
      <c r="CBW36" s="73"/>
      <c r="CBX36" s="73"/>
      <c r="CBY36" s="73"/>
      <c r="CBZ36" s="73"/>
      <c r="CCA36" s="73"/>
      <c r="CCB36" s="73"/>
      <c r="CCC36" s="73"/>
      <c r="CCD36" s="73"/>
      <c r="CCE36" s="73"/>
      <c r="CCF36" s="73"/>
      <c r="CCG36" s="73"/>
      <c r="CCH36" s="73"/>
      <c r="CCI36" s="73"/>
      <c r="CCJ36" s="73"/>
      <c r="CCK36" s="73"/>
      <c r="CCL36" s="73"/>
      <c r="CCM36" s="73"/>
      <c r="CCN36" s="73"/>
      <c r="CCO36" s="73"/>
      <c r="CCP36" s="73"/>
      <c r="CCQ36" s="73"/>
      <c r="CCR36" s="73"/>
      <c r="CCS36" s="73"/>
      <c r="CCT36" s="73"/>
      <c r="CCU36" s="73"/>
      <c r="CCV36" s="73"/>
      <c r="CCW36" s="73"/>
      <c r="CCX36" s="73"/>
      <c r="CCY36" s="73"/>
      <c r="CCZ36" s="73"/>
      <c r="CDA36" s="73"/>
      <c r="CDB36" s="73"/>
      <c r="CDC36" s="73"/>
      <c r="CDD36" s="73"/>
      <c r="CDE36" s="73"/>
      <c r="CDF36" s="73"/>
      <c r="CDG36" s="73"/>
      <c r="CDH36" s="73"/>
      <c r="CDI36" s="73"/>
      <c r="CDJ36" s="73"/>
      <c r="CDK36" s="73"/>
      <c r="CDL36" s="73"/>
      <c r="CDM36" s="73"/>
      <c r="CDN36" s="73"/>
      <c r="CDO36" s="73"/>
      <c r="CDP36" s="73"/>
      <c r="CDQ36" s="73"/>
      <c r="CDR36" s="73"/>
      <c r="CDS36" s="73"/>
      <c r="CDT36" s="73"/>
      <c r="CDU36" s="73"/>
      <c r="CDV36" s="73"/>
      <c r="CDW36" s="73"/>
      <c r="CDX36" s="73"/>
      <c r="CDY36" s="73"/>
      <c r="CDZ36" s="73"/>
      <c r="CEA36" s="73"/>
      <c r="CEB36" s="73"/>
      <c r="CEC36" s="73"/>
      <c r="CED36" s="73"/>
      <c r="CEE36" s="73"/>
      <c r="CEF36" s="73"/>
      <c r="CEG36" s="73"/>
      <c r="CEH36" s="73"/>
      <c r="CEI36" s="73"/>
      <c r="CEJ36" s="73"/>
      <c r="CEK36" s="73"/>
      <c r="CEL36" s="73"/>
      <c r="CEM36" s="73"/>
      <c r="CEN36" s="73"/>
      <c r="CEO36" s="73"/>
      <c r="CEP36" s="73"/>
      <c r="CEQ36" s="73"/>
      <c r="CER36" s="73"/>
      <c r="CES36" s="73"/>
      <c r="CET36" s="73"/>
      <c r="CEU36" s="73"/>
      <c r="CEV36" s="73"/>
      <c r="CEW36" s="73"/>
      <c r="CEX36" s="73"/>
      <c r="CEY36" s="73"/>
      <c r="CEZ36" s="73"/>
      <c r="CFA36" s="73"/>
      <c r="CFB36" s="73"/>
      <c r="CFC36" s="73"/>
      <c r="CFD36" s="73"/>
      <c r="CFE36" s="73"/>
      <c r="CFF36" s="73"/>
      <c r="CFG36" s="73"/>
      <c r="CFH36" s="73"/>
      <c r="CFI36" s="73"/>
      <c r="CFJ36" s="73"/>
      <c r="CFK36" s="73"/>
      <c r="CFL36" s="73"/>
      <c r="CFM36" s="73"/>
      <c r="CFN36" s="73"/>
      <c r="CFO36" s="73"/>
      <c r="CFP36" s="73"/>
      <c r="CFQ36" s="73"/>
      <c r="CFR36" s="73"/>
      <c r="CFS36" s="73"/>
      <c r="CFT36" s="73"/>
      <c r="CFU36" s="73"/>
      <c r="CFV36" s="73"/>
      <c r="CFW36" s="73"/>
      <c r="CFX36" s="73"/>
      <c r="CFY36" s="73"/>
      <c r="CFZ36" s="73"/>
      <c r="CGA36" s="73"/>
      <c r="CGB36" s="73"/>
      <c r="CGC36" s="73"/>
      <c r="CGD36" s="73"/>
      <c r="CGE36" s="73"/>
      <c r="CGF36" s="73"/>
      <c r="CGG36" s="73"/>
      <c r="CGH36" s="73"/>
      <c r="CGI36" s="73"/>
      <c r="CGJ36" s="73"/>
      <c r="CGK36" s="73"/>
      <c r="CGL36" s="73"/>
      <c r="CGM36" s="73"/>
      <c r="CGN36" s="73"/>
      <c r="CGO36" s="73"/>
      <c r="CGP36" s="73"/>
      <c r="CGQ36" s="73"/>
      <c r="CGR36" s="73"/>
      <c r="CGS36" s="73"/>
      <c r="CGT36" s="73"/>
      <c r="CGU36" s="73"/>
      <c r="CGV36" s="73"/>
      <c r="CGW36" s="73"/>
      <c r="CGX36" s="73"/>
      <c r="CGY36" s="73"/>
      <c r="CGZ36" s="73"/>
      <c r="CHA36" s="73"/>
      <c r="CHB36" s="73"/>
      <c r="CHC36" s="73"/>
      <c r="CHD36" s="73"/>
      <c r="CHE36" s="73"/>
      <c r="CHF36" s="73"/>
      <c r="CHG36" s="73"/>
      <c r="CHH36" s="73"/>
      <c r="CHI36" s="73"/>
      <c r="CHJ36" s="73"/>
      <c r="CHK36" s="73"/>
      <c r="CHL36" s="73"/>
      <c r="CHM36" s="73"/>
      <c r="CHN36" s="73"/>
      <c r="CHO36" s="73"/>
      <c r="CHP36" s="73"/>
      <c r="CHQ36" s="73"/>
      <c r="CHR36" s="73"/>
      <c r="CHS36" s="73"/>
      <c r="CHT36" s="73"/>
      <c r="CHU36" s="73"/>
      <c r="CHV36" s="73"/>
      <c r="CHW36" s="73"/>
      <c r="CHX36" s="73"/>
      <c r="CHY36" s="73"/>
      <c r="CHZ36" s="73"/>
      <c r="CIA36" s="73"/>
      <c r="CIB36" s="73"/>
      <c r="CIC36" s="73"/>
      <c r="CID36" s="73"/>
      <c r="CIE36" s="73"/>
      <c r="CIF36" s="73"/>
      <c r="CIG36" s="73"/>
      <c r="CIH36" s="73"/>
      <c r="CII36" s="73"/>
      <c r="CIJ36" s="73"/>
      <c r="CIK36" s="73"/>
      <c r="CIL36" s="73"/>
      <c r="CIM36" s="73"/>
      <c r="CIN36" s="73"/>
      <c r="CIO36" s="73"/>
      <c r="CIP36" s="73"/>
      <c r="CIQ36" s="73"/>
      <c r="CIR36" s="73"/>
      <c r="CIS36" s="73"/>
      <c r="CIT36" s="73"/>
      <c r="CIU36" s="73"/>
      <c r="CIV36" s="73"/>
      <c r="CIW36" s="73"/>
      <c r="CIX36" s="73"/>
      <c r="CIY36" s="73"/>
      <c r="CIZ36" s="73"/>
      <c r="CJA36" s="73"/>
      <c r="CJB36" s="73"/>
      <c r="CJC36" s="73"/>
      <c r="CJD36" s="73"/>
      <c r="CJE36" s="73"/>
      <c r="CJF36" s="73"/>
      <c r="CJG36" s="73"/>
      <c r="CJH36" s="73"/>
      <c r="CJI36" s="73"/>
      <c r="CJJ36" s="73"/>
      <c r="CJK36" s="73"/>
      <c r="CJL36" s="73"/>
      <c r="CJM36" s="73"/>
      <c r="CJN36" s="73"/>
      <c r="CJO36" s="73"/>
      <c r="CJP36" s="73"/>
      <c r="CJQ36" s="73"/>
      <c r="CJR36" s="73"/>
      <c r="CJS36" s="73"/>
      <c r="CJT36" s="73"/>
      <c r="CJU36" s="73"/>
      <c r="CJV36" s="73"/>
      <c r="CJW36" s="73"/>
      <c r="CJX36" s="73"/>
      <c r="CJY36" s="73"/>
      <c r="CJZ36" s="73"/>
      <c r="CKA36" s="73"/>
      <c r="CKB36" s="73"/>
      <c r="CKC36" s="73"/>
      <c r="CKD36" s="73"/>
      <c r="CKE36" s="73"/>
      <c r="CKF36" s="73"/>
      <c r="CKG36" s="73"/>
      <c r="CKH36" s="73"/>
      <c r="CKI36" s="73"/>
      <c r="CKJ36" s="73"/>
      <c r="CKK36" s="73"/>
      <c r="CKL36" s="73"/>
      <c r="CKM36" s="73"/>
      <c r="CKN36" s="73"/>
      <c r="CKO36" s="73"/>
      <c r="CKP36" s="73"/>
      <c r="CKQ36" s="73"/>
      <c r="CKR36" s="73"/>
      <c r="CKS36" s="73"/>
      <c r="CKT36" s="73"/>
      <c r="CKU36" s="73"/>
      <c r="CKV36" s="73"/>
      <c r="CKW36" s="73"/>
      <c r="CKX36" s="73"/>
      <c r="CKY36" s="73"/>
      <c r="CKZ36" s="73"/>
      <c r="CLA36" s="73"/>
      <c r="CLB36" s="73"/>
      <c r="CLC36" s="73"/>
      <c r="CLD36" s="73"/>
      <c r="CLE36" s="73"/>
      <c r="CLF36" s="73"/>
      <c r="CLG36" s="73"/>
      <c r="CLH36" s="73"/>
      <c r="CLI36" s="73"/>
      <c r="CLJ36" s="73"/>
      <c r="CLK36" s="73"/>
      <c r="CLL36" s="73"/>
      <c r="CLM36" s="73"/>
      <c r="CLN36" s="73"/>
      <c r="CLO36" s="73"/>
      <c r="CLP36" s="73"/>
      <c r="CLQ36" s="73"/>
      <c r="CLR36" s="73"/>
      <c r="CLS36" s="73"/>
      <c r="CLT36" s="73"/>
      <c r="CLU36" s="73"/>
      <c r="CLV36" s="73"/>
      <c r="CLW36" s="73"/>
      <c r="CLX36" s="73"/>
      <c r="CLY36" s="73"/>
      <c r="CLZ36" s="73"/>
      <c r="CMA36" s="73"/>
      <c r="CMB36" s="73"/>
      <c r="CMC36" s="73"/>
      <c r="CMD36" s="73"/>
      <c r="CME36" s="73"/>
      <c r="CMF36" s="73"/>
      <c r="CMG36" s="73"/>
      <c r="CMH36" s="73"/>
      <c r="CMI36" s="73"/>
      <c r="CMJ36" s="73"/>
      <c r="CMK36" s="73"/>
      <c r="CML36" s="73"/>
      <c r="CMM36" s="73"/>
      <c r="CMN36" s="73"/>
      <c r="CMO36" s="73"/>
      <c r="CMP36" s="73"/>
      <c r="CMQ36" s="73"/>
      <c r="CMR36" s="73"/>
      <c r="CMS36" s="73"/>
      <c r="CMT36" s="73"/>
      <c r="CMU36" s="73"/>
      <c r="CMV36" s="73"/>
      <c r="CMW36" s="73"/>
      <c r="CMX36" s="73"/>
      <c r="CMY36" s="73"/>
      <c r="CMZ36" s="73"/>
      <c r="CNA36" s="73"/>
      <c r="CNB36" s="73"/>
      <c r="CNC36" s="73"/>
      <c r="CND36" s="73"/>
      <c r="CNE36" s="73"/>
      <c r="CNF36" s="73"/>
      <c r="CNG36" s="73"/>
      <c r="CNH36" s="73"/>
      <c r="CNI36" s="73"/>
      <c r="CNJ36" s="73"/>
      <c r="CNK36" s="73"/>
      <c r="CNL36" s="73"/>
      <c r="CNM36" s="73"/>
      <c r="CNN36" s="73"/>
      <c r="CNO36" s="73"/>
      <c r="CNP36" s="73"/>
      <c r="CNQ36" s="73"/>
      <c r="CNR36" s="73"/>
      <c r="CNS36" s="73"/>
      <c r="CNT36" s="73"/>
      <c r="CNU36" s="73"/>
      <c r="CNV36" s="73"/>
      <c r="CNW36" s="73"/>
      <c r="CNX36" s="73"/>
      <c r="CNY36" s="73"/>
      <c r="CNZ36" s="73"/>
      <c r="COA36" s="73"/>
      <c r="COB36" s="73"/>
      <c r="COC36" s="73"/>
      <c r="COD36" s="73"/>
      <c r="COE36" s="73"/>
      <c r="COF36" s="73"/>
      <c r="COG36" s="73"/>
      <c r="COH36" s="73"/>
      <c r="COI36" s="73"/>
      <c r="COJ36" s="73"/>
      <c r="COK36" s="73"/>
      <c r="COL36" s="73"/>
      <c r="COM36" s="73"/>
      <c r="CON36" s="73"/>
      <c r="COO36" s="73"/>
      <c r="COP36" s="73"/>
      <c r="COQ36" s="73"/>
      <c r="COR36" s="73"/>
      <c r="COS36" s="73"/>
      <c r="COT36" s="73"/>
      <c r="COU36" s="73"/>
      <c r="COV36" s="73"/>
      <c r="COW36" s="73"/>
      <c r="COX36" s="73"/>
      <c r="COY36" s="73"/>
      <c r="COZ36" s="73"/>
      <c r="CPA36" s="73"/>
      <c r="CPB36" s="73"/>
      <c r="CPC36" s="73"/>
      <c r="CPD36" s="73"/>
      <c r="CPE36" s="73"/>
      <c r="CPF36" s="73"/>
      <c r="CPG36" s="73"/>
      <c r="CPH36" s="73"/>
      <c r="CPI36" s="73"/>
      <c r="CPJ36" s="73"/>
      <c r="CPK36" s="73"/>
      <c r="CPL36" s="73"/>
      <c r="CPM36" s="73"/>
      <c r="CPN36" s="73"/>
      <c r="CPO36" s="73"/>
      <c r="CPP36" s="73"/>
      <c r="CPQ36" s="73"/>
      <c r="CPR36" s="73"/>
      <c r="CPS36" s="73"/>
      <c r="CPT36" s="73"/>
      <c r="CPU36" s="73"/>
      <c r="CPV36" s="73"/>
      <c r="CPW36" s="73"/>
      <c r="CPX36" s="73"/>
      <c r="CPY36" s="73"/>
      <c r="CPZ36" s="73"/>
      <c r="CQA36" s="73"/>
      <c r="CQB36" s="73"/>
      <c r="CQC36" s="73"/>
      <c r="CQD36" s="73"/>
      <c r="CQE36" s="73"/>
      <c r="CQF36" s="73"/>
      <c r="CQG36" s="73"/>
      <c r="CQH36" s="73"/>
      <c r="CQI36" s="73"/>
      <c r="CQJ36" s="73"/>
      <c r="CQK36" s="73"/>
      <c r="CQL36" s="73"/>
      <c r="CQM36" s="73"/>
      <c r="CQN36" s="73"/>
      <c r="CQO36" s="73"/>
      <c r="CQP36" s="73"/>
      <c r="CQQ36" s="73"/>
      <c r="CQR36" s="73"/>
      <c r="CQS36" s="73"/>
      <c r="CQT36" s="73"/>
      <c r="CQU36" s="73"/>
      <c r="CQV36" s="73"/>
      <c r="CQW36" s="73"/>
      <c r="CQX36" s="73"/>
      <c r="CQY36" s="73"/>
      <c r="CQZ36" s="73"/>
      <c r="CRA36" s="73"/>
      <c r="CRB36" s="73"/>
      <c r="CRC36" s="73"/>
      <c r="CRD36" s="73"/>
      <c r="CRE36" s="73"/>
      <c r="CRF36" s="73"/>
      <c r="CRG36" s="73"/>
      <c r="CRH36" s="73"/>
      <c r="CRI36" s="73"/>
      <c r="CRJ36" s="73"/>
      <c r="CRK36" s="73"/>
      <c r="CRL36" s="73"/>
      <c r="CRM36" s="73"/>
      <c r="CRN36" s="73"/>
      <c r="CRO36" s="73"/>
      <c r="CRP36" s="73"/>
      <c r="CRQ36" s="73"/>
      <c r="CRR36" s="73"/>
      <c r="CRS36" s="73"/>
      <c r="CRT36" s="73"/>
      <c r="CRU36" s="73"/>
      <c r="CRV36" s="73"/>
      <c r="CRW36" s="73"/>
      <c r="CRX36" s="73"/>
      <c r="CRY36" s="73"/>
      <c r="CRZ36" s="73"/>
      <c r="CSA36" s="73"/>
      <c r="CSB36" s="73"/>
      <c r="CSC36" s="73"/>
      <c r="CSD36" s="73"/>
      <c r="CSE36" s="73"/>
      <c r="CSF36" s="73"/>
      <c r="CSG36" s="73"/>
      <c r="CSH36" s="73"/>
      <c r="CSI36" s="73"/>
      <c r="CSJ36" s="73"/>
      <c r="CSK36" s="73"/>
      <c r="CSL36" s="73"/>
      <c r="CSM36" s="73"/>
      <c r="CSN36" s="73"/>
      <c r="CSO36" s="73"/>
      <c r="CSP36" s="73"/>
      <c r="CSQ36" s="73"/>
      <c r="CSR36" s="73"/>
      <c r="CSS36" s="73"/>
      <c r="CST36" s="73"/>
      <c r="CSU36" s="73"/>
      <c r="CSV36" s="73"/>
      <c r="CSW36" s="73"/>
      <c r="CSX36" s="73"/>
      <c r="CSY36" s="73"/>
      <c r="CSZ36" s="73"/>
      <c r="CTA36" s="73"/>
      <c r="CTB36" s="73"/>
      <c r="CTC36" s="73"/>
      <c r="CTD36" s="73"/>
      <c r="CTE36" s="73"/>
      <c r="CTF36" s="73"/>
      <c r="CTG36" s="73"/>
      <c r="CTH36" s="73"/>
      <c r="CTI36" s="73"/>
      <c r="CTJ36" s="73"/>
      <c r="CTK36" s="73"/>
      <c r="CTL36" s="73"/>
      <c r="CTM36" s="73"/>
      <c r="CTN36" s="73"/>
      <c r="CTO36" s="73"/>
      <c r="CTP36" s="73"/>
      <c r="CTQ36" s="73"/>
      <c r="CTR36" s="73"/>
      <c r="CTS36" s="73"/>
      <c r="CTT36" s="73"/>
      <c r="CTU36" s="73"/>
      <c r="CTV36" s="73"/>
      <c r="CTW36" s="73"/>
      <c r="CTX36" s="73"/>
      <c r="CTY36" s="73"/>
      <c r="CTZ36" s="73"/>
      <c r="CUA36" s="73"/>
      <c r="CUB36" s="73"/>
      <c r="CUC36" s="73"/>
      <c r="CUD36" s="73"/>
      <c r="CUE36" s="73"/>
      <c r="CUF36" s="73"/>
      <c r="CUG36" s="73"/>
      <c r="CUH36" s="73"/>
      <c r="CUI36" s="73"/>
      <c r="CUJ36" s="73"/>
      <c r="CUK36" s="73"/>
      <c r="CUL36" s="73"/>
      <c r="CUM36" s="73"/>
      <c r="CUN36" s="73"/>
      <c r="CUO36" s="73"/>
      <c r="CUP36" s="73"/>
      <c r="CUQ36" s="73"/>
      <c r="CUR36" s="73"/>
      <c r="CUS36" s="73"/>
      <c r="CUT36" s="73"/>
      <c r="CUU36" s="73"/>
      <c r="CUV36" s="73"/>
      <c r="CUW36" s="73"/>
      <c r="CUX36" s="73"/>
      <c r="CUY36" s="73"/>
      <c r="CUZ36" s="73"/>
      <c r="CVA36" s="73"/>
      <c r="CVB36" s="73"/>
      <c r="CVC36" s="73"/>
      <c r="CVD36" s="73"/>
      <c r="CVE36" s="73"/>
      <c r="CVF36" s="73"/>
      <c r="CVG36" s="73"/>
      <c r="CVH36" s="73"/>
      <c r="CVI36" s="73"/>
      <c r="CVJ36" s="73"/>
      <c r="CVK36" s="73"/>
      <c r="CVL36" s="73"/>
      <c r="CVM36" s="73"/>
      <c r="CVN36" s="73"/>
      <c r="CVO36" s="73"/>
      <c r="CVP36" s="73"/>
      <c r="CVQ36" s="73"/>
      <c r="CVR36" s="73"/>
      <c r="CVS36" s="73"/>
      <c r="CVT36" s="73"/>
      <c r="CVU36" s="73"/>
      <c r="CVV36" s="73"/>
      <c r="CVW36" s="73"/>
      <c r="CVX36" s="73"/>
      <c r="CVY36" s="73"/>
      <c r="CVZ36" s="73"/>
      <c r="CWA36" s="73"/>
      <c r="CWB36" s="73"/>
      <c r="CWC36" s="73"/>
      <c r="CWD36" s="73"/>
      <c r="CWE36" s="73"/>
      <c r="CWF36" s="73"/>
      <c r="CWG36" s="73"/>
      <c r="CWH36" s="73"/>
      <c r="CWI36" s="73"/>
      <c r="CWJ36" s="73"/>
      <c r="CWK36" s="73"/>
      <c r="CWL36" s="73"/>
      <c r="CWM36" s="73"/>
      <c r="CWN36" s="73"/>
      <c r="CWO36" s="73"/>
      <c r="CWP36" s="73"/>
      <c r="CWQ36" s="73"/>
      <c r="CWR36" s="73"/>
      <c r="CWS36" s="73"/>
      <c r="CWT36" s="73"/>
      <c r="CWU36" s="73"/>
      <c r="CWV36" s="73"/>
      <c r="CWW36" s="73"/>
      <c r="CWX36" s="73"/>
      <c r="CWY36" s="73"/>
      <c r="CWZ36" s="73"/>
      <c r="CXA36" s="73"/>
      <c r="CXB36" s="73"/>
      <c r="CXC36" s="73"/>
      <c r="CXD36" s="73"/>
      <c r="CXE36" s="73"/>
      <c r="CXF36" s="73"/>
      <c r="CXG36" s="73"/>
      <c r="CXH36" s="73"/>
      <c r="CXI36" s="73"/>
      <c r="CXJ36" s="73"/>
      <c r="CXK36" s="73"/>
      <c r="CXL36" s="73"/>
      <c r="CXM36" s="73"/>
      <c r="CXN36" s="73"/>
      <c r="CXO36" s="73"/>
      <c r="CXP36" s="73"/>
      <c r="CXQ36" s="73"/>
      <c r="CXR36" s="73"/>
      <c r="CXS36" s="73"/>
      <c r="CXT36" s="73"/>
      <c r="CXU36" s="73"/>
      <c r="CXV36" s="73"/>
      <c r="CXW36" s="73"/>
      <c r="CXX36" s="73"/>
      <c r="CXY36" s="73"/>
      <c r="CXZ36" s="73"/>
      <c r="CYA36" s="73"/>
      <c r="CYB36" s="73"/>
      <c r="CYC36" s="73"/>
      <c r="CYD36" s="73"/>
      <c r="CYE36" s="73"/>
      <c r="CYF36" s="73"/>
      <c r="CYG36" s="73"/>
      <c r="CYH36" s="73"/>
      <c r="CYI36" s="73"/>
      <c r="CYJ36" s="73"/>
      <c r="CYK36" s="73"/>
      <c r="CYL36" s="73"/>
      <c r="CYM36" s="73"/>
      <c r="CYN36" s="73"/>
      <c r="CYO36" s="73"/>
      <c r="CYP36" s="73"/>
      <c r="CYQ36" s="73"/>
      <c r="CYR36" s="73"/>
      <c r="CYS36" s="73"/>
      <c r="CYT36" s="73"/>
      <c r="CYU36" s="73"/>
      <c r="CYV36" s="73"/>
      <c r="CYW36" s="73"/>
      <c r="CYX36" s="73"/>
      <c r="CYY36" s="73"/>
      <c r="CYZ36" s="73"/>
      <c r="CZA36" s="73"/>
      <c r="CZB36" s="73"/>
      <c r="CZC36" s="73"/>
      <c r="CZD36" s="73"/>
      <c r="CZE36" s="73"/>
      <c r="CZF36" s="73"/>
      <c r="CZG36" s="73"/>
      <c r="CZH36" s="73"/>
      <c r="CZI36" s="73"/>
      <c r="CZJ36" s="73"/>
      <c r="CZK36" s="73"/>
      <c r="CZL36" s="73"/>
      <c r="CZM36" s="73"/>
      <c r="CZN36" s="73"/>
      <c r="CZO36" s="73"/>
      <c r="CZP36" s="73"/>
      <c r="CZQ36" s="73"/>
      <c r="CZR36" s="73"/>
      <c r="CZS36" s="73"/>
      <c r="CZT36" s="73"/>
      <c r="CZU36" s="73"/>
      <c r="CZV36" s="73"/>
      <c r="CZW36" s="73"/>
      <c r="CZX36" s="73"/>
      <c r="CZY36" s="73"/>
      <c r="CZZ36" s="73"/>
      <c r="DAA36" s="73"/>
      <c r="DAB36" s="73"/>
      <c r="DAC36" s="73"/>
      <c r="DAD36" s="73"/>
      <c r="DAE36" s="73"/>
      <c r="DAF36" s="73"/>
      <c r="DAG36" s="73"/>
      <c r="DAH36" s="73"/>
      <c r="DAI36" s="73"/>
      <c r="DAJ36" s="73"/>
      <c r="DAK36" s="73"/>
      <c r="DAL36" s="73"/>
      <c r="DAM36" s="73"/>
      <c r="DAN36" s="73"/>
      <c r="DAO36" s="73"/>
      <c r="DAP36" s="73"/>
      <c r="DAQ36" s="73"/>
      <c r="DAR36" s="73"/>
      <c r="DAS36" s="73"/>
      <c r="DAT36" s="73"/>
      <c r="DAU36" s="73"/>
      <c r="DAV36" s="73"/>
      <c r="DAW36" s="73"/>
      <c r="DAX36" s="73"/>
      <c r="DAY36" s="73"/>
      <c r="DAZ36" s="73"/>
      <c r="DBA36" s="73"/>
      <c r="DBB36" s="73"/>
      <c r="DBC36" s="73"/>
      <c r="DBD36" s="73"/>
      <c r="DBE36" s="73"/>
      <c r="DBF36" s="73"/>
      <c r="DBG36" s="73"/>
      <c r="DBH36" s="73"/>
      <c r="DBI36" s="73"/>
      <c r="DBJ36" s="73"/>
      <c r="DBK36" s="73"/>
      <c r="DBL36" s="73"/>
      <c r="DBM36" s="73"/>
      <c r="DBN36" s="73"/>
      <c r="DBO36" s="73"/>
      <c r="DBP36" s="73"/>
      <c r="DBQ36" s="73"/>
      <c r="DBR36" s="73"/>
      <c r="DBS36" s="73"/>
      <c r="DBT36" s="73"/>
      <c r="DBU36" s="73"/>
      <c r="DBV36" s="73"/>
      <c r="DBW36" s="73"/>
      <c r="DBX36" s="73"/>
      <c r="DBY36" s="73"/>
      <c r="DBZ36" s="73"/>
      <c r="DCA36" s="73"/>
      <c r="DCB36" s="73"/>
      <c r="DCC36" s="73"/>
      <c r="DCD36" s="73"/>
      <c r="DCE36" s="73"/>
      <c r="DCF36" s="73"/>
      <c r="DCG36" s="73"/>
      <c r="DCH36" s="73"/>
      <c r="DCI36" s="73"/>
      <c r="DCJ36" s="73"/>
      <c r="DCK36" s="73"/>
      <c r="DCL36" s="73"/>
      <c r="DCM36" s="73"/>
      <c r="DCN36" s="73"/>
      <c r="DCO36" s="73"/>
      <c r="DCP36" s="73"/>
      <c r="DCQ36" s="73"/>
      <c r="DCR36" s="73"/>
      <c r="DCS36" s="73"/>
      <c r="DCT36" s="73"/>
      <c r="DCU36" s="73"/>
      <c r="DCV36" s="73"/>
      <c r="DCW36" s="73"/>
      <c r="DCX36" s="73"/>
      <c r="DCY36" s="73"/>
      <c r="DCZ36" s="73"/>
      <c r="DDA36" s="73"/>
      <c r="DDB36" s="73"/>
      <c r="DDC36" s="73"/>
      <c r="DDD36" s="73"/>
      <c r="DDE36" s="73"/>
      <c r="DDF36" s="73"/>
      <c r="DDG36" s="73"/>
      <c r="DDH36" s="73"/>
      <c r="DDI36" s="73"/>
      <c r="DDJ36" s="73"/>
      <c r="DDK36" s="73"/>
      <c r="DDL36" s="73"/>
      <c r="DDM36" s="73"/>
      <c r="DDN36" s="73"/>
      <c r="DDO36" s="73"/>
      <c r="DDP36" s="73"/>
      <c r="DDQ36" s="73"/>
      <c r="DDR36" s="73"/>
      <c r="DDS36" s="73"/>
      <c r="DDT36" s="73"/>
      <c r="DDU36" s="73"/>
      <c r="DDV36" s="73"/>
      <c r="DDW36" s="73"/>
      <c r="DDX36" s="73"/>
      <c r="DDY36" s="73"/>
      <c r="DDZ36" s="73"/>
      <c r="DEA36" s="73"/>
      <c r="DEB36" s="73"/>
      <c r="DEC36" s="73"/>
      <c r="DED36" s="73"/>
      <c r="DEE36" s="73"/>
      <c r="DEF36" s="73"/>
      <c r="DEG36" s="73"/>
      <c r="DEH36" s="73"/>
      <c r="DEI36" s="73"/>
      <c r="DEJ36" s="73"/>
      <c r="DEK36" s="73"/>
      <c r="DEL36" s="73"/>
      <c r="DEM36" s="73"/>
      <c r="DEN36" s="73"/>
      <c r="DEO36" s="73"/>
      <c r="DEP36" s="73"/>
      <c r="DEQ36" s="73"/>
      <c r="DER36" s="73"/>
      <c r="DES36" s="73"/>
      <c r="DET36" s="73"/>
      <c r="DEU36" s="73"/>
      <c r="DEV36" s="73"/>
      <c r="DEW36" s="73"/>
      <c r="DEX36" s="73"/>
      <c r="DEY36" s="73"/>
      <c r="DEZ36" s="73"/>
      <c r="DFA36" s="73"/>
      <c r="DFB36" s="73"/>
      <c r="DFC36" s="73"/>
      <c r="DFD36" s="73"/>
      <c r="DFE36" s="73"/>
      <c r="DFF36" s="73"/>
      <c r="DFG36" s="73"/>
      <c r="DFH36" s="73"/>
      <c r="DFI36" s="73"/>
      <c r="DFJ36" s="73"/>
      <c r="DFK36" s="73"/>
      <c r="DFL36" s="73"/>
      <c r="DFM36" s="73"/>
      <c r="DFN36" s="73"/>
      <c r="DFO36" s="73"/>
      <c r="DFP36" s="73"/>
      <c r="DFQ36" s="73"/>
      <c r="DFR36" s="73"/>
      <c r="DFS36" s="73"/>
      <c r="DFT36" s="73"/>
      <c r="DFU36" s="73"/>
      <c r="DFV36" s="73"/>
      <c r="DFW36" s="73"/>
      <c r="DFX36" s="73"/>
      <c r="DFY36" s="73"/>
      <c r="DFZ36" s="73"/>
      <c r="DGA36" s="73"/>
      <c r="DGB36" s="73"/>
      <c r="DGC36" s="73"/>
      <c r="DGD36" s="73"/>
      <c r="DGE36" s="73"/>
      <c r="DGF36" s="73"/>
      <c r="DGG36" s="73"/>
      <c r="DGH36" s="73"/>
      <c r="DGI36" s="73"/>
      <c r="DGJ36" s="73"/>
      <c r="DGK36" s="73"/>
      <c r="DGL36" s="73"/>
      <c r="DGM36" s="73"/>
      <c r="DGN36" s="73"/>
      <c r="DGO36" s="73"/>
      <c r="DGP36" s="73"/>
      <c r="DGQ36" s="73"/>
      <c r="DGR36" s="73"/>
      <c r="DGS36" s="73"/>
      <c r="DGT36" s="73"/>
      <c r="DGU36" s="73"/>
      <c r="DGV36" s="73"/>
      <c r="DGW36" s="73"/>
      <c r="DGX36" s="73"/>
      <c r="DGY36" s="73"/>
      <c r="DGZ36" s="73"/>
      <c r="DHA36" s="73"/>
      <c r="DHB36" s="73"/>
      <c r="DHC36" s="73"/>
      <c r="DHD36" s="73"/>
      <c r="DHE36" s="73"/>
      <c r="DHF36" s="73"/>
      <c r="DHG36" s="73"/>
      <c r="DHH36" s="73"/>
      <c r="DHI36" s="73"/>
      <c r="DHJ36" s="73"/>
      <c r="DHK36" s="73"/>
      <c r="DHL36" s="73"/>
      <c r="DHM36" s="73"/>
      <c r="DHN36" s="73"/>
      <c r="DHO36" s="73"/>
      <c r="DHP36" s="73"/>
      <c r="DHQ36" s="73"/>
      <c r="DHR36" s="73"/>
      <c r="DHS36" s="73"/>
      <c r="DHT36" s="73"/>
      <c r="DHU36" s="73"/>
      <c r="DHV36" s="73"/>
      <c r="DHW36" s="73"/>
      <c r="DHX36" s="73"/>
      <c r="DHY36" s="73"/>
      <c r="DHZ36" s="73"/>
      <c r="DIA36" s="73"/>
      <c r="DIB36" s="73"/>
      <c r="DIC36" s="73"/>
      <c r="DID36" s="73"/>
      <c r="DIE36" s="73"/>
      <c r="DIF36" s="73"/>
      <c r="DIG36" s="73"/>
      <c r="DIH36" s="73"/>
      <c r="DII36" s="73"/>
      <c r="DIJ36" s="73"/>
      <c r="DIK36" s="73"/>
      <c r="DIL36" s="73"/>
      <c r="DIM36" s="73"/>
      <c r="DIN36" s="73"/>
      <c r="DIO36" s="73"/>
      <c r="DIP36" s="73"/>
      <c r="DIQ36" s="73"/>
      <c r="DIR36" s="73"/>
      <c r="DIS36" s="73"/>
      <c r="DIT36" s="73"/>
      <c r="DIU36" s="73"/>
      <c r="DIV36" s="73"/>
      <c r="DIW36" s="73"/>
      <c r="DIX36" s="73"/>
      <c r="DIY36" s="73"/>
      <c r="DIZ36" s="73"/>
      <c r="DJA36" s="73"/>
      <c r="DJB36" s="73"/>
      <c r="DJC36" s="73"/>
      <c r="DJD36" s="73"/>
      <c r="DJE36" s="73"/>
      <c r="DJF36" s="73"/>
      <c r="DJG36" s="73"/>
      <c r="DJH36" s="73"/>
      <c r="DJI36" s="73"/>
      <c r="DJJ36" s="73"/>
      <c r="DJK36" s="73"/>
      <c r="DJL36" s="73"/>
      <c r="DJM36" s="73"/>
      <c r="DJN36" s="73"/>
      <c r="DJO36" s="73"/>
      <c r="DJP36" s="73"/>
      <c r="DJQ36" s="73"/>
      <c r="DJR36" s="73"/>
      <c r="DJS36" s="73"/>
      <c r="DJT36" s="73"/>
      <c r="DJU36" s="73"/>
      <c r="DJV36" s="73"/>
      <c r="DJW36" s="73"/>
      <c r="DJX36" s="73"/>
      <c r="DJY36" s="73"/>
      <c r="DJZ36" s="73"/>
      <c r="DKA36" s="73"/>
      <c r="DKB36" s="73"/>
      <c r="DKC36" s="73"/>
      <c r="DKD36" s="73"/>
      <c r="DKE36" s="73"/>
      <c r="DKF36" s="73"/>
      <c r="DKG36" s="73"/>
      <c r="DKH36" s="73"/>
      <c r="DKI36" s="73"/>
      <c r="DKJ36" s="73"/>
      <c r="DKK36" s="73"/>
      <c r="DKL36" s="73"/>
      <c r="DKM36" s="73"/>
      <c r="DKN36" s="73"/>
      <c r="DKO36" s="73"/>
      <c r="DKP36" s="73"/>
      <c r="DKQ36" s="73"/>
      <c r="DKR36" s="73"/>
      <c r="DKS36" s="73"/>
      <c r="DKT36" s="73"/>
      <c r="DKU36" s="73"/>
      <c r="DKV36" s="73"/>
      <c r="DKW36" s="73"/>
      <c r="DKX36" s="73"/>
      <c r="DKY36" s="73"/>
      <c r="DKZ36" s="73"/>
      <c r="DLA36" s="73"/>
      <c r="DLB36" s="73"/>
      <c r="DLC36" s="73"/>
      <c r="DLD36" s="73"/>
      <c r="DLE36" s="73"/>
      <c r="DLF36" s="73"/>
      <c r="DLG36" s="73"/>
      <c r="DLH36" s="73"/>
      <c r="DLI36" s="73"/>
      <c r="DLJ36" s="73"/>
      <c r="DLK36" s="73"/>
      <c r="DLL36" s="73"/>
      <c r="DLM36" s="73"/>
      <c r="DLN36" s="73"/>
      <c r="DLO36" s="73"/>
      <c r="DLP36" s="73"/>
      <c r="DLQ36" s="73"/>
      <c r="DLR36" s="73"/>
      <c r="DLS36" s="73"/>
      <c r="DLT36" s="73"/>
      <c r="DLU36" s="73"/>
      <c r="DLV36" s="73"/>
      <c r="DLW36" s="73"/>
      <c r="DLX36" s="73"/>
      <c r="DLY36" s="73"/>
      <c r="DLZ36" s="73"/>
      <c r="DMA36" s="73"/>
      <c r="DMB36" s="73"/>
      <c r="DMC36" s="73"/>
      <c r="DMD36" s="73"/>
      <c r="DME36" s="73"/>
      <c r="DMF36" s="73"/>
      <c r="DMG36" s="73"/>
      <c r="DMH36" s="73"/>
      <c r="DMI36" s="73"/>
      <c r="DMJ36" s="73"/>
      <c r="DMK36" s="73"/>
      <c r="DML36" s="73"/>
      <c r="DMM36" s="73"/>
      <c r="DMN36" s="73"/>
      <c r="DMO36" s="73"/>
      <c r="DMP36" s="73"/>
      <c r="DMQ36" s="73"/>
      <c r="DMR36" s="73"/>
      <c r="DMS36" s="73"/>
      <c r="DMT36" s="73"/>
      <c r="DMU36" s="73"/>
      <c r="DMV36" s="73"/>
      <c r="DMW36" s="73"/>
      <c r="DMX36" s="73"/>
      <c r="DMY36" s="73"/>
      <c r="DMZ36" s="73"/>
      <c r="DNA36" s="73"/>
      <c r="DNB36" s="73"/>
      <c r="DNC36" s="73"/>
      <c r="DND36" s="73"/>
      <c r="DNE36" s="73"/>
      <c r="DNF36" s="73"/>
      <c r="DNG36" s="73"/>
      <c r="DNH36" s="73"/>
      <c r="DNI36" s="73"/>
      <c r="DNJ36" s="73"/>
      <c r="DNK36" s="73"/>
      <c r="DNL36" s="73"/>
      <c r="DNM36" s="73"/>
      <c r="DNN36" s="73"/>
      <c r="DNO36" s="73"/>
      <c r="DNP36" s="73"/>
      <c r="DNQ36" s="73"/>
      <c r="DNR36" s="73"/>
      <c r="DNS36" s="73"/>
      <c r="DNT36" s="73"/>
      <c r="DNU36" s="73"/>
      <c r="DNV36" s="73"/>
      <c r="DNW36" s="73"/>
      <c r="DNX36" s="73"/>
      <c r="DNY36" s="73"/>
      <c r="DNZ36" s="73"/>
      <c r="DOA36" s="73"/>
      <c r="DOB36" s="73"/>
      <c r="DOC36" s="73"/>
      <c r="DOD36" s="73"/>
      <c r="DOE36" s="73"/>
      <c r="DOF36" s="73"/>
      <c r="DOG36" s="73"/>
      <c r="DOH36" s="73"/>
      <c r="DOI36" s="73"/>
      <c r="DOJ36" s="73"/>
      <c r="DOK36" s="73"/>
      <c r="DOL36" s="73"/>
      <c r="DOM36" s="73"/>
      <c r="DON36" s="73"/>
      <c r="DOO36" s="73"/>
      <c r="DOP36" s="73"/>
      <c r="DOQ36" s="73"/>
      <c r="DOR36" s="73"/>
      <c r="DOS36" s="73"/>
      <c r="DOT36" s="73"/>
      <c r="DOU36" s="73"/>
      <c r="DOV36" s="73"/>
      <c r="DOW36" s="73"/>
      <c r="DOX36" s="73"/>
      <c r="DOY36" s="73"/>
      <c r="DOZ36" s="73"/>
      <c r="DPA36" s="73"/>
      <c r="DPB36" s="73"/>
      <c r="DPC36" s="73"/>
      <c r="DPD36" s="73"/>
      <c r="DPE36" s="73"/>
      <c r="DPF36" s="73"/>
      <c r="DPG36" s="73"/>
      <c r="DPH36" s="73"/>
      <c r="DPI36" s="73"/>
      <c r="DPJ36" s="73"/>
      <c r="DPK36" s="73"/>
      <c r="DPL36" s="73"/>
      <c r="DPM36" s="73"/>
      <c r="DPN36" s="73"/>
      <c r="DPO36" s="73"/>
      <c r="DPP36" s="73"/>
      <c r="DPQ36" s="73"/>
      <c r="DPR36" s="73"/>
      <c r="DPS36" s="73"/>
      <c r="DPT36" s="73"/>
      <c r="DPU36" s="73"/>
      <c r="DPV36" s="73"/>
      <c r="DPW36" s="73"/>
      <c r="DPX36" s="73"/>
      <c r="DPY36" s="73"/>
      <c r="DPZ36" s="73"/>
      <c r="DQA36" s="73"/>
      <c r="DQB36" s="73"/>
      <c r="DQC36" s="73"/>
      <c r="DQD36" s="73"/>
      <c r="DQE36" s="73"/>
      <c r="DQF36" s="73"/>
      <c r="DQG36" s="73"/>
      <c r="DQH36" s="73"/>
      <c r="DQI36" s="73"/>
      <c r="DQJ36" s="73"/>
      <c r="DQK36" s="73"/>
      <c r="DQL36" s="73"/>
      <c r="DQM36" s="73"/>
      <c r="DQN36" s="73"/>
      <c r="DQO36" s="73"/>
      <c r="DQP36" s="73"/>
      <c r="DQQ36" s="73"/>
      <c r="DQR36" s="73"/>
      <c r="DQS36" s="73"/>
      <c r="DQT36" s="73"/>
      <c r="DQU36" s="73"/>
      <c r="DQV36" s="73"/>
      <c r="DQW36" s="73"/>
      <c r="DQX36" s="73"/>
      <c r="DQY36" s="73"/>
      <c r="DQZ36" s="73"/>
      <c r="DRA36" s="73"/>
      <c r="DRB36" s="73"/>
      <c r="DRC36" s="73"/>
      <c r="DRD36" s="73"/>
      <c r="DRE36" s="73"/>
      <c r="DRF36" s="73"/>
      <c r="DRG36" s="73"/>
      <c r="DRH36" s="73"/>
      <c r="DRI36" s="73"/>
      <c r="DRJ36" s="73"/>
      <c r="DRK36" s="73"/>
      <c r="DRL36" s="73"/>
      <c r="DRM36" s="73"/>
      <c r="DRN36" s="73"/>
      <c r="DRO36" s="73"/>
      <c r="DRP36" s="73"/>
      <c r="DRQ36" s="73"/>
      <c r="DRR36" s="73"/>
      <c r="DRS36" s="73"/>
      <c r="DRT36" s="73"/>
      <c r="DRU36" s="73"/>
      <c r="DRV36" s="73"/>
      <c r="DRW36" s="73"/>
      <c r="DRX36" s="73"/>
      <c r="DRY36" s="73"/>
      <c r="DRZ36" s="73"/>
      <c r="DSA36" s="73"/>
      <c r="DSB36" s="73"/>
      <c r="DSC36" s="73"/>
      <c r="DSD36" s="73"/>
      <c r="DSE36" s="73"/>
      <c r="DSF36" s="73"/>
      <c r="DSG36" s="73"/>
      <c r="DSH36" s="73"/>
      <c r="DSI36" s="73"/>
      <c r="DSJ36" s="73"/>
      <c r="DSK36" s="73"/>
      <c r="DSL36" s="73"/>
      <c r="DSM36" s="73"/>
      <c r="DSN36" s="73"/>
      <c r="DSO36" s="73"/>
      <c r="DSP36" s="73"/>
      <c r="DSQ36" s="73"/>
      <c r="DSR36" s="73"/>
      <c r="DSS36" s="73"/>
      <c r="DST36" s="73"/>
      <c r="DSU36" s="73"/>
      <c r="DSV36" s="73"/>
      <c r="DSW36" s="73"/>
      <c r="DSX36" s="73"/>
      <c r="DSY36" s="73"/>
      <c r="DSZ36" s="73"/>
      <c r="DTA36" s="73"/>
      <c r="DTB36" s="73"/>
      <c r="DTC36" s="73"/>
      <c r="DTD36" s="73"/>
      <c r="DTE36" s="73"/>
      <c r="DTF36" s="73"/>
      <c r="DTG36" s="73"/>
      <c r="DTH36" s="73"/>
      <c r="DTI36" s="73"/>
      <c r="DTJ36" s="73"/>
      <c r="DTK36" s="73"/>
      <c r="DTL36" s="73"/>
      <c r="DTM36" s="73"/>
      <c r="DTN36" s="73"/>
      <c r="DTO36" s="73"/>
      <c r="DTP36" s="73"/>
      <c r="DTQ36" s="73"/>
      <c r="DTR36" s="73"/>
      <c r="DTS36" s="73"/>
      <c r="DTT36" s="73"/>
      <c r="DTU36" s="73"/>
      <c r="DTV36" s="73"/>
      <c r="DTW36" s="73"/>
      <c r="DTX36" s="73"/>
      <c r="DTY36" s="73"/>
      <c r="DTZ36" s="73"/>
      <c r="DUA36" s="73"/>
      <c r="DUB36" s="73"/>
      <c r="DUC36" s="73"/>
      <c r="DUD36" s="73"/>
      <c r="DUE36" s="73"/>
      <c r="DUF36" s="73"/>
      <c r="DUG36" s="73"/>
      <c r="DUH36" s="73"/>
      <c r="DUI36" s="73"/>
      <c r="DUJ36" s="73"/>
      <c r="DUK36" s="73"/>
      <c r="DUL36" s="73"/>
      <c r="DUM36" s="73"/>
      <c r="DUN36" s="73"/>
      <c r="DUO36" s="73"/>
      <c r="DUP36" s="73"/>
      <c r="DUQ36" s="73"/>
      <c r="DUR36" s="73"/>
      <c r="DUS36" s="73"/>
      <c r="DUT36" s="73"/>
      <c r="DUU36" s="73"/>
      <c r="DUV36" s="73"/>
      <c r="DUW36" s="73"/>
      <c r="DUX36" s="73"/>
      <c r="DUY36" s="73"/>
      <c r="DUZ36" s="73"/>
      <c r="DVA36" s="73"/>
      <c r="DVB36" s="73"/>
      <c r="DVC36" s="73"/>
      <c r="DVD36" s="73"/>
      <c r="DVE36" s="73"/>
      <c r="DVF36" s="73"/>
      <c r="DVG36" s="73"/>
      <c r="DVH36" s="73"/>
      <c r="DVI36" s="73"/>
      <c r="DVJ36" s="73"/>
      <c r="DVK36" s="73"/>
      <c r="DVL36" s="73"/>
      <c r="DVM36" s="73"/>
      <c r="DVN36" s="73"/>
      <c r="DVO36" s="73"/>
      <c r="DVP36" s="73"/>
      <c r="DVQ36" s="73"/>
      <c r="DVR36" s="73"/>
      <c r="DVS36" s="73"/>
      <c r="DVT36" s="73"/>
      <c r="DVU36" s="73"/>
      <c r="DVV36" s="73"/>
      <c r="DVW36" s="73"/>
      <c r="DVX36" s="73"/>
      <c r="DVY36" s="73"/>
      <c r="DVZ36" s="73"/>
      <c r="DWA36" s="73"/>
      <c r="DWB36" s="73"/>
      <c r="DWC36" s="73"/>
      <c r="DWD36" s="73"/>
      <c r="DWE36" s="73"/>
      <c r="DWF36" s="73"/>
      <c r="DWG36" s="73"/>
      <c r="DWH36" s="73"/>
      <c r="DWI36" s="73"/>
      <c r="DWJ36" s="73"/>
      <c r="DWK36" s="73"/>
      <c r="DWL36" s="73"/>
      <c r="DWM36" s="73"/>
      <c r="DWN36" s="73"/>
      <c r="DWO36" s="73"/>
      <c r="DWP36" s="73"/>
      <c r="DWQ36" s="73"/>
      <c r="DWR36" s="73"/>
      <c r="DWS36" s="73"/>
      <c r="DWT36" s="73"/>
      <c r="DWU36" s="73"/>
      <c r="DWV36" s="73"/>
      <c r="DWW36" s="73"/>
      <c r="DWX36" s="73"/>
      <c r="DWY36" s="73"/>
      <c r="DWZ36" s="73"/>
      <c r="DXA36" s="73"/>
      <c r="DXB36" s="73"/>
      <c r="DXC36" s="73"/>
      <c r="DXD36" s="73"/>
      <c r="DXE36" s="73"/>
      <c r="DXF36" s="73"/>
      <c r="DXG36" s="73"/>
      <c r="DXH36" s="73"/>
      <c r="DXI36" s="73"/>
      <c r="DXJ36" s="73"/>
      <c r="DXK36" s="73"/>
      <c r="DXL36" s="73"/>
      <c r="DXM36" s="73"/>
      <c r="DXN36" s="73"/>
      <c r="DXO36" s="73"/>
      <c r="DXP36" s="73"/>
      <c r="DXQ36" s="73"/>
      <c r="DXR36" s="73"/>
      <c r="DXS36" s="73"/>
      <c r="DXT36" s="73"/>
      <c r="DXU36" s="73"/>
      <c r="DXV36" s="73"/>
      <c r="DXW36" s="73"/>
      <c r="DXX36" s="73"/>
      <c r="DXY36" s="73"/>
      <c r="DXZ36" s="73"/>
      <c r="DYA36" s="73"/>
      <c r="DYB36" s="73"/>
      <c r="DYC36" s="73"/>
      <c r="DYD36" s="73"/>
      <c r="DYE36" s="73"/>
      <c r="DYF36" s="73"/>
      <c r="DYG36" s="73"/>
      <c r="DYH36" s="73"/>
      <c r="DYI36" s="73"/>
      <c r="DYJ36" s="73"/>
      <c r="DYK36" s="73"/>
      <c r="DYL36" s="73"/>
      <c r="DYM36" s="73"/>
      <c r="DYN36" s="73"/>
      <c r="DYO36" s="73"/>
      <c r="DYP36" s="73"/>
      <c r="DYQ36" s="73"/>
      <c r="DYR36" s="73"/>
      <c r="DYS36" s="73"/>
      <c r="DYT36" s="73"/>
      <c r="DYU36" s="73"/>
      <c r="DYV36" s="73"/>
      <c r="DYW36" s="73"/>
      <c r="DYX36" s="73"/>
      <c r="DYY36" s="73"/>
      <c r="DYZ36" s="73"/>
      <c r="DZA36" s="73"/>
      <c r="DZB36" s="73"/>
      <c r="DZC36" s="73"/>
      <c r="DZD36" s="73"/>
      <c r="DZE36" s="73"/>
      <c r="DZF36" s="73"/>
      <c r="DZG36" s="73"/>
      <c r="DZH36" s="73"/>
      <c r="DZI36" s="73"/>
      <c r="DZJ36" s="73"/>
      <c r="DZK36" s="73"/>
      <c r="DZL36" s="73"/>
      <c r="DZM36" s="73"/>
      <c r="DZN36" s="73"/>
      <c r="DZO36" s="73"/>
      <c r="DZP36" s="73"/>
      <c r="DZQ36" s="73"/>
      <c r="DZR36" s="73"/>
      <c r="DZS36" s="73"/>
      <c r="DZT36" s="73"/>
      <c r="DZU36" s="73"/>
      <c r="DZV36" s="73"/>
      <c r="DZW36" s="73"/>
      <c r="DZX36" s="73"/>
      <c r="DZY36" s="73"/>
      <c r="DZZ36" s="73"/>
      <c r="EAA36" s="73"/>
      <c r="EAB36" s="73"/>
      <c r="EAC36" s="73"/>
      <c r="EAD36" s="73"/>
      <c r="EAE36" s="73"/>
      <c r="EAF36" s="73"/>
      <c r="EAG36" s="73"/>
      <c r="EAH36" s="73"/>
      <c r="EAI36" s="73"/>
      <c r="EAJ36" s="73"/>
      <c r="EAK36" s="73"/>
      <c r="EAL36" s="73"/>
      <c r="EAM36" s="73"/>
      <c r="EAN36" s="73"/>
      <c r="EAO36" s="73"/>
      <c r="EAP36" s="73"/>
      <c r="EAQ36" s="73"/>
      <c r="EAR36" s="73"/>
      <c r="EAS36" s="73"/>
      <c r="EAT36" s="73"/>
      <c r="EAU36" s="73"/>
      <c r="EAV36" s="73"/>
      <c r="EAW36" s="73"/>
      <c r="EAX36" s="73"/>
      <c r="EAY36" s="73"/>
      <c r="EAZ36" s="73"/>
      <c r="EBA36" s="73"/>
      <c r="EBB36" s="73"/>
      <c r="EBC36" s="73"/>
      <c r="EBD36" s="73"/>
      <c r="EBE36" s="73"/>
      <c r="EBF36" s="73"/>
      <c r="EBG36" s="73"/>
      <c r="EBH36" s="73"/>
      <c r="EBI36" s="73"/>
      <c r="EBJ36" s="73"/>
      <c r="EBK36" s="73"/>
      <c r="EBL36" s="73"/>
      <c r="EBM36" s="73"/>
      <c r="EBN36" s="73"/>
      <c r="EBO36" s="73"/>
      <c r="EBP36" s="73"/>
      <c r="EBQ36" s="73"/>
      <c r="EBR36" s="73"/>
      <c r="EBS36" s="73"/>
      <c r="EBT36" s="73"/>
      <c r="EBU36" s="73"/>
      <c r="EBV36" s="73"/>
      <c r="EBW36" s="73"/>
      <c r="EBX36" s="73"/>
      <c r="EBY36" s="73"/>
      <c r="EBZ36" s="73"/>
      <c r="ECA36" s="73"/>
      <c r="ECB36" s="73"/>
      <c r="ECC36" s="73"/>
      <c r="ECD36" s="73"/>
      <c r="ECE36" s="73"/>
      <c r="ECF36" s="73"/>
      <c r="ECG36" s="73"/>
      <c r="ECH36" s="73"/>
      <c r="ECI36" s="73"/>
      <c r="ECJ36" s="73"/>
      <c r="ECK36" s="73"/>
      <c r="ECL36" s="73"/>
      <c r="ECM36" s="73"/>
      <c r="ECN36" s="73"/>
      <c r="ECO36" s="73"/>
      <c r="ECP36" s="73"/>
      <c r="ECQ36" s="73"/>
      <c r="ECR36" s="73"/>
      <c r="ECS36" s="73"/>
      <c r="ECT36" s="73"/>
      <c r="ECU36" s="73"/>
      <c r="ECV36" s="73"/>
      <c r="ECW36" s="73"/>
      <c r="ECX36" s="73"/>
      <c r="ECY36" s="73"/>
      <c r="ECZ36" s="73"/>
      <c r="EDA36" s="73"/>
      <c r="EDB36" s="73"/>
      <c r="EDC36" s="73"/>
      <c r="EDD36" s="73"/>
      <c r="EDE36" s="73"/>
      <c r="EDF36" s="73"/>
      <c r="EDG36" s="73"/>
      <c r="EDH36" s="73"/>
      <c r="EDI36" s="73"/>
      <c r="EDJ36" s="73"/>
      <c r="EDK36" s="73"/>
      <c r="EDL36" s="73"/>
      <c r="EDM36" s="73"/>
      <c r="EDN36" s="73"/>
      <c r="EDO36" s="73"/>
      <c r="EDP36" s="73"/>
      <c r="EDQ36" s="73"/>
      <c r="EDR36" s="73"/>
      <c r="EDS36" s="73"/>
      <c r="EDT36" s="73"/>
      <c r="EDU36" s="73"/>
      <c r="EDV36" s="73"/>
      <c r="EDW36" s="73"/>
      <c r="EDX36" s="73"/>
      <c r="EDY36" s="73"/>
      <c r="EDZ36" s="73"/>
      <c r="EEA36" s="73"/>
      <c r="EEB36" s="73"/>
      <c r="EEC36" s="73"/>
      <c r="EED36" s="73"/>
      <c r="EEE36" s="73"/>
      <c r="EEF36" s="73"/>
      <c r="EEG36" s="73"/>
      <c r="EEH36" s="73"/>
      <c r="EEI36" s="73"/>
      <c r="EEJ36" s="73"/>
      <c r="EEK36" s="73"/>
      <c r="EEL36" s="73"/>
      <c r="EEM36" s="73"/>
      <c r="EEN36" s="73"/>
      <c r="EEO36" s="73"/>
      <c r="EEP36" s="73"/>
      <c r="EEQ36" s="73"/>
      <c r="EER36" s="73"/>
      <c r="EES36" s="73"/>
      <c r="EET36" s="73"/>
      <c r="EEU36" s="73"/>
      <c r="EEV36" s="73"/>
      <c r="EEW36" s="73"/>
      <c r="EEX36" s="73"/>
      <c r="EEY36" s="73"/>
      <c r="EEZ36" s="73"/>
      <c r="EFA36" s="73"/>
      <c r="EFB36" s="73"/>
      <c r="EFC36" s="73"/>
      <c r="EFD36" s="73"/>
      <c r="EFE36" s="73"/>
      <c r="EFF36" s="73"/>
      <c r="EFG36" s="73"/>
      <c r="EFH36" s="73"/>
      <c r="EFI36" s="73"/>
      <c r="EFJ36" s="73"/>
      <c r="EFK36" s="73"/>
      <c r="EFL36" s="73"/>
      <c r="EFM36" s="73"/>
      <c r="EFN36" s="73"/>
      <c r="EFO36" s="73"/>
      <c r="EFP36" s="73"/>
      <c r="EFQ36" s="73"/>
      <c r="EFR36" s="73"/>
      <c r="EFS36" s="73"/>
      <c r="EFT36" s="73"/>
      <c r="EFU36" s="73"/>
      <c r="EFV36" s="73"/>
      <c r="EFW36" s="73"/>
      <c r="EFX36" s="73"/>
      <c r="EFY36" s="73"/>
      <c r="EFZ36" s="73"/>
      <c r="EGA36" s="73"/>
      <c r="EGB36" s="73"/>
      <c r="EGC36" s="73"/>
      <c r="EGD36" s="73"/>
      <c r="EGE36" s="73"/>
      <c r="EGF36" s="73"/>
      <c r="EGG36" s="73"/>
      <c r="EGH36" s="73"/>
      <c r="EGI36" s="73"/>
      <c r="EGJ36" s="73"/>
      <c r="EGK36" s="73"/>
      <c r="EGL36" s="73"/>
      <c r="EGM36" s="73"/>
      <c r="EGN36" s="73"/>
      <c r="EGO36" s="73"/>
      <c r="EGP36" s="73"/>
      <c r="EGQ36" s="73"/>
      <c r="EGR36" s="73"/>
      <c r="EGS36" s="73"/>
      <c r="EGT36" s="73"/>
      <c r="EGU36" s="73"/>
      <c r="EGV36" s="73"/>
      <c r="EGW36" s="73"/>
      <c r="EGX36" s="73"/>
      <c r="EGY36" s="73"/>
      <c r="EGZ36" s="73"/>
      <c r="EHA36" s="73"/>
      <c r="EHB36" s="73"/>
      <c r="EHC36" s="73"/>
      <c r="EHD36" s="73"/>
      <c r="EHE36" s="73"/>
      <c r="EHF36" s="73"/>
      <c r="EHG36" s="73"/>
      <c r="EHH36" s="73"/>
      <c r="EHI36" s="73"/>
      <c r="EHJ36" s="73"/>
      <c r="EHK36" s="73"/>
      <c r="EHL36" s="73"/>
      <c r="EHM36" s="73"/>
      <c r="EHN36" s="73"/>
      <c r="EHO36" s="73"/>
      <c r="EHP36" s="73"/>
      <c r="EHQ36" s="73"/>
      <c r="EHR36" s="73"/>
      <c r="EHS36" s="73"/>
      <c r="EHT36" s="73"/>
      <c r="EHU36" s="73"/>
      <c r="EHV36" s="73"/>
      <c r="EHW36" s="73"/>
      <c r="EHX36" s="73"/>
      <c r="EHY36" s="73"/>
      <c r="EHZ36" s="73"/>
      <c r="EIA36" s="73"/>
      <c r="EIB36" s="73"/>
      <c r="EIC36" s="73"/>
      <c r="EID36" s="73"/>
      <c r="EIE36" s="73"/>
      <c r="EIF36" s="73"/>
      <c r="EIG36" s="73"/>
      <c r="EIH36" s="73"/>
      <c r="EII36" s="73"/>
      <c r="EIJ36" s="73"/>
      <c r="EIK36" s="73"/>
      <c r="EIL36" s="73"/>
      <c r="EIM36" s="73"/>
      <c r="EIN36" s="73"/>
      <c r="EIO36" s="73"/>
      <c r="EIP36" s="73"/>
      <c r="EIQ36" s="73"/>
      <c r="EIR36" s="73"/>
      <c r="EIS36" s="73"/>
      <c r="EIT36" s="73"/>
      <c r="EIU36" s="73"/>
      <c r="EIV36" s="73"/>
      <c r="EIW36" s="73"/>
      <c r="EIX36" s="73"/>
      <c r="EIY36" s="73"/>
      <c r="EIZ36" s="73"/>
      <c r="EJA36" s="73"/>
      <c r="EJB36" s="73"/>
      <c r="EJC36" s="73"/>
      <c r="EJD36" s="73"/>
      <c r="EJE36" s="73"/>
      <c r="EJF36" s="73"/>
      <c r="EJG36" s="73"/>
      <c r="EJH36" s="73"/>
      <c r="EJI36" s="73"/>
      <c r="EJJ36" s="73"/>
      <c r="EJK36" s="73"/>
      <c r="EJL36" s="73"/>
      <c r="EJM36" s="73"/>
      <c r="EJN36" s="73"/>
      <c r="EJO36" s="73"/>
      <c r="EJP36" s="73"/>
      <c r="EJQ36" s="73"/>
      <c r="EJR36" s="73"/>
      <c r="EJS36" s="73"/>
      <c r="EJT36" s="73"/>
      <c r="EJU36" s="73"/>
      <c r="EJV36" s="73"/>
      <c r="EJW36" s="73"/>
      <c r="EJX36" s="73"/>
      <c r="EJY36" s="73"/>
      <c r="EJZ36" s="73"/>
      <c r="EKA36" s="73"/>
      <c r="EKB36" s="73"/>
      <c r="EKC36" s="73"/>
      <c r="EKD36" s="73"/>
      <c r="EKE36" s="73"/>
      <c r="EKF36" s="73"/>
      <c r="EKG36" s="73"/>
      <c r="EKH36" s="73"/>
      <c r="EKI36" s="73"/>
      <c r="EKJ36" s="73"/>
      <c r="EKK36" s="73"/>
      <c r="EKL36" s="73"/>
      <c r="EKM36" s="73"/>
      <c r="EKN36" s="73"/>
      <c r="EKO36" s="73"/>
      <c r="EKP36" s="73"/>
      <c r="EKQ36" s="73"/>
      <c r="EKR36" s="73"/>
      <c r="EKS36" s="73"/>
      <c r="EKT36" s="73"/>
      <c r="EKU36" s="73"/>
      <c r="EKV36" s="73"/>
      <c r="EKW36" s="73"/>
      <c r="EKX36" s="73"/>
      <c r="EKY36" s="73"/>
      <c r="EKZ36" s="73"/>
      <c r="ELA36" s="73"/>
      <c r="ELB36" s="73"/>
      <c r="ELC36" s="73"/>
      <c r="ELD36" s="73"/>
      <c r="ELE36" s="73"/>
      <c r="ELF36" s="73"/>
      <c r="ELG36" s="73"/>
      <c r="ELH36" s="73"/>
      <c r="ELI36" s="73"/>
      <c r="ELJ36" s="73"/>
      <c r="ELK36" s="73"/>
      <c r="ELL36" s="73"/>
      <c r="ELM36" s="73"/>
      <c r="ELN36" s="73"/>
      <c r="ELO36" s="73"/>
      <c r="ELP36" s="73"/>
      <c r="ELQ36" s="73"/>
      <c r="ELR36" s="73"/>
      <c r="ELS36" s="73"/>
      <c r="ELT36" s="73"/>
      <c r="ELU36" s="73"/>
      <c r="ELV36" s="73"/>
      <c r="ELW36" s="73"/>
      <c r="ELX36" s="73"/>
      <c r="ELY36" s="73"/>
      <c r="ELZ36" s="73"/>
      <c r="EMA36" s="73"/>
      <c r="EMB36" s="73"/>
      <c r="EMC36" s="73"/>
      <c r="EMD36" s="73"/>
      <c r="EME36" s="73"/>
      <c r="EMF36" s="73"/>
      <c r="EMG36" s="73"/>
      <c r="EMH36" s="73"/>
      <c r="EMI36" s="73"/>
      <c r="EMJ36" s="73"/>
      <c r="EMK36" s="73"/>
      <c r="EML36" s="73"/>
      <c r="EMM36" s="73"/>
      <c r="EMN36" s="73"/>
      <c r="EMO36" s="73"/>
      <c r="EMP36" s="73"/>
      <c r="EMQ36" s="73"/>
      <c r="EMR36" s="73"/>
      <c r="EMS36" s="73"/>
      <c r="EMT36" s="73"/>
      <c r="EMU36" s="73"/>
      <c r="EMV36" s="73"/>
      <c r="EMW36" s="73"/>
      <c r="EMX36" s="73"/>
      <c r="EMY36" s="73"/>
      <c r="EMZ36" s="73"/>
      <c r="ENA36" s="73"/>
      <c r="ENB36" s="73"/>
      <c r="ENC36" s="73"/>
      <c r="END36" s="73"/>
      <c r="ENE36" s="73"/>
      <c r="ENF36" s="73"/>
      <c r="ENG36" s="73"/>
      <c r="ENH36" s="73"/>
      <c r="ENI36" s="73"/>
      <c r="ENJ36" s="73"/>
      <c r="ENK36" s="73"/>
      <c r="ENL36" s="73"/>
      <c r="ENM36" s="73"/>
      <c r="ENN36" s="73"/>
      <c r="ENO36" s="73"/>
      <c r="ENP36" s="73"/>
      <c r="ENQ36" s="73"/>
      <c r="ENR36" s="73"/>
      <c r="ENS36" s="73"/>
      <c r="ENT36" s="73"/>
      <c r="ENU36" s="73"/>
      <c r="ENV36" s="73"/>
      <c r="ENW36" s="73"/>
      <c r="ENX36" s="73"/>
      <c r="ENY36" s="73"/>
      <c r="ENZ36" s="73"/>
      <c r="EOA36" s="73"/>
      <c r="EOB36" s="73"/>
      <c r="EOC36" s="73"/>
      <c r="EOD36" s="73"/>
      <c r="EOE36" s="73"/>
      <c r="EOF36" s="73"/>
      <c r="EOG36" s="73"/>
      <c r="EOH36" s="73"/>
      <c r="EOI36" s="73"/>
      <c r="EOJ36" s="73"/>
      <c r="EOK36" s="73"/>
      <c r="EOL36" s="73"/>
      <c r="EOM36" s="73"/>
      <c r="EON36" s="73"/>
      <c r="EOO36" s="73"/>
      <c r="EOP36" s="73"/>
      <c r="EOQ36" s="73"/>
      <c r="EOR36" s="73"/>
      <c r="EOS36" s="73"/>
      <c r="EOT36" s="73"/>
      <c r="EOU36" s="73"/>
      <c r="EOV36" s="73"/>
      <c r="EOW36" s="73"/>
      <c r="EOX36" s="73"/>
      <c r="EOY36" s="73"/>
      <c r="EOZ36" s="73"/>
      <c r="EPA36" s="73"/>
      <c r="EPB36" s="73"/>
      <c r="EPC36" s="73"/>
      <c r="EPD36" s="73"/>
      <c r="EPE36" s="73"/>
      <c r="EPF36" s="73"/>
      <c r="EPG36" s="73"/>
      <c r="EPH36" s="73"/>
      <c r="EPI36" s="73"/>
      <c r="EPJ36" s="73"/>
      <c r="EPK36" s="73"/>
      <c r="EPL36" s="73"/>
      <c r="EPM36" s="73"/>
      <c r="EPN36" s="73"/>
      <c r="EPO36" s="73"/>
      <c r="EPP36" s="73"/>
      <c r="EPQ36" s="73"/>
      <c r="EPR36" s="73"/>
      <c r="EPS36" s="73"/>
      <c r="EPT36" s="73"/>
      <c r="EPU36" s="73"/>
      <c r="EPV36" s="73"/>
      <c r="EPW36" s="73"/>
      <c r="EPX36" s="73"/>
      <c r="EPY36" s="73"/>
      <c r="EPZ36" s="73"/>
      <c r="EQA36" s="73"/>
      <c r="EQB36" s="73"/>
      <c r="EQC36" s="73"/>
      <c r="EQD36" s="73"/>
      <c r="EQE36" s="73"/>
      <c r="EQF36" s="73"/>
      <c r="EQG36" s="73"/>
      <c r="EQH36" s="73"/>
      <c r="EQI36" s="73"/>
      <c r="EQJ36" s="73"/>
      <c r="EQK36" s="73"/>
      <c r="EQL36" s="73"/>
      <c r="EQM36" s="73"/>
      <c r="EQN36" s="73"/>
      <c r="EQO36" s="73"/>
      <c r="EQP36" s="73"/>
      <c r="EQQ36" s="73"/>
      <c r="EQR36" s="73"/>
      <c r="EQS36" s="73"/>
      <c r="EQT36" s="73"/>
      <c r="EQU36" s="73"/>
      <c r="EQV36" s="73"/>
      <c r="EQW36" s="73"/>
      <c r="EQX36" s="73"/>
      <c r="EQY36" s="73"/>
      <c r="EQZ36" s="73"/>
      <c r="ERA36" s="73"/>
      <c r="ERB36" s="73"/>
      <c r="ERC36" s="73"/>
      <c r="ERD36" s="73"/>
      <c r="ERE36" s="73"/>
      <c r="ERF36" s="73"/>
      <c r="ERG36" s="73"/>
      <c r="ERH36" s="73"/>
      <c r="ERI36" s="73"/>
      <c r="ERJ36" s="73"/>
      <c r="ERK36" s="73"/>
      <c r="ERL36" s="73"/>
      <c r="ERM36" s="73"/>
      <c r="ERN36" s="73"/>
      <c r="ERO36" s="73"/>
      <c r="ERP36" s="73"/>
      <c r="ERQ36" s="73"/>
      <c r="ERR36" s="73"/>
      <c r="ERS36" s="73"/>
      <c r="ERT36" s="73"/>
      <c r="ERU36" s="73"/>
      <c r="ERV36" s="73"/>
      <c r="ERW36" s="73"/>
      <c r="ERX36" s="73"/>
      <c r="ERY36" s="73"/>
      <c r="ERZ36" s="73"/>
      <c r="ESA36" s="73"/>
      <c r="ESB36" s="73"/>
      <c r="ESC36" s="73"/>
      <c r="ESD36" s="73"/>
      <c r="ESE36" s="73"/>
      <c r="ESF36" s="73"/>
      <c r="ESG36" s="73"/>
      <c r="ESH36" s="73"/>
      <c r="ESI36" s="73"/>
      <c r="ESJ36" s="73"/>
      <c r="ESK36" s="73"/>
      <c r="ESL36" s="73"/>
      <c r="ESM36" s="73"/>
      <c r="ESN36" s="73"/>
      <c r="ESO36" s="73"/>
      <c r="ESP36" s="73"/>
      <c r="ESQ36" s="73"/>
      <c r="ESR36" s="73"/>
      <c r="ESS36" s="73"/>
      <c r="EST36" s="73"/>
      <c r="ESU36" s="73"/>
      <c r="ESV36" s="73"/>
      <c r="ESW36" s="73"/>
      <c r="ESX36" s="73"/>
      <c r="ESY36" s="73"/>
      <c r="ESZ36" s="73"/>
      <c r="ETA36" s="73"/>
      <c r="ETB36" s="73"/>
      <c r="ETC36" s="73"/>
      <c r="ETD36" s="73"/>
      <c r="ETE36" s="73"/>
      <c r="ETF36" s="73"/>
      <c r="ETG36" s="73"/>
      <c r="ETH36" s="73"/>
      <c r="ETI36" s="73"/>
      <c r="ETJ36" s="73"/>
      <c r="ETK36" s="73"/>
      <c r="ETL36" s="73"/>
      <c r="ETM36" s="73"/>
      <c r="ETN36" s="73"/>
      <c r="ETO36" s="73"/>
      <c r="ETP36" s="73"/>
      <c r="ETQ36" s="73"/>
      <c r="ETR36" s="73"/>
      <c r="ETS36" s="73"/>
      <c r="ETT36" s="73"/>
      <c r="ETU36" s="73"/>
      <c r="ETV36" s="73"/>
      <c r="ETW36" s="73"/>
      <c r="ETX36" s="73"/>
      <c r="ETY36" s="73"/>
      <c r="ETZ36" s="73"/>
      <c r="EUA36" s="73"/>
      <c r="EUB36" s="73"/>
      <c r="EUC36" s="73"/>
      <c r="EUD36" s="73"/>
      <c r="EUE36" s="73"/>
      <c r="EUF36" s="73"/>
      <c r="EUG36" s="73"/>
      <c r="EUH36" s="73"/>
      <c r="EUI36" s="73"/>
      <c r="EUJ36" s="73"/>
      <c r="EUK36" s="73"/>
      <c r="EUL36" s="73"/>
      <c r="EUM36" s="73"/>
      <c r="EUN36" s="73"/>
      <c r="EUO36" s="73"/>
      <c r="EUP36" s="73"/>
      <c r="EUQ36" s="73"/>
      <c r="EUR36" s="73"/>
      <c r="EUS36" s="73"/>
      <c r="EUT36" s="73"/>
      <c r="EUU36" s="73"/>
      <c r="EUV36" s="73"/>
      <c r="EUW36" s="73"/>
      <c r="EUX36" s="73"/>
      <c r="EUY36" s="73"/>
      <c r="EUZ36" s="73"/>
      <c r="EVA36" s="73"/>
      <c r="EVB36" s="73"/>
      <c r="EVC36" s="73"/>
      <c r="EVD36" s="73"/>
      <c r="EVE36" s="73"/>
      <c r="EVF36" s="73"/>
      <c r="EVG36" s="73"/>
      <c r="EVH36" s="73"/>
      <c r="EVI36" s="73"/>
      <c r="EVJ36" s="73"/>
      <c r="EVK36" s="73"/>
      <c r="EVL36" s="73"/>
      <c r="EVM36" s="73"/>
      <c r="EVN36" s="73"/>
      <c r="EVO36" s="73"/>
      <c r="EVP36" s="73"/>
      <c r="EVQ36" s="73"/>
      <c r="EVR36" s="73"/>
      <c r="EVS36" s="73"/>
      <c r="EVT36" s="73"/>
      <c r="EVU36" s="73"/>
      <c r="EVV36" s="73"/>
      <c r="EVW36" s="73"/>
      <c r="EVX36" s="73"/>
      <c r="EVY36" s="73"/>
      <c r="EVZ36" s="73"/>
      <c r="EWA36" s="73"/>
      <c r="EWB36" s="73"/>
      <c r="EWC36" s="73"/>
      <c r="EWD36" s="73"/>
      <c r="EWE36" s="73"/>
      <c r="EWF36" s="73"/>
      <c r="EWG36" s="73"/>
      <c r="EWH36" s="73"/>
      <c r="EWI36" s="73"/>
      <c r="EWJ36" s="73"/>
      <c r="EWK36" s="73"/>
      <c r="EWL36" s="73"/>
      <c r="EWM36" s="73"/>
      <c r="EWN36" s="73"/>
      <c r="EWO36" s="73"/>
      <c r="EWP36" s="73"/>
      <c r="EWQ36" s="73"/>
      <c r="EWR36" s="73"/>
      <c r="EWS36" s="73"/>
      <c r="EWT36" s="73"/>
      <c r="EWU36" s="73"/>
      <c r="EWV36" s="73"/>
      <c r="EWW36" s="73"/>
      <c r="EWX36" s="73"/>
      <c r="EWY36" s="73"/>
      <c r="EWZ36" s="73"/>
      <c r="EXA36" s="73"/>
      <c r="EXB36" s="73"/>
      <c r="EXC36" s="73"/>
      <c r="EXD36" s="73"/>
      <c r="EXE36" s="73"/>
      <c r="EXF36" s="73"/>
      <c r="EXG36" s="73"/>
      <c r="EXH36" s="73"/>
      <c r="EXI36" s="73"/>
      <c r="EXJ36" s="73"/>
      <c r="EXK36" s="73"/>
      <c r="EXL36" s="73"/>
      <c r="EXM36" s="73"/>
      <c r="EXN36" s="73"/>
      <c r="EXO36" s="73"/>
      <c r="EXP36" s="73"/>
      <c r="EXQ36" s="73"/>
      <c r="EXR36" s="73"/>
      <c r="EXS36" s="73"/>
      <c r="EXT36" s="73"/>
      <c r="EXU36" s="73"/>
      <c r="EXV36" s="73"/>
      <c r="EXW36" s="73"/>
      <c r="EXX36" s="73"/>
      <c r="EXY36" s="73"/>
      <c r="EXZ36" s="73"/>
      <c r="EYA36" s="73"/>
      <c r="EYB36" s="73"/>
      <c r="EYC36" s="73"/>
      <c r="EYD36" s="73"/>
      <c r="EYE36" s="73"/>
      <c r="EYF36" s="73"/>
      <c r="EYG36" s="73"/>
      <c r="EYH36" s="73"/>
      <c r="EYI36" s="73"/>
      <c r="EYJ36" s="73"/>
      <c r="EYK36" s="73"/>
      <c r="EYL36" s="73"/>
      <c r="EYM36" s="73"/>
      <c r="EYN36" s="73"/>
      <c r="EYO36" s="73"/>
      <c r="EYP36" s="73"/>
      <c r="EYQ36" s="73"/>
      <c r="EYR36" s="73"/>
      <c r="EYS36" s="73"/>
      <c r="EYT36" s="73"/>
      <c r="EYU36" s="73"/>
      <c r="EYV36" s="73"/>
      <c r="EYW36" s="73"/>
      <c r="EYX36" s="73"/>
      <c r="EYY36" s="73"/>
      <c r="EYZ36" s="73"/>
      <c r="EZA36" s="73"/>
      <c r="EZB36" s="73"/>
      <c r="EZC36" s="73"/>
      <c r="EZD36" s="73"/>
      <c r="EZE36" s="73"/>
      <c r="EZF36" s="73"/>
      <c r="EZG36" s="73"/>
      <c r="EZH36" s="73"/>
      <c r="EZI36" s="73"/>
      <c r="EZJ36" s="73"/>
      <c r="EZK36" s="73"/>
      <c r="EZL36" s="73"/>
      <c r="EZM36" s="73"/>
      <c r="EZN36" s="73"/>
      <c r="EZO36" s="73"/>
      <c r="EZP36" s="73"/>
      <c r="EZQ36" s="73"/>
      <c r="EZR36" s="73"/>
      <c r="EZS36" s="73"/>
      <c r="EZT36" s="73"/>
      <c r="EZU36" s="73"/>
      <c r="EZV36" s="73"/>
      <c r="EZW36" s="73"/>
      <c r="EZX36" s="73"/>
      <c r="EZY36" s="73"/>
      <c r="EZZ36" s="73"/>
      <c r="FAA36" s="73"/>
      <c r="FAB36" s="73"/>
      <c r="FAC36" s="73"/>
      <c r="FAD36" s="73"/>
      <c r="FAE36" s="73"/>
      <c r="FAF36" s="73"/>
      <c r="FAG36" s="73"/>
      <c r="FAH36" s="73"/>
      <c r="FAI36" s="73"/>
      <c r="FAJ36" s="73"/>
      <c r="FAK36" s="73"/>
      <c r="FAL36" s="73"/>
      <c r="FAM36" s="73"/>
      <c r="FAN36" s="73"/>
      <c r="FAO36" s="73"/>
      <c r="FAP36" s="73"/>
      <c r="FAQ36" s="73"/>
      <c r="FAR36" s="73"/>
      <c r="FAS36" s="73"/>
      <c r="FAT36" s="73"/>
      <c r="FAU36" s="73"/>
      <c r="FAV36" s="73"/>
      <c r="FAW36" s="73"/>
      <c r="FAX36" s="73"/>
      <c r="FAY36" s="73"/>
      <c r="FAZ36" s="73"/>
      <c r="FBA36" s="73"/>
      <c r="FBB36" s="73"/>
      <c r="FBC36" s="73"/>
      <c r="FBD36" s="73"/>
      <c r="FBE36" s="73"/>
      <c r="FBF36" s="73"/>
      <c r="FBG36" s="73"/>
      <c r="FBH36" s="73"/>
      <c r="FBI36" s="73"/>
      <c r="FBJ36" s="73"/>
      <c r="FBK36" s="73"/>
      <c r="FBL36" s="73"/>
      <c r="FBM36" s="73"/>
      <c r="FBN36" s="73"/>
      <c r="FBO36" s="73"/>
      <c r="FBP36" s="73"/>
      <c r="FBQ36" s="73"/>
      <c r="FBR36" s="73"/>
      <c r="FBS36" s="73"/>
      <c r="FBT36" s="73"/>
      <c r="FBU36" s="73"/>
      <c r="FBV36" s="73"/>
      <c r="FBW36" s="73"/>
      <c r="FBX36" s="73"/>
      <c r="FBY36" s="73"/>
      <c r="FBZ36" s="73"/>
      <c r="FCA36" s="73"/>
      <c r="FCB36" s="73"/>
      <c r="FCC36" s="73"/>
      <c r="FCD36" s="73"/>
      <c r="FCE36" s="73"/>
      <c r="FCF36" s="73"/>
      <c r="FCG36" s="73"/>
      <c r="FCH36" s="73"/>
      <c r="FCI36" s="73"/>
      <c r="FCJ36" s="73"/>
      <c r="FCK36" s="73"/>
      <c r="FCL36" s="73"/>
      <c r="FCM36" s="73"/>
      <c r="FCN36" s="73"/>
      <c r="FCO36" s="73"/>
      <c r="FCP36" s="73"/>
      <c r="FCQ36" s="73"/>
      <c r="FCR36" s="73"/>
      <c r="FCS36" s="73"/>
      <c r="FCT36" s="73"/>
      <c r="FCU36" s="73"/>
      <c r="FCV36" s="73"/>
      <c r="FCW36" s="73"/>
      <c r="FCX36" s="73"/>
      <c r="FCY36" s="73"/>
      <c r="FCZ36" s="73"/>
      <c r="FDA36" s="73"/>
      <c r="FDB36" s="73"/>
      <c r="FDC36" s="73"/>
      <c r="FDD36" s="73"/>
      <c r="FDE36" s="73"/>
      <c r="FDF36" s="73"/>
      <c r="FDG36" s="73"/>
      <c r="FDH36" s="73"/>
      <c r="FDI36" s="73"/>
      <c r="FDJ36" s="73"/>
      <c r="FDK36" s="73"/>
      <c r="FDL36" s="73"/>
      <c r="FDM36" s="73"/>
      <c r="FDN36" s="73"/>
      <c r="FDO36" s="73"/>
      <c r="FDP36" s="73"/>
      <c r="FDQ36" s="73"/>
      <c r="FDR36" s="73"/>
      <c r="FDS36" s="73"/>
      <c r="FDT36" s="73"/>
      <c r="FDU36" s="73"/>
      <c r="FDV36" s="73"/>
      <c r="FDW36" s="73"/>
      <c r="FDX36" s="73"/>
      <c r="FDY36" s="73"/>
      <c r="FDZ36" s="73"/>
      <c r="FEA36" s="73"/>
      <c r="FEB36" s="73"/>
      <c r="FEC36" s="73"/>
      <c r="FED36" s="73"/>
      <c r="FEE36" s="73"/>
      <c r="FEF36" s="73"/>
      <c r="FEG36" s="73"/>
      <c r="FEH36" s="73"/>
      <c r="FEI36" s="73"/>
      <c r="FEJ36" s="73"/>
      <c r="FEK36" s="73"/>
      <c r="FEL36" s="73"/>
      <c r="FEM36" s="73"/>
      <c r="FEN36" s="73"/>
      <c r="FEO36" s="73"/>
      <c r="FEP36" s="73"/>
      <c r="FEQ36" s="73"/>
      <c r="FER36" s="73"/>
      <c r="FES36" s="73"/>
      <c r="FET36" s="73"/>
      <c r="FEU36" s="73"/>
      <c r="FEV36" s="73"/>
      <c r="FEW36" s="73"/>
      <c r="FEX36" s="73"/>
      <c r="FEY36" s="73"/>
      <c r="FEZ36" s="73"/>
      <c r="FFA36" s="73"/>
      <c r="FFB36" s="73"/>
      <c r="FFC36" s="73"/>
      <c r="FFD36" s="73"/>
      <c r="FFE36" s="73"/>
      <c r="FFF36" s="73"/>
      <c r="FFG36" s="73"/>
      <c r="FFH36" s="73"/>
      <c r="FFI36" s="73"/>
      <c r="FFJ36" s="73"/>
      <c r="FFK36" s="73"/>
      <c r="FFL36" s="73"/>
      <c r="FFM36" s="73"/>
      <c r="FFN36" s="73"/>
      <c r="FFO36" s="73"/>
      <c r="FFP36" s="73"/>
      <c r="FFQ36" s="73"/>
      <c r="FFR36" s="73"/>
      <c r="FFS36" s="73"/>
      <c r="FFT36" s="73"/>
      <c r="FFU36" s="73"/>
      <c r="FFV36" s="73"/>
      <c r="FFW36" s="73"/>
      <c r="FFX36" s="73"/>
      <c r="FFY36" s="73"/>
      <c r="FFZ36" s="73"/>
      <c r="FGA36" s="73"/>
      <c r="FGB36" s="73"/>
      <c r="FGC36" s="73"/>
      <c r="FGD36" s="73"/>
      <c r="FGE36" s="73"/>
      <c r="FGF36" s="73"/>
      <c r="FGG36" s="73"/>
      <c r="FGH36" s="73"/>
      <c r="FGI36" s="73"/>
      <c r="FGJ36" s="73"/>
      <c r="FGK36" s="73"/>
      <c r="FGL36" s="73"/>
      <c r="FGM36" s="73"/>
      <c r="FGN36" s="73"/>
      <c r="FGO36" s="73"/>
      <c r="FGP36" s="73"/>
      <c r="FGQ36" s="73"/>
      <c r="FGR36" s="73"/>
      <c r="FGS36" s="73"/>
      <c r="FGT36" s="73"/>
      <c r="FGU36" s="73"/>
      <c r="FGV36" s="73"/>
      <c r="FGW36" s="73"/>
      <c r="FGX36" s="73"/>
      <c r="FGY36" s="73"/>
      <c r="FGZ36" s="73"/>
      <c r="FHA36" s="73"/>
      <c r="FHB36" s="73"/>
      <c r="FHC36" s="73"/>
      <c r="FHD36" s="73"/>
      <c r="FHE36" s="73"/>
      <c r="FHF36" s="73"/>
      <c r="FHG36" s="73"/>
      <c r="FHH36" s="73"/>
      <c r="FHI36" s="73"/>
      <c r="FHJ36" s="73"/>
      <c r="FHK36" s="73"/>
      <c r="FHL36" s="73"/>
      <c r="FHM36" s="73"/>
      <c r="FHN36" s="73"/>
      <c r="FHO36" s="73"/>
      <c r="FHP36" s="73"/>
      <c r="FHQ36" s="73"/>
      <c r="FHR36" s="73"/>
      <c r="FHS36" s="73"/>
      <c r="FHT36" s="73"/>
      <c r="FHU36" s="73"/>
      <c r="FHV36" s="73"/>
      <c r="FHW36" s="73"/>
      <c r="FHX36" s="73"/>
      <c r="FHY36" s="73"/>
      <c r="FHZ36" s="73"/>
      <c r="FIA36" s="73"/>
      <c r="FIB36" s="73"/>
      <c r="FIC36" s="73"/>
      <c r="FID36" s="73"/>
      <c r="FIE36" s="73"/>
      <c r="FIF36" s="73"/>
      <c r="FIG36" s="73"/>
      <c r="FIH36" s="73"/>
      <c r="FII36" s="73"/>
      <c r="FIJ36" s="73"/>
      <c r="FIK36" s="73"/>
      <c r="FIL36" s="73"/>
      <c r="FIM36" s="73"/>
      <c r="FIN36" s="73"/>
      <c r="FIO36" s="73"/>
      <c r="FIP36" s="73"/>
      <c r="FIQ36" s="73"/>
      <c r="FIR36" s="73"/>
      <c r="FIS36" s="73"/>
      <c r="FIT36" s="73"/>
      <c r="FIU36" s="73"/>
      <c r="FIV36" s="73"/>
      <c r="FIW36" s="73"/>
      <c r="FIX36" s="73"/>
      <c r="FIY36" s="73"/>
      <c r="FIZ36" s="73"/>
      <c r="FJA36" s="73"/>
      <c r="FJB36" s="73"/>
      <c r="FJC36" s="73"/>
      <c r="FJD36" s="73"/>
      <c r="FJE36" s="73"/>
      <c r="FJF36" s="73"/>
      <c r="FJG36" s="73"/>
      <c r="FJH36" s="73"/>
      <c r="FJI36" s="73"/>
      <c r="FJJ36" s="73"/>
      <c r="FJK36" s="73"/>
      <c r="FJL36" s="73"/>
      <c r="FJM36" s="73"/>
      <c r="FJN36" s="73"/>
      <c r="FJO36" s="73"/>
      <c r="FJP36" s="73"/>
      <c r="FJQ36" s="73"/>
      <c r="FJR36" s="73"/>
      <c r="FJS36" s="73"/>
      <c r="FJT36" s="73"/>
      <c r="FJU36" s="73"/>
      <c r="FJV36" s="73"/>
      <c r="FJW36" s="73"/>
      <c r="FJX36" s="73"/>
      <c r="FJY36" s="73"/>
      <c r="FJZ36" s="73"/>
      <c r="FKA36" s="73"/>
      <c r="FKB36" s="73"/>
      <c r="FKC36" s="73"/>
      <c r="FKD36" s="73"/>
      <c r="FKE36" s="73"/>
      <c r="FKF36" s="73"/>
      <c r="FKG36" s="73"/>
      <c r="FKH36" s="73"/>
      <c r="FKI36" s="73"/>
      <c r="FKJ36" s="73"/>
      <c r="FKK36" s="73"/>
      <c r="FKL36" s="73"/>
      <c r="FKM36" s="73"/>
      <c r="FKN36" s="73"/>
      <c r="FKO36" s="73"/>
      <c r="FKP36" s="73"/>
      <c r="FKQ36" s="73"/>
      <c r="FKR36" s="73"/>
      <c r="FKS36" s="73"/>
      <c r="FKT36" s="73"/>
      <c r="FKU36" s="73"/>
      <c r="FKV36" s="73"/>
      <c r="FKW36" s="73"/>
      <c r="FKX36" s="73"/>
      <c r="FKY36" s="73"/>
      <c r="FKZ36" s="73"/>
      <c r="FLA36" s="73"/>
      <c r="FLB36" s="73"/>
      <c r="FLC36" s="73"/>
      <c r="FLD36" s="73"/>
      <c r="FLE36" s="73"/>
      <c r="FLF36" s="73"/>
      <c r="FLG36" s="73"/>
      <c r="FLH36" s="73"/>
      <c r="FLI36" s="73"/>
      <c r="FLJ36" s="73"/>
      <c r="FLK36" s="73"/>
      <c r="FLL36" s="73"/>
      <c r="FLM36" s="73"/>
      <c r="FLN36" s="73"/>
      <c r="FLO36" s="73"/>
      <c r="FLP36" s="73"/>
      <c r="FLQ36" s="73"/>
      <c r="FLR36" s="73"/>
      <c r="FLS36" s="73"/>
      <c r="FLT36" s="73"/>
      <c r="FLU36" s="73"/>
      <c r="FLV36" s="73"/>
      <c r="FLW36" s="73"/>
      <c r="FLX36" s="73"/>
      <c r="FLY36" s="73"/>
      <c r="FLZ36" s="73"/>
      <c r="FMA36" s="73"/>
      <c r="FMB36" s="73"/>
      <c r="FMC36" s="73"/>
      <c r="FMD36" s="73"/>
      <c r="FME36" s="73"/>
      <c r="FMF36" s="73"/>
      <c r="FMG36" s="73"/>
      <c r="FMH36" s="73"/>
      <c r="FMI36" s="73"/>
      <c r="FMJ36" s="73"/>
      <c r="FMK36" s="73"/>
      <c r="FML36" s="73"/>
      <c r="FMM36" s="73"/>
      <c r="FMN36" s="73"/>
      <c r="FMO36" s="73"/>
      <c r="FMP36" s="73"/>
      <c r="FMQ36" s="73"/>
      <c r="FMR36" s="73"/>
      <c r="FMS36" s="73"/>
      <c r="FMT36" s="73"/>
      <c r="FMU36" s="73"/>
      <c r="FMV36" s="73"/>
      <c r="FMW36" s="73"/>
      <c r="FMX36" s="73"/>
      <c r="FMY36" s="73"/>
      <c r="FMZ36" s="73"/>
      <c r="FNA36" s="73"/>
      <c r="FNB36" s="73"/>
      <c r="FNC36" s="73"/>
      <c r="FND36" s="73"/>
      <c r="FNE36" s="73"/>
      <c r="FNF36" s="73"/>
      <c r="FNG36" s="73"/>
      <c r="FNH36" s="73"/>
      <c r="FNI36" s="73"/>
      <c r="FNJ36" s="73"/>
      <c r="FNK36" s="73"/>
      <c r="FNL36" s="73"/>
      <c r="FNM36" s="73"/>
      <c r="FNN36" s="73"/>
      <c r="FNO36" s="73"/>
      <c r="FNP36" s="73"/>
      <c r="FNQ36" s="73"/>
      <c r="FNR36" s="73"/>
      <c r="FNS36" s="73"/>
      <c r="FNT36" s="73"/>
      <c r="FNU36" s="73"/>
      <c r="FNV36" s="73"/>
      <c r="FNW36" s="73"/>
      <c r="FNX36" s="73"/>
      <c r="FNY36" s="73"/>
      <c r="FNZ36" s="73"/>
      <c r="FOA36" s="73"/>
      <c r="FOB36" s="73"/>
      <c r="FOC36" s="73"/>
      <c r="FOD36" s="73"/>
      <c r="FOE36" s="73"/>
      <c r="FOF36" s="73"/>
      <c r="FOG36" s="73"/>
      <c r="FOH36" s="73"/>
      <c r="FOI36" s="73"/>
      <c r="FOJ36" s="73"/>
      <c r="FOK36" s="73"/>
      <c r="FOL36" s="73"/>
      <c r="FOM36" s="73"/>
      <c r="FON36" s="73"/>
      <c r="FOO36" s="73"/>
      <c r="FOP36" s="73"/>
      <c r="FOQ36" s="73"/>
      <c r="FOR36" s="73"/>
      <c r="FOS36" s="73"/>
      <c r="FOT36" s="73"/>
      <c r="FOU36" s="73"/>
      <c r="FOV36" s="73"/>
      <c r="FOW36" s="73"/>
      <c r="FOX36" s="73"/>
      <c r="FOY36" s="73"/>
      <c r="FOZ36" s="73"/>
      <c r="FPA36" s="73"/>
      <c r="FPB36" s="73"/>
      <c r="FPC36" s="73"/>
      <c r="FPD36" s="73"/>
      <c r="FPE36" s="73"/>
      <c r="FPF36" s="73"/>
      <c r="FPG36" s="73"/>
      <c r="FPH36" s="73"/>
      <c r="FPI36" s="73"/>
      <c r="FPJ36" s="73"/>
      <c r="FPK36" s="73"/>
      <c r="FPL36" s="73"/>
      <c r="FPM36" s="73"/>
      <c r="FPN36" s="73"/>
      <c r="FPO36" s="73"/>
      <c r="FPP36" s="73"/>
      <c r="FPQ36" s="73"/>
      <c r="FPR36" s="73"/>
      <c r="FPS36" s="73"/>
      <c r="FPT36" s="73"/>
      <c r="FPU36" s="73"/>
      <c r="FPV36" s="73"/>
      <c r="FPW36" s="73"/>
      <c r="FPX36" s="73"/>
      <c r="FPY36" s="73"/>
      <c r="FPZ36" s="73"/>
      <c r="FQA36" s="73"/>
      <c r="FQB36" s="73"/>
      <c r="FQC36" s="73"/>
      <c r="FQD36" s="73"/>
      <c r="FQE36" s="73"/>
      <c r="FQF36" s="73"/>
      <c r="FQG36" s="73"/>
      <c r="FQH36" s="73"/>
      <c r="FQI36" s="73"/>
      <c r="FQJ36" s="73"/>
      <c r="FQK36" s="73"/>
      <c r="FQL36" s="73"/>
      <c r="FQM36" s="73"/>
      <c r="FQN36" s="73"/>
      <c r="FQO36" s="73"/>
      <c r="FQP36" s="73"/>
      <c r="FQQ36" s="73"/>
      <c r="FQR36" s="73"/>
      <c r="FQS36" s="73"/>
      <c r="FQT36" s="73"/>
      <c r="FQU36" s="73"/>
      <c r="FQV36" s="73"/>
      <c r="FQW36" s="73"/>
      <c r="FQX36" s="73"/>
      <c r="FQY36" s="73"/>
      <c r="FQZ36" s="73"/>
      <c r="FRA36" s="73"/>
      <c r="FRB36" s="73"/>
      <c r="FRC36" s="73"/>
      <c r="FRD36" s="73"/>
      <c r="FRE36" s="73"/>
      <c r="FRF36" s="73"/>
      <c r="FRG36" s="73"/>
      <c r="FRH36" s="73"/>
      <c r="FRI36" s="73"/>
      <c r="FRJ36" s="73"/>
      <c r="FRK36" s="73"/>
      <c r="FRL36" s="73"/>
      <c r="FRM36" s="73"/>
      <c r="FRN36" s="73"/>
      <c r="FRO36" s="73"/>
      <c r="FRP36" s="73"/>
      <c r="FRQ36" s="73"/>
      <c r="FRR36" s="73"/>
      <c r="FRS36" s="73"/>
      <c r="FRT36" s="73"/>
      <c r="FRU36" s="73"/>
      <c r="FRV36" s="73"/>
      <c r="FRW36" s="73"/>
      <c r="FRX36" s="73"/>
      <c r="FRY36" s="73"/>
      <c r="FRZ36" s="73"/>
      <c r="FSA36" s="73"/>
      <c r="FSB36" s="73"/>
      <c r="FSC36" s="73"/>
      <c r="FSD36" s="73"/>
      <c r="FSE36" s="73"/>
      <c r="FSF36" s="73"/>
      <c r="FSG36" s="73"/>
      <c r="FSH36" s="73"/>
      <c r="FSI36" s="73"/>
      <c r="FSJ36" s="73"/>
      <c r="FSK36" s="73"/>
      <c r="FSL36" s="73"/>
      <c r="FSM36" s="73"/>
      <c r="FSN36" s="73"/>
      <c r="FSO36" s="73"/>
      <c r="FSP36" s="73"/>
      <c r="FSQ36" s="73"/>
      <c r="FSR36" s="73"/>
      <c r="FSS36" s="73"/>
      <c r="FST36" s="73"/>
      <c r="FSU36" s="73"/>
      <c r="FSV36" s="73"/>
      <c r="FSW36" s="73"/>
      <c r="FSX36" s="73"/>
      <c r="FSY36" s="73"/>
      <c r="FSZ36" s="73"/>
      <c r="FTA36" s="73"/>
      <c r="FTB36" s="73"/>
      <c r="FTC36" s="73"/>
      <c r="FTD36" s="73"/>
      <c r="FTE36" s="73"/>
      <c r="FTF36" s="73"/>
      <c r="FTG36" s="73"/>
      <c r="FTH36" s="73"/>
      <c r="FTI36" s="73"/>
      <c r="FTJ36" s="73"/>
      <c r="FTK36" s="73"/>
      <c r="FTL36" s="73"/>
      <c r="FTM36" s="73"/>
      <c r="FTN36" s="73"/>
      <c r="FTO36" s="73"/>
      <c r="FTP36" s="73"/>
      <c r="FTQ36" s="73"/>
      <c r="FTR36" s="73"/>
      <c r="FTS36" s="73"/>
      <c r="FTT36" s="73"/>
      <c r="FTU36" s="73"/>
      <c r="FTV36" s="73"/>
      <c r="FTW36" s="73"/>
      <c r="FTX36" s="73"/>
      <c r="FTY36" s="73"/>
      <c r="FTZ36" s="73"/>
      <c r="FUA36" s="73"/>
      <c r="FUB36" s="73"/>
      <c r="FUC36" s="73"/>
      <c r="FUD36" s="73"/>
      <c r="FUE36" s="73"/>
      <c r="FUF36" s="73"/>
      <c r="FUG36" s="73"/>
      <c r="FUH36" s="73"/>
      <c r="FUI36" s="73"/>
      <c r="FUJ36" s="73"/>
      <c r="FUK36" s="73"/>
      <c r="FUL36" s="73"/>
      <c r="FUM36" s="73"/>
      <c r="FUN36" s="73"/>
      <c r="FUO36" s="73"/>
      <c r="FUP36" s="73"/>
      <c r="FUQ36" s="73"/>
      <c r="FUR36" s="73"/>
      <c r="FUS36" s="73"/>
      <c r="FUT36" s="73"/>
      <c r="FUU36" s="73"/>
      <c r="FUV36" s="73"/>
      <c r="FUW36" s="73"/>
      <c r="FUX36" s="73"/>
      <c r="FUY36" s="73"/>
      <c r="FUZ36" s="73"/>
      <c r="FVA36" s="73"/>
      <c r="FVB36" s="73"/>
      <c r="FVC36" s="73"/>
      <c r="FVD36" s="73"/>
      <c r="FVE36" s="73"/>
      <c r="FVF36" s="73"/>
      <c r="FVG36" s="73"/>
      <c r="FVH36" s="73"/>
      <c r="FVI36" s="73"/>
      <c r="FVJ36" s="73"/>
      <c r="FVK36" s="73"/>
      <c r="FVL36" s="73"/>
      <c r="FVM36" s="73"/>
      <c r="FVN36" s="73"/>
      <c r="FVO36" s="73"/>
      <c r="FVP36" s="73"/>
      <c r="FVQ36" s="73"/>
      <c r="FVR36" s="73"/>
      <c r="FVS36" s="73"/>
      <c r="FVT36" s="73"/>
      <c r="FVU36" s="73"/>
      <c r="FVV36" s="73"/>
      <c r="FVW36" s="73"/>
      <c r="FVX36" s="73"/>
      <c r="FVY36" s="73"/>
      <c r="FVZ36" s="73"/>
      <c r="FWA36" s="73"/>
      <c r="FWB36" s="73"/>
      <c r="FWC36" s="73"/>
      <c r="FWD36" s="73"/>
      <c r="FWE36" s="73"/>
      <c r="FWF36" s="73"/>
      <c r="FWG36" s="73"/>
      <c r="FWH36" s="73"/>
      <c r="FWI36" s="73"/>
      <c r="FWJ36" s="73"/>
      <c r="FWK36" s="73"/>
      <c r="FWL36" s="73"/>
      <c r="FWM36" s="73"/>
      <c r="FWN36" s="73"/>
      <c r="FWO36" s="73"/>
      <c r="FWP36" s="73"/>
      <c r="FWQ36" s="73"/>
      <c r="FWR36" s="73"/>
      <c r="FWS36" s="73"/>
      <c r="FWT36" s="73"/>
      <c r="FWU36" s="73"/>
      <c r="FWV36" s="73"/>
      <c r="FWW36" s="73"/>
      <c r="FWX36" s="73"/>
      <c r="FWY36" s="73"/>
      <c r="FWZ36" s="73"/>
      <c r="FXA36" s="73"/>
      <c r="FXB36" s="73"/>
      <c r="FXC36" s="73"/>
      <c r="FXD36" s="73"/>
      <c r="FXE36" s="73"/>
      <c r="FXF36" s="73"/>
      <c r="FXG36" s="73"/>
      <c r="FXH36" s="73"/>
      <c r="FXI36" s="73"/>
      <c r="FXJ36" s="73"/>
      <c r="FXK36" s="73"/>
      <c r="FXL36" s="73"/>
      <c r="FXM36" s="73"/>
      <c r="FXN36" s="73"/>
      <c r="FXO36" s="73"/>
      <c r="FXP36" s="73"/>
      <c r="FXQ36" s="73"/>
      <c r="FXR36" s="73"/>
      <c r="FXS36" s="73"/>
      <c r="FXT36" s="73"/>
      <c r="FXU36" s="73"/>
      <c r="FXV36" s="73"/>
      <c r="FXW36" s="73"/>
      <c r="FXX36" s="73"/>
      <c r="FXY36" s="73"/>
      <c r="FXZ36" s="73"/>
      <c r="FYA36" s="73"/>
      <c r="FYB36" s="73"/>
      <c r="FYC36" s="73"/>
      <c r="FYD36" s="73"/>
      <c r="FYE36" s="73"/>
      <c r="FYF36" s="73"/>
      <c r="FYG36" s="73"/>
      <c r="FYH36" s="73"/>
      <c r="FYI36" s="73"/>
      <c r="FYJ36" s="73"/>
      <c r="FYK36" s="73"/>
      <c r="FYL36" s="73"/>
      <c r="FYM36" s="73"/>
      <c r="FYN36" s="73"/>
      <c r="FYO36" s="73"/>
      <c r="FYP36" s="73"/>
      <c r="FYQ36" s="73"/>
      <c r="FYR36" s="73"/>
      <c r="FYS36" s="73"/>
      <c r="FYT36" s="73"/>
      <c r="FYU36" s="73"/>
      <c r="FYV36" s="73"/>
      <c r="FYW36" s="73"/>
      <c r="FYX36" s="73"/>
      <c r="FYY36" s="73"/>
      <c r="FYZ36" s="73"/>
      <c r="FZA36" s="73"/>
      <c r="FZB36" s="73"/>
      <c r="FZC36" s="73"/>
      <c r="FZD36" s="73"/>
      <c r="FZE36" s="73"/>
      <c r="FZF36" s="73"/>
      <c r="FZG36" s="73"/>
      <c r="FZH36" s="73"/>
      <c r="FZI36" s="73"/>
      <c r="FZJ36" s="73"/>
      <c r="FZK36" s="73"/>
      <c r="FZL36" s="73"/>
      <c r="FZM36" s="73"/>
      <c r="FZN36" s="73"/>
      <c r="FZO36" s="73"/>
      <c r="FZP36" s="73"/>
      <c r="FZQ36" s="73"/>
      <c r="FZR36" s="73"/>
      <c r="FZS36" s="73"/>
      <c r="FZT36" s="73"/>
      <c r="FZU36" s="73"/>
      <c r="FZV36" s="73"/>
      <c r="FZW36" s="73"/>
      <c r="FZX36" s="73"/>
      <c r="FZY36" s="73"/>
      <c r="FZZ36" s="73"/>
      <c r="GAA36" s="73"/>
      <c r="GAB36" s="73"/>
      <c r="GAC36" s="73"/>
      <c r="GAD36" s="73"/>
      <c r="GAE36" s="73"/>
      <c r="GAF36" s="73"/>
      <c r="GAG36" s="73"/>
      <c r="GAH36" s="73"/>
      <c r="GAI36" s="73"/>
      <c r="GAJ36" s="73"/>
      <c r="GAK36" s="73"/>
      <c r="GAL36" s="73"/>
      <c r="GAM36" s="73"/>
      <c r="GAN36" s="73"/>
      <c r="GAO36" s="73"/>
      <c r="GAP36" s="73"/>
      <c r="GAQ36" s="73"/>
      <c r="GAR36" s="73"/>
      <c r="GAS36" s="73"/>
      <c r="GAT36" s="73"/>
      <c r="GAU36" s="73"/>
      <c r="GAV36" s="73"/>
      <c r="GAW36" s="73"/>
      <c r="GAX36" s="73"/>
      <c r="GAY36" s="73"/>
      <c r="GAZ36" s="73"/>
      <c r="GBA36" s="73"/>
      <c r="GBB36" s="73"/>
      <c r="GBC36" s="73"/>
      <c r="GBD36" s="73"/>
      <c r="GBE36" s="73"/>
      <c r="GBF36" s="73"/>
      <c r="GBG36" s="73"/>
      <c r="GBH36" s="73"/>
      <c r="GBI36" s="73"/>
      <c r="GBJ36" s="73"/>
      <c r="GBK36" s="73"/>
      <c r="GBL36" s="73"/>
      <c r="GBM36" s="73"/>
      <c r="GBN36" s="73"/>
      <c r="GBO36" s="73"/>
      <c r="GBP36" s="73"/>
      <c r="GBQ36" s="73"/>
      <c r="GBR36" s="73"/>
      <c r="GBS36" s="73"/>
      <c r="GBT36" s="73"/>
      <c r="GBU36" s="73"/>
      <c r="GBV36" s="73"/>
      <c r="GBW36" s="73"/>
      <c r="GBX36" s="73"/>
      <c r="GBY36" s="73"/>
      <c r="GBZ36" s="73"/>
      <c r="GCA36" s="73"/>
      <c r="GCB36" s="73"/>
      <c r="GCC36" s="73"/>
      <c r="GCD36" s="73"/>
      <c r="GCE36" s="73"/>
      <c r="GCF36" s="73"/>
      <c r="GCG36" s="73"/>
      <c r="GCH36" s="73"/>
      <c r="GCI36" s="73"/>
      <c r="GCJ36" s="73"/>
      <c r="GCK36" s="73"/>
      <c r="GCL36" s="73"/>
      <c r="GCM36" s="73"/>
      <c r="GCN36" s="73"/>
      <c r="GCO36" s="73"/>
      <c r="GCP36" s="73"/>
      <c r="GCQ36" s="73"/>
      <c r="GCR36" s="73"/>
      <c r="GCS36" s="73"/>
      <c r="GCT36" s="73"/>
      <c r="GCU36" s="73"/>
      <c r="GCV36" s="73"/>
      <c r="GCW36" s="73"/>
      <c r="GCX36" s="73"/>
      <c r="GCY36" s="73"/>
      <c r="GCZ36" s="73"/>
      <c r="GDA36" s="73"/>
      <c r="GDB36" s="73"/>
      <c r="GDC36" s="73"/>
      <c r="GDD36" s="73"/>
      <c r="GDE36" s="73"/>
      <c r="GDF36" s="73"/>
      <c r="GDG36" s="73"/>
      <c r="GDH36" s="73"/>
      <c r="GDI36" s="73"/>
      <c r="GDJ36" s="73"/>
      <c r="GDK36" s="73"/>
      <c r="GDL36" s="73"/>
      <c r="GDM36" s="73"/>
      <c r="GDN36" s="73"/>
      <c r="GDO36" s="73"/>
      <c r="GDP36" s="73"/>
      <c r="GDQ36" s="73"/>
      <c r="GDR36" s="73"/>
      <c r="GDS36" s="73"/>
      <c r="GDT36" s="73"/>
      <c r="GDU36" s="73"/>
      <c r="GDV36" s="73"/>
      <c r="GDW36" s="73"/>
      <c r="GDX36" s="73"/>
      <c r="GDY36" s="73"/>
      <c r="GDZ36" s="73"/>
      <c r="GEA36" s="73"/>
      <c r="GEB36" s="73"/>
      <c r="GEC36" s="73"/>
      <c r="GED36" s="73"/>
      <c r="GEE36" s="73"/>
      <c r="GEF36" s="73"/>
      <c r="GEG36" s="73"/>
      <c r="GEH36" s="73"/>
      <c r="GEI36" s="73"/>
      <c r="GEJ36" s="73"/>
      <c r="GEK36" s="73"/>
      <c r="GEL36" s="73"/>
      <c r="GEM36" s="73"/>
      <c r="GEN36" s="73"/>
      <c r="GEO36" s="73"/>
      <c r="GEP36" s="73"/>
      <c r="GEQ36" s="73"/>
      <c r="GER36" s="73"/>
      <c r="GES36" s="73"/>
      <c r="GET36" s="73"/>
      <c r="GEU36" s="73"/>
      <c r="GEV36" s="73"/>
      <c r="GEW36" s="73"/>
      <c r="GEX36" s="73"/>
      <c r="GEY36" s="73"/>
      <c r="GEZ36" s="73"/>
      <c r="GFA36" s="73"/>
      <c r="GFB36" s="73"/>
      <c r="GFC36" s="73"/>
      <c r="GFD36" s="73"/>
      <c r="GFE36" s="73"/>
      <c r="GFF36" s="73"/>
      <c r="GFG36" s="73"/>
      <c r="GFH36" s="73"/>
      <c r="GFI36" s="73"/>
      <c r="GFJ36" s="73"/>
      <c r="GFK36" s="73"/>
      <c r="GFL36" s="73"/>
      <c r="GFM36" s="73"/>
      <c r="GFN36" s="73"/>
      <c r="GFO36" s="73"/>
      <c r="GFP36" s="73"/>
      <c r="GFQ36" s="73"/>
      <c r="GFR36" s="73"/>
      <c r="GFS36" s="73"/>
      <c r="GFT36" s="73"/>
      <c r="GFU36" s="73"/>
      <c r="GFV36" s="73"/>
      <c r="GFW36" s="73"/>
      <c r="GFX36" s="73"/>
      <c r="GFY36" s="73"/>
      <c r="GFZ36" s="73"/>
      <c r="GGA36" s="73"/>
      <c r="GGB36" s="73"/>
      <c r="GGC36" s="73"/>
      <c r="GGD36" s="73"/>
      <c r="GGE36" s="73"/>
      <c r="GGF36" s="73"/>
      <c r="GGG36" s="73"/>
      <c r="GGH36" s="73"/>
      <c r="GGI36" s="73"/>
      <c r="GGJ36" s="73"/>
      <c r="GGK36" s="73"/>
      <c r="GGL36" s="73"/>
      <c r="GGM36" s="73"/>
      <c r="GGN36" s="73"/>
      <c r="GGO36" s="73"/>
      <c r="GGP36" s="73"/>
      <c r="GGQ36" s="73"/>
      <c r="GGR36" s="73"/>
      <c r="GGS36" s="73"/>
      <c r="GGT36" s="73"/>
      <c r="GGU36" s="73"/>
      <c r="GGV36" s="73"/>
      <c r="GGW36" s="73"/>
      <c r="GGX36" s="73"/>
      <c r="GGY36" s="73"/>
      <c r="GGZ36" s="73"/>
      <c r="GHA36" s="73"/>
      <c r="GHB36" s="73"/>
      <c r="GHC36" s="73"/>
      <c r="GHD36" s="73"/>
      <c r="GHE36" s="73"/>
      <c r="GHF36" s="73"/>
      <c r="GHG36" s="73"/>
      <c r="GHH36" s="73"/>
      <c r="GHI36" s="73"/>
      <c r="GHJ36" s="73"/>
      <c r="GHK36" s="73"/>
      <c r="GHL36" s="73"/>
      <c r="GHM36" s="73"/>
      <c r="GHN36" s="73"/>
      <c r="GHO36" s="73"/>
      <c r="GHP36" s="73"/>
      <c r="GHQ36" s="73"/>
      <c r="GHR36" s="73"/>
      <c r="GHS36" s="73"/>
      <c r="GHT36" s="73"/>
      <c r="GHU36" s="73"/>
      <c r="GHV36" s="73"/>
      <c r="GHW36" s="73"/>
      <c r="GHX36" s="73"/>
      <c r="GHY36" s="73"/>
      <c r="GHZ36" s="73"/>
      <c r="GIA36" s="73"/>
      <c r="GIB36" s="73"/>
      <c r="GIC36" s="73"/>
      <c r="GID36" s="73"/>
      <c r="GIE36" s="73"/>
      <c r="GIF36" s="73"/>
      <c r="GIG36" s="73"/>
      <c r="GIH36" s="73"/>
      <c r="GII36" s="73"/>
      <c r="GIJ36" s="73"/>
      <c r="GIK36" s="73"/>
      <c r="GIL36" s="73"/>
      <c r="GIM36" s="73"/>
      <c r="GIN36" s="73"/>
      <c r="GIO36" s="73"/>
      <c r="GIP36" s="73"/>
      <c r="GIQ36" s="73"/>
      <c r="GIR36" s="73"/>
      <c r="GIS36" s="73"/>
      <c r="GIT36" s="73"/>
      <c r="GIU36" s="73"/>
      <c r="GIV36" s="73"/>
      <c r="GIW36" s="73"/>
      <c r="GIX36" s="73"/>
      <c r="GIY36" s="73"/>
      <c r="GIZ36" s="73"/>
      <c r="GJA36" s="73"/>
      <c r="GJB36" s="73"/>
      <c r="GJC36" s="73"/>
      <c r="GJD36" s="73"/>
      <c r="GJE36" s="73"/>
      <c r="GJF36" s="73"/>
      <c r="GJG36" s="73"/>
      <c r="GJH36" s="73"/>
      <c r="GJI36" s="73"/>
      <c r="GJJ36" s="73"/>
      <c r="GJK36" s="73"/>
      <c r="GJL36" s="73"/>
      <c r="GJM36" s="73"/>
      <c r="GJN36" s="73"/>
      <c r="GJO36" s="73"/>
      <c r="GJP36" s="73"/>
      <c r="GJQ36" s="73"/>
      <c r="GJR36" s="73"/>
      <c r="GJS36" s="73"/>
      <c r="GJT36" s="73"/>
      <c r="GJU36" s="73"/>
      <c r="GJV36" s="73"/>
      <c r="GJW36" s="73"/>
      <c r="GJX36" s="73"/>
      <c r="GJY36" s="73"/>
      <c r="GJZ36" s="73"/>
      <c r="GKA36" s="73"/>
      <c r="GKB36" s="73"/>
      <c r="GKC36" s="73"/>
      <c r="GKD36" s="73"/>
      <c r="GKE36" s="73"/>
      <c r="GKF36" s="73"/>
      <c r="GKG36" s="73"/>
      <c r="GKH36" s="73"/>
      <c r="GKI36" s="73"/>
      <c r="GKJ36" s="73"/>
      <c r="GKK36" s="73"/>
      <c r="GKL36" s="73"/>
      <c r="GKM36" s="73"/>
      <c r="GKN36" s="73"/>
      <c r="GKO36" s="73"/>
      <c r="GKP36" s="73"/>
      <c r="GKQ36" s="73"/>
      <c r="GKR36" s="73"/>
      <c r="GKS36" s="73"/>
      <c r="GKT36" s="73"/>
      <c r="GKU36" s="73"/>
      <c r="GKV36" s="73"/>
      <c r="GKW36" s="73"/>
      <c r="GKX36" s="73"/>
      <c r="GKY36" s="73"/>
      <c r="GKZ36" s="73"/>
      <c r="GLA36" s="73"/>
      <c r="GLB36" s="73"/>
      <c r="GLC36" s="73"/>
      <c r="GLD36" s="73"/>
      <c r="GLE36" s="73"/>
      <c r="GLF36" s="73"/>
      <c r="GLG36" s="73"/>
      <c r="GLH36" s="73"/>
      <c r="GLI36" s="73"/>
      <c r="GLJ36" s="73"/>
      <c r="GLK36" s="73"/>
      <c r="GLL36" s="73"/>
      <c r="GLM36" s="73"/>
      <c r="GLN36" s="73"/>
      <c r="GLO36" s="73"/>
      <c r="GLP36" s="73"/>
      <c r="GLQ36" s="73"/>
      <c r="GLR36" s="73"/>
      <c r="GLS36" s="73"/>
      <c r="GLT36" s="73"/>
      <c r="GLU36" s="73"/>
      <c r="GLV36" s="73"/>
      <c r="GLW36" s="73"/>
      <c r="GLX36" s="73"/>
      <c r="GLY36" s="73"/>
      <c r="GLZ36" s="73"/>
      <c r="GMA36" s="73"/>
      <c r="GMB36" s="73"/>
      <c r="GMC36" s="73"/>
      <c r="GMD36" s="73"/>
      <c r="GME36" s="73"/>
      <c r="GMF36" s="73"/>
      <c r="GMG36" s="73"/>
      <c r="GMH36" s="73"/>
      <c r="GMI36" s="73"/>
      <c r="GMJ36" s="73"/>
      <c r="GMK36" s="73"/>
      <c r="GML36" s="73"/>
      <c r="GMM36" s="73"/>
      <c r="GMN36" s="73"/>
      <c r="GMO36" s="73"/>
      <c r="GMP36" s="73"/>
      <c r="GMQ36" s="73"/>
      <c r="GMR36" s="73"/>
      <c r="GMS36" s="73"/>
      <c r="GMT36" s="73"/>
      <c r="GMU36" s="73"/>
      <c r="GMV36" s="73"/>
      <c r="GMW36" s="73"/>
      <c r="GMX36" s="73"/>
      <c r="GMY36" s="73"/>
      <c r="GMZ36" s="73"/>
      <c r="GNA36" s="73"/>
      <c r="GNB36" s="73"/>
      <c r="GNC36" s="73"/>
      <c r="GND36" s="73"/>
      <c r="GNE36" s="73"/>
      <c r="GNF36" s="73"/>
      <c r="GNG36" s="73"/>
      <c r="GNH36" s="73"/>
      <c r="GNI36" s="73"/>
      <c r="GNJ36" s="73"/>
      <c r="GNK36" s="73"/>
      <c r="GNL36" s="73"/>
      <c r="GNM36" s="73"/>
      <c r="GNN36" s="73"/>
      <c r="GNO36" s="73"/>
      <c r="GNP36" s="73"/>
      <c r="GNQ36" s="73"/>
      <c r="GNR36" s="73"/>
      <c r="GNS36" s="73"/>
      <c r="GNT36" s="73"/>
      <c r="GNU36" s="73"/>
      <c r="GNV36" s="73"/>
      <c r="GNW36" s="73"/>
      <c r="GNX36" s="73"/>
      <c r="GNY36" s="73"/>
      <c r="GNZ36" s="73"/>
      <c r="GOA36" s="73"/>
      <c r="GOB36" s="73"/>
      <c r="GOC36" s="73"/>
      <c r="GOD36" s="73"/>
      <c r="GOE36" s="73"/>
      <c r="GOF36" s="73"/>
      <c r="GOG36" s="73"/>
      <c r="GOH36" s="73"/>
      <c r="GOI36" s="73"/>
      <c r="GOJ36" s="73"/>
      <c r="GOK36" s="73"/>
      <c r="GOL36" s="73"/>
      <c r="GOM36" s="73"/>
      <c r="GON36" s="73"/>
      <c r="GOO36" s="73"/>
      <c r="GOP36" s="73"/>
      <c r="GOQ36" s="73"/>
      <c r="GOR36" s="73"/>
      <c r="GOS36" s="73"/>
      <c r="GOT36" s="73"/>
      <c r="GOU36" s="73"/>
      <c r="GOV36" s="73"/>
      <c r="GOW36" s="73"/>
      <c r="GOX36" s="73"/>
      <c r="GOY36" s="73"/>
      <c r="GOZ36" s="73"/>
      <c r="GPA36" s="73"/>
      <c r="GPB36" s="73"/>
      <c r="GPC36" s="73"/>
      <c r="GPD36" s="73"/>
      <c r="GPE36" s="73"/>
      <c r="GPF36" s="73"/>
      <c r="GPG36" s="73"/>
      <c r="GPH36" s="73"/>
      <c r="GPI36" s="73"/>
      <c r="GPJ36" s="73"/>
      <c r="GPK36" s="73"/>
      <c r="GPL36" s="73"/>
      <c r="GPM36" s="73"/>
      <c r="GPN36" s="73"/>
      <c r="GPO36" s="73"/>
      <c r="GPP36" s="73"/>
      <c r="GPQ36" s="73"/>
      <c r="GPR36" s="73"/>
      <c r="GPS36" s="73"/>
      <c r="GPT36" s="73"/>
      <c r="GPU36" s="73"/>
      <c r="GPV36" s="73"/>
      <c r="GPW36" s="73"/>
      <c r="GPX36" s="73"/>
      <c r="GPY36" s="73"/>
      <c r="GPZ36" s="73"/>
      <c r="GQA36" s="73"/>
      <c r="GQB36" s="73"/>
      <c r="GQC36" s="73"/>
      <c r="GQD36" s="73"/>
      <c r="GQE36" s="73"/>
      <c r="GQF36" s="73"/>
      <c r="GQG36" s="73"/>
      <c r="GQH36" s="73"/>
      <c r="GQI36" s="73"/>
      <c r="GQJ36" s="73"/>
      <c r="GQK36" s="73"/>
      <c r="GQL36" s="73"/>
      <c r="GQM36" s="73"/>
      <c r="GQN36" s="73"/>
      <c r="GQO36" s="73"/>
      <c r="GQP36" s="73"/>
      <c r="GQQ36" s="73"/>
      <c r="GQR36" s="73"/>
      <c r="GQS36" s="73"/>
      <c r="GQT36" s="73"/>
      <c r="GQU36" s="73"/>
      <c r="GQV36" s="73"/>
      <c r="GQW36" s="73"/>
      <c r="GQX36" s="73"/>
      <c r="GQY36" s="73"/>
      <c r="GQZ36" s="73"/>
      <c r="GRA36" s="73"/>
      <c r="GRB36" s="73"/>
      <c r="GRC36" s="73"/>
      <c r="GRD36" s="73"/>
      <c r="GRE36" s="73"/>
      <c r="GRF36" s="73"/>
      <c r="GRG36" s="73"/>
      <c r="GRH36" s="73"/>
      <c r="GRI36" s="73"/>
      <c r="GRJ36" s="73"/>
      <c r="GRK36" s="73"/>
      <c r="GRL36" s="73"/>
      <c r="GRM36" s="73"/>
      <c r="GRN36" s="73"/>
      <c r="GRO36" s="73"/>
      <c r="GRP36" s="73"/>
      <c r="GRQ36" s="73"/>
      <c r="GRR36" s="73"/>
      <c r="GRS36" s="73"/>
      <c r="GRT36" s="73"/>
      <c r="GRU36" s="73"/>
      <c r="GRV36" s="73"/>
      <c r="GRW36" s="73"/>
      <c r="GRX36" s="73"/>
      <c r="GRY36" s="73"/>
      <c r="GRZ36" s="73"/>
      <c r="GSA36" s="73"/>
      <c r="GSB36" s="73"/>
      <c r="GSC36" s="73"/>
      <c r="GSD36" s="73"/>
      <c r="GSE36" s="73"/>
      <c r="GSF36" s="73"/>
      <c r="GSG36" s="73"/>
      <c r="GSH36" s="73"/>
      <c r="GSI36" s="73"/>
      <c r="GSJ36" s="73"/>
      <c r="GSK36" s="73"/>
      <c r="GSL36" s="73"/>
      <c r="GSM36" s="73"/>
      <c r="GSN36" s="73"/>
      <c r="GSO36" s="73"/>
      <c r="GSP36" s="73"/>
      <c r="GSQ36" s="73"/>
      <c r="GSR36" s="73"/>
      <c r="GSS36" s="73"/>
      <c r="GST36" s="73"/>
      <c r="GSU36" s="73"/>
      <c r="GSV36" s="73"/>
      <c r="GSW36" s="73"/>
      <c r="GSX36" s="73"/>
      <c r="GSY36" s="73"/>
      <c r="GSZ36" s="73"/>
      <c r="GTA36" s="73"/>
      <c r="GTB36" s="73"/>
      <c r="GTC36" s="73"/>
      <c r="GTD36" s="73"/>
      <c r="GTE36" s="73"/>
      <c r="GTF36" s="73"/>
      <c r="GTG36" s="73"/>
      <c r="GTH36" s="73"/>
      <c r="GTI36" s="73"/>
      <c r="GTJ36" s="73"/>
      <c r="GTK36" s="73"/>
      <c r="GTL36" s="73"/>
      <c r="GTM36" s="73"/>
      <c r="GTN36" s="73"/>
      <c r="GTO36" s="73"/>
      <c r="GTP36" s="73"/>
      <c r="GTQ36" s="73"/>
      <c r="GTR36" s="73"/>
      <c r="GTS36" s="73"/>
      <c r="GTT36" s="73"/>
      <c r="GTU36" s="73"/>
      <c r="GTV36" s="73"/>
      <c r="GTW36" s="73"/>
      <c r="GTX36" s="73"/>
      <c r="GTY36" s="73"/>
      <c r="GTZ36" s="73"/>
      <c r="GUA36" s="73"/>
      <c r="GUB36" s="73"/>
      <c r="GUC36" s="73"/>
      <c r="GUD36" s="73"/>
      <c r="GUE36" s="73"/>
      <c r="GUF36" s="73"/>
      <c r="GUG36" s="73"/>
      <c r="GUH36" s="73"/>
      <c r="GUI36" s="73"/>
      <c r="GUJ36" s="73"/>
      <c r="GUK36" s="73"/>
      <c r="GUL36" s="73"/>
      <c r="GUM36" s="73"/>
      <c r="GUN36" s="73"/>
      <c r="GUO36" s="73"/>
      <c r="GUP36" s="73"/>
      <c r="GUQ36" s="73"/>
      <c r="GUR36" s="73"/>
      <c r="GUS36" s="73"/>
      <c r="GUT36" s="73"/>
      <c r="GUU36" s="73"/>
      <c r="GUV36" s="73"/>
      <c r="GUW36" s="73"/>
      <c r="GUX36" s="73"/>
      <c r="GUY36" s="73"/>
      <c r="GUZ36" s="73"/>
      <c r="GVA36" s="73"/>
      <c r="GVB36" s="73"/>
      <c r="GVC36" s="73"/>
      <c r="GVD36" s="73"/>
      <c r="GVE36" s="73"/>
      <c r="GVF36" s="73"/>
      <c r="GVG36" s="73"/>
      <c r="GVH36" s="73"/>
      <c r="GVI36" s="73"/>
      <c r="GVJ36" s="73"/>
      <c r="GVK36" s="73"/>
      <c r="GVL36" s="73"/>
      <c r="GVM36" s="73"/>
      <c r="GVN36" s="73"/>
      <c r="GVO36" s="73"/>
      <c r="GVP36" s="73"/>
      <c r="GVQ36" s="73"/>
      <c r="GVR36" s="73"/>
      <c r="GVS36" s="73"/>
      <c r="GVT36" s="73"/>
      <c r="GVU36" s="73"/>
      <c r="GVV36" s="73"/>
      <c r="GVW36" s="73"/>
      <c r="GVX36" s="73"/>
      <c r="GVY36" s="73"/>
      <c r="GVZ36" s="73"/>
      <c r="GWA36" s="73"/>
      <c r="GWB36" s="73"/>
      <c r="GWC36" s="73"/>
      <c r="GWD36" s="73"/>
      <c r="GWE36" s="73"/>
      <c r="GWF36" s="73"/>
      <c r="GWG36" s="73"/>
      <c r="GWH36" s="73"/>
      <c r="GWI36" s="73"/>
      <c r="GWJ36" s="73"/>
      <c r="GWK36" s="73"/>
      <c r="GWL36" s="73"/>
      <c r="GWM36" s="73"/>
      <c r="GWN36" s="73"/>
      <c r="GWO36" s="73"/>
      <c r="GWP36" s="73"/>
      <c r="GWQ36" s="73"/>
      <c r="GWR36" s="73"/>
      <c r="GWS36" s="73"/>
      <c r="GWT36" s="73"/>
      <c r="GWU36" s="73"/>
      <c r="GWV36" s="73"/>
      <c r="GWW36" s="73"/>
      <c r="GWX36" s="73"/>
      <c r="GWY36" s="73"/>
      <c r="GWZ36" s="73"/>
      <c r="GXA36" s="73"/>
      <c r="GXB36" s="73"/>
      <c r="GXC36" s="73"/>
      <c r="GXD36" s="73"/>
      <c r="GXE36" s="73"/>
      <c r="GXF36" s="73"/>
      <c r="GXG36" s="73"/>
      <c r="GXH36" s="73"/>
      <c r="GXI36" s="73"/>
      <c r="GXJ36" s="73"/>
      <c r="GXK36" s="73"/>
      <c r="GXL36" s="73"/>
      <c r="GXM36" s="73"/>
      <c r="GXN36" s="73"/>
      <c r="GXO36" s="73"/>
      <c r="GXP36" s="73"/>
      <c r="GXQ36" s="73"/>
      <c r="GXR36" s="73"/>
      <c r="GXS36" s="73"/>
      <c r="GXT36" s="73"/>
      <c r="GXU36" s="73"/>
      <c r="GXV36" s="73"/>
      <c r="GXW36" s="73"/>
      <c r="GXX36" s="73"/>
      <c r="GXY36" s="73"/>
      <c r="GXZ36" s="73"/>
      <c r="GYA36" s="73"/>
      <c r="GYB36" s="73"/>
      <c r="GYC36" s="73"/>
      <c r="GYD36" s="73"/>
      <c r="GYE36" s="73"/>
      <c r="GYF36" s="73"/>
      <c r="GYG36" s="73"/>
      <c r="GYH36" s="73"/>
      <c r="GYI36" s="73"/>
      <c r="GYJ36" s="73"/>
      <c r="GYK36" s="73"/>
      <c r="GYL36" s="73"/>
      <c r="GYM36" s="73"/>
      <c r="GYN36" s="73"/>
      <c r="GYO36" s="73"/>
      <c r="GYP36" s="73"/>
      <c r="GYQ36" s="73"/>
      <c r="GYR36" s="73"/>
      <c r="GYS36" s="73"/>
      <c r="GYT36" s="73"/>
      <c r="GYU36" s="73"/>
      <c r="GYV36" s="73"/>
      <c r="GYW36" s="73"/>
      <c r="GYX36" s="73"/>
      <c r="GYY36" s="73"/>
      <c r="GYZ36" s="73"/>
      <c r="GZA36" s="73"/>
      <c r="GZB36" s="73"/>
      <c r="GZC36" s="73"/>
      <c r="GZD36" s="73"/>
      <c r="GZE36" s="73"/>
      <c r="GZF36" s="73"/>
      <c r="GZG36" s="73"/>
      <c r="GZH36" s="73"/>
      <c r="GZI36" s="73"/>
      <c r="GZJ36" s="73"/>
      <c r="GZK36" s="73"/>
      <c r="GZL36" s="73"/>
      <c r="GZM36" s="73"/>
      <c r="GZN36" s="73"/>
      <c r="GZO36" s="73"/>
      <c r="GZP36" s="73"/>
      <c r="GZQ36" s="73"/>
      <c r="GZR36" s="73"/>
      <c r="GZS36" s="73"/>
      <c r="GZT36" s="73"/>
      <c r="GZU36" s="73"/>
      <c r="GZV36" s="73"/>
      <c r="GZW36" s="73"/>
      <c r="GZX36" s="73"/>
      <c r="GZY36" s="73"/>
      <c r="GZZ36" s="73"/>
      <c r="HAA36" s="73"/>
      <c r="HAB36" s="73"/>
      <c r="HAC36" s="73"/>
      <c r="HAD36" s="73"/>
      <c r="HAE36" s="73"/>
      <c r="HAF36" s="73"/>
      <c r="HAG36" s="73"/>
      <c r="HAH36" s="73"/>
      <c r="HAI36" s="73"/>
      <c r="HAJ36" s="73"/>
      <c r="HAK36" s="73"/>
      <c r="HAL36" s="73"/>
      <c r="HAM36" s="73"/>
      <c r="HAN36" s="73"/>
      <c r="HAO36" s="73"/>
      <c r="HAP36" s="73"/>
      <c r="HAQ36" s="73"/>
      <c r="HAR36" s="73"/>
      <c r="HAS36" s="73"/>
      <c r="HAT36" s="73"/>
      <c r="HAU36" s="73"/>
      <c r="HAV36" s="73"/>
      <c r="HAW36" s="73"/>
      <c r="HAX36" s="73"/>
      <c r="HAY36" s="73"/>
      <c r="HAZ36" s="73"/>
      <c r="HBA36" s="73"/>
      <c r="HBB36" s="73"/>
      <c r="HBC36" s="73"/>
      <c r="HBD36" s="73"/>
      <c r="HBE36" s="73"/>
      <c r="HBF36" s="73"/>
      <c r="HBG36" s="73"/>
      <c r="HBH36" s="73"/>
      <c r="HBI36" s="73"/>
      <c r="HBJ36" s="73"/>
      <c r="HBK36" s="73"/>
      <c r="HBL36" s="73"/>
      <c r="HBM36" s="73"/>
      <c r="HBN36" s="73"/>
      <c r="HBO36" s="73"/>
      <c r="HBP36" s="73"/>
      <c r="HBQ36" s="73"/>
      <c r="HBR36" s="73"/>
      <c r="HBS36" s="73"/>
      <c r="HBT36" s="73"/>
      <c r="HBU36" s="73"/>
      <c r="HBV36" s="73"/>
      <c r="HBW36" s="73"/>
      <c r="HBX36" s="73"/>
      <c r="HBY36" s="73"/>
      <c r="HBZ36" s="73"/>
      <c r="HCA36" s="73"/>
      <c r="HCB36" s="73"/>
      <c r="HCC36" s="73"/>
      <c r="HCD36" s="73"/>
      <c r="HCE36" s="73"/>
      <c r="HCF36" s="73"/>
      <c r="HCG36" s="73"/>
      <c r="HCH36" s="73"/>
      <c r="HCI36" s="73"/>
      <c r="HCJ36" s="73"/>
      <c r="HCK36" s="73"/>
      <c r="HCL36" s="73"/>
      <c r="HCM36" s="73"/>
      <c r="HCN36" s="73"/>
      <c r="HCO36" s="73"/>
      <c r="HCP36" s="73"/>
      <c r="HCQ36" s="73"/>
      <c r="HCR36" s="73"/>
      <c r="HCS36" s="73"/>
      <c r="HCT36" s="73"/>
      <c r="HCU36" s="73"/>
      <c r="HCV36" s="73"/>
      <c r="HCW36" s="73"/>
      <c r="HCX36" s="73"/>
      <c r="HCY36" s="73"/>
      <c r="HCZ36" s="73"/>
      <c r="HDA36" s="73"/>
      <c r="HDB36" s="73"/>
      <c r="HDC36" s="73"/>
      <c r="HDD36" s="73"/>
      <c r="HDE36" s="73"/>
      <c r="HDF36" s="73"/>
      <c r="HDG36" s="73"/>
      <c r="HDH36" s="73"/>
      <c r="HDI36" s="73"/>
      <c r="HDJ36" s="73"/>
      <c r="HDK36" s="73"/>
      <c r="HDL36" s="73"/>
      <c r="HDM36" s="73"/>
      <c r="HDN36" s="73"/>
      <c r="HDO36" s="73"/>
      <c r="HDP36" s="73"/>
      <c r="HDQ36" s="73"/>
      <c r="HDR36" s="73"/>
      <c r="HDS36" s="73"/>
      <c r="HDT36" s="73"/>
      <c r="HDU36" s="73"/>
      <c r="HDV36" s="73"/>
      <c r="HDW36" s="73"/>
      <c r="HDX36" s="73"/>
      <c r="HDY36" s="73"/>
      <c r="HDZ36" s="73"/>
      <c r="HEA36" s="73"/>
      <c r="HEB36" s="73"/>
      <c r="HEC36" s="73"/>
      <c r="HED36" s="73"/>
      <c r="HEE36" s="73"/>
      <c r="HEF36" s="73"/>
      <c r="HEG36" s="73"/>
      <c r="HEH36" s="73"/>
      <c r="HEI36" s="73"/>
      <c r="HEJ36" s="73"/>
      <c r="HEK36" s="73"/>
      <c r="HEL36" s="73"/>
      <c r="HEM36" s="73"/>
      <c r="HEN36" s="73"/>
      <c r="HEO36" s="73"/>
      <c r="HEP36" s="73"/>
      <c r="HEQ36" s="73"/>
      <c r="HER36" s="73"/>
      <c r="HES36" s="73"/>
      <c r="HET36" s="73"/>
      <c r="HEU36" s="73"/>
      <c r="HEV36" s="73"/>
      <c r="HEW36" s="73"/>
      <c r="HEX36" s="73"/>
      <c r="HEY36" s="73"/>
      <c r="HEZ36" s="73"/>
      <c r="HFA36" s="73"/>
      <c r="HFB36" s="73"/>
      <c r="HFC36" s="73"/>
      <c r="HFD36" s="73"/>
      <c r="HFE36" s="73"/>
      <c r="HFF36" s="73"/>
      <c r="HFG36" s="73"/>
      <c r="HFH36" s="73"/>
      <c r="HFI36" s="73"/>
      <c r="HFJ36" s="73"/>
      <c r="HFK36" s="73"/>
      <c r="HFL36" s="73"/>
      <c r="HFM36" s="73"/>
      <c r="HFN36" s="73"/>
      <c r="HFO36" s="73"/>
      <c r="HFP36" s="73"/>
      <c r="HFQ36" s="73"/>
      <c r="HFR36" s="73"/>
      <c r="HFS36" s="73"/>
      <c r="HFT36" s="73"/>
      <c r="HFU36" s="73"/>
      <c r="HFV36" s="73"/>
      <c r="HFW36" s="73"/>
      <c r="HFX36" s="73"/>
      <c r="HFY36" s="73"/>
      <c r="HFZ36" s="73"/>
      <c r="HGA36" s="73"/>
      <c r="HGB36" s="73"/>
      <c r="HGC36" s="73"/>
      <c r="HGD36" s="73"/>
      <c r="HGE36" s="73"/>
      <c r="HGF36" s="73"/>
      <c r="HGG36" s="73"/>
      <c r="HGH36" s="73"/>
      <c r="HGI36" s="73"/>
      <c r="HGJ36" s="73"/>
      <c r="HGK36" s="73"/>
      <c r="HGL36" s="73"/>
      <c r="HGM36" s="73"/>
      <c r="HGN36" s="73"/>
      <c r="HGO36" s="73"/>
      <c r="HGP36" s="73"/>
      <c r="HGQ36" s="73"/>
      <c r="HGR36" s="73"/>
      <c r="HGS36" s="73"/>
      <c r="HGT36" s="73"/>
      <c r="HGU36" s="73"/>
      <c r="HGV36" s="73"/>
      <c r="HGW36" s="73"/>
      <c r="HGX36" s="73"/>
      <c r="HGY36" s="73"/>
      <c r="HGZ36" s="73"/>
      <c r="HHA36" s="73"/>
      <c r="HHB36" s="73"/>
      <c r="HHC36" s="73"/>
      <c r="HHD36" s="73"/>
      <c r="HHE36" s="73"/>
      <c r="HHF36" s="73"/>
      <c r="HHG36" s="73"/>
      <c r="HHH36" s="73"/>
      <c r="HHI36" s="73"/>
      <c r="HHJ36" s="73"/>
      <c r="HHK36" s="73"/>
      <c r="HHL36" s="73"/>
      <c r="HHM36" s="73"/>
      <c r="HHN36" s="73"/>
      <c r="HHO36" s="73"/>
      <c r="HHP36" s="73"/>
      <c r="HHQ36" s="73"/>
      <c r="HHR36" s="73"/>
      <c r="HHS36" s="73"/>
      <c r="HHT36" s="73"/>
      <c r="HHU36" s="73"/>
      <c r="HHV36" s="73"/>
      <c r="HHW36" s="73"/>
      <c r="HHX36" s="73"/>
      <c r="HHY36" s="73"/>
      <c r="HHZ36" s="73"/>
      <c r="HIA36" s="73"/>
      <c r="HIB36" s="73"/>
      <c r="HIC36" s="73"/>
      <c r="HID36" s="73"/>
      <c r="HIE36" s="73"/>
      <c r="HIF36" s="73"/>
      <c r="HIG36" s="73"/>
      <c r="HIH36" s="73"/>
      <c r="HII36" s="73"/>
      <c r="HIJ36" s="73"/>
      <c r="HIK36" s="73"/>
      <c r="HIL36" s="73"/>
      <c r="HIM36" s="73"/>
      <c r="HIN36" s="73"/>
      <c r="HIO36" s="73"/>
      <c r="HIP36" s="73"/>
      <c r="HIQ36" s="73"/>
      <c r="HIR36" s="73"/>
      <c r="HIS36" s="73"/>
      <c r="HIT36" s="73"/>
      <c r="HIU36" s="73"/>
      <c r="HIV36" s="73"/>
      <c r="HIW36" s="73"/>
      <c r="HIX36" s="73"/>
      <c r="HIY36" s="73"/>
      <c r="HIZ36" s="73"/>
      <c r="HJA36" s="73"/>
      <c r="HJB36" s="73"/>
      <c r="HJC36" s="73"/>
      <c r="HJD36" s="73"/>
      <c r="HJE36" s="73"/>
      <c r="HJF36" s="73"/>
      <c r="HJG36" s="73"/>
      <c r="HJH36" s="73"/>
      <c r="HJI36" s="73"/>
      <c r="HJJ36" s="73"/>
      <c r="HJK36" s="73"/>
      <c r="HJL36" s="73"/>
      <c r="HJM36" s="73"/>
      <c r="HJN36" s="73"/>
      <c r="HJO36" s="73"/>
      <c r="HJP36" s="73"/>
      <c r="HJQ36" s="73"/>
      <c r="HJR36" s="73"/>
      <c r="HJS36" s="73"/>
      <c r="HJT36" s="73"/>
      <c r="HJU36" s="73"/>
      <c r="HJV36" s="73"/>
      <c r="HJW36" s="73"/>
      <c r="HJX36" s="73"/>
      <c r="HJY36" s="73"/>
      <c r="HJZ36" s="73"/>
      <c r="HKA36" s="73"/>
      <c r="HKB36" s="73"/>
      <c r="HKC36" s="73"/>
      <c r="HKD36" s="73"/>
      <c r="HKE36" s="73"/>
      <c r="HKF36" s="73"/>
      <c r="HKG36" s="73"/>
      <c r="HKH36" s="73"/>
      <c r="HKI36" s="73"/>
      <c r="HKJ36" s="73"/>
      <c r="HKK36" s="73"/>
      <c r="HKL36" s="73"/>
      <c r="HKM36" s="73"/>
      <c r="HKN36" s="73"/>
      <c r="HKO36" s="73"/>
      <c r="HKP36" s="73"/>
      <c r="HKQ36" s="73"/>
      <c r="HKR36" s="73"/>
      <c r="HKS36" s="73"/>
      <c r="HKT36" s="73"/>
      <c r="HKU36" s="73"/>
      <c r="HKV36" s="73"/>
      <c r="HKW36" s="73"/>
      <c r="HKX36" s="73"/>
      <c r="HKY36" s="73"/>
      <c r="HKZ36" s="73"/>
      <c r="HLA36" s="73"/>
      <c r="HLB36" s="73"/>
      <c r="HLC36" s="73"/>
      <c r="HLD36" s="73"/>
      <c r="HLE36" s="73"/>
      <c r="HLF36" s="73"/>
      <c r="HLG36" s="73"/>
      <c r="HLH36" s="73"/>
      <c r="HLI36" s="73"/>
      <c r="HLJ36" s="73"/>
      <c r="HLK36" s="73"/>
      <c r="HLL36" s="73"/>
      <c r="HLM36" s="73"/>
      <c r="HLN36" s="73"/>
      <c r="HLO36" s="73"/>
      <c r="HLP36" s="73"/>
      <c r="HLQ36" s="73"/>
      <c r="HLR36" s="73"/>
      <c r="HLS36" s="73"/>
      <c r="HLT36" s="73"/>
      <c r="HLU36" s="73"/>
      <c r="HLV36" s="73"/>
      <c r="HLW36" s="73"/>
      <c r="HLX36" s="73"/>
      <c r="HLY36" s="73"/>
      <c r="HLZ36" s="73"/>
      <c r="HMA36" s="73"/>
      <c r="HMB36" s="73"/>
      <c r="HMC36" s="73"/>
      <c r="HMD36" s="73"/>
      <c r="HME36" s="73"/>
      <c r="HMF36" s="73"/>
      <c r="HMG36" s="73"/>
      <c r="HMH36" s="73"/>
      <c r="HMI36" s="73"/>
      <c r="HMJ36" s="73"/>
      <c r="HMK36" s="73"/>
      <c r="HML36" s="73"/>
      <c r="HMM36" s="73"/>
      <c r="HMN36" s="73"/>
      <c r="HMO36" s="73"/>
      <c r="HMP36" s="73"/>
      <c r="HMQ36" s="73"/>
      <c r="HMR36" s="73"/>
      <c r="HMS36" s="73"/>
      <c r="HMT36" s="73"/>
      <c r="HMU36" s="73"/>
      <c r="HMV36" s="73"/>
      <c r="HMW36" s="73"/>
      <c r="HMX36" s="73"/>
      <c r="HMY36" s="73"/>
      <c r="HMZ36" s="73"/>
      <c r="HNA36" s="73"/>
      <c r="HNB36" s="73"/>
      <c r="HNC36" s="73"/>
      <c r="HND36" s="73"/>
      <c r="HNE36" s="73"/>
      <c r="HNF36" s="73"/>
      <c r="HNG36" s="73"/>
      <c r="HNH36" s="73"/>
      <c r="HNI36" s="73"/>
      <c r="HNJ36" s="73"/>
      <c r="HNK36" s="73"/>
      <c r="HNL36" s="73"/>
      <c r="HNM36" s="73"/>
      <c r="HNN36" s="73"/>
      <c r="HNO36" s="73"/>
      <c r="HNP36" s="73"/>
      <c r="HNQ36" s="73"/>
      <c r="HNR36" s="73"/>
      <c r="HNS36" s="73"/>
      <c r="HNT36" s="73"/>
      <c r="HNU36" s="73"/>
      <c r="HNV36" s="73"/>
      <c r="HNW36" s="73"/>
      <c r="HNX36" s="73"/>
      <c r="HNY36" s="73"/>
      <c r="HNZ36" s="73"/>
      <c r="HOA36" s="73"/>
      <c r="HOB36" s="73"/>
      <c r="HOC36" s="73"/>
      <c r="HOD36" s="73"/>
      <c r="HOE36" s="73"/>
      <c r="HOF36" s="73"/>
      <c r="HOG36" s="73"/>
      <c r="HOH36" s="73"/>
      <c r="HOI36" s="73"/>
      <c r="HOJ36" s="73"/>
      <c r="HOK36" s="73"/>
      <c r="HOL36" s="73"/>
      <c r="HOM36" s="73"/>
      <c r="HON36" s="73"/>
      <c r="HOO36" s="73"/>
      <c r="HOP36" s="73"/>
      <c r="HOQ36" s="73"/>
      <c r="HOR36" s="73"/>
      <c r="HOS36" s="73"/>
      <c r="HOT36" s="73"/>
      <c r="HOU36" s="73"/>
      <c r="HOV36" s="73"/>
      <c r="HOW36" s="73"/>
      <c r="HOX36" s="73"/>
      <c r="HOY36" s="73"/>
      <c r="HOZ36" s="73"/>
      <c r="HPA36" s="73"/>
      <c r="HPB36" s="73"/>
      <c r="HPC36" s="73"/>
      <c r="HPD36" s="73"/>
      <c r="HPE36" s="73"/>
      <c r="HPF36" s="73"/>
      <c r="HPG36" s="73"/>
      <c r="HPH36" s="73"/>
      <c r="HPI36" s="73"/>
      <c r="HPJ36" s="73"/>
      <c r="HPK36" s="73"/>
      <c r="HPL36" s="73"/>
      <c r="HPM36" s="73"/>
      <c r="HPN36" s="73"/>
      <c r="HPO36" s="73"/>
      <c r="HPP36" s="73"/>
      <c r="HPQ36" s="73"/>
      <c r="HPR36" s="73"/>
      <c r="HPS36" s="73"/>
      <c r="HPT36" s="73"/>
      <c r="HPU36" s="73"/>
      <c r="HPV36" s="73"/>
      <c r="HPW36" s="73"/>
      <c r="HPX36" s="73"/>
      <c r="HPY36" s="73"/>
      <c r="HPZ36" s="73"/>
      <c r="HQA36" s="73"/>
      <c r="HQB36" s="73"/>
      <c r="HQC36" s="73"/>
      <c r="HQD36" s="73"/>
      <c r="HQE36" s="73"/>
      <c r="HQF36" s="73"/>
      <c r="HQG36" s="73"/>
      <c r="HQH36" s="73"/>
      <c r="HQI36" s="73"/>
      <c r="HQJ36" s="73"/>
      <c r="HQK36" s="73"/>
      <c r="HQL36" s="73"/>
      <c r="HQM36" s="73"/>
      <c r="HQN36" s="73"/>
      <c r="HQO36" s="73"/>
      <c r="HQP36" s="73"/>
      <c r="HQQ36" s="73"/>
      <c r="HQR36" s="73"/>
      <c r="HQS36" s="73"/>
      <c r="HQT36" s="73"/>
      <c r="HQU36" s="73"/>
      <c r="HQV36" s="73"/>
      <c r="HQW36" s="73"/>
      <c r="HQX36" s="73"/>
      <c r="HQY36" s="73"/>
      <c r="HQZ36" s="73"/>
      <c r="HRA36" s="73"/>
      <c r="HRB36" s="73"/>
      <c r="HRC36" s="73"/>
      <c r="HRD36" s="73"/>
      <c r="HRE36" s="73"/>
      <c r="HRF36" s="73"/>
      <c r="HRG36" s="73"/>
      <c r="HRH36" s="73"/>
      <c r="HRI36" s="73"/>
      <c r="HRJ36" s="73"/>
      <c r="HRK36" s="73"/>
      <c r="HRL36" s="73"/>
      <c r="HRM36" s="73"/>
      <c r="HRN36" s="73"/>
      <c r="HRO36" s="73"/>
      <c r="HRP36" s="73"/>
      <c r="HRQ36" s="73"/>
      <c r="HRR36" s="73"/>
      <c r="HRS36" s="73"/>
      <c r="HRT36" s="73"/>
      <c r="HRU36" s="73"/>
      <c r="HRV36" s="73"/>
      <c r="HRW36" s="73"/>
      <c r="HRX36" s="73"/>
      <c r="HRY36" s="73"/>
      <c r="HRZ36" s="73"/>
      <c r="HSA36" s="73"/>
      <c r="HSB36" s="73"/>
      <c r="HSC36" s="73"/>
      <c r="HSD36" s="73"/>
      <c r="HSE36" s="73"/>
      <c r="HSF36" s="73"/>
      <c r="HSG36" s="73"/>
      <c r="HSH36" s="73"/>
      <c r="HSI36" s="73"/>
      <c r="HSJ36" s="73"/>
      <c r="HSK36" s="73"/>
      <c r="HSL36" s="73"/>
      <c r="HSM36" s="73"/>
      <c r="HSN36" s="73"/>
      <c r="HSO36" s="73"/>
      <c r="HSP36" s="73"/>
      <c r="HSQ36" s="73"/>
      <c r="HSR36" s="73"/>
      <c r="HSS36" s="73"/>
      <c r="HST36" s="73"/>
      <c r="HSU36" s="73"/>
      <c r="HSV36" s="73"/>
      <c r="HSW36" s="73"/>
      <c r="HSX36" s="73"/>
      <c r="HSY36" s="73"/>
      <c r="HSZ36" s="73"/>
      <c r="HTA36" s="73"/>
      <c r="HTB36" s="73"/>
      <c r="HTC36" s="73"/>
      <c r="HTD36" s="73"/>
      <c r="HTE36" s="73"/>
      <c r="HTF36" s="73"/>
      <c r="HTG36" s="73"/>
      <c r="HTH36" s="73"/>
      <c r="HTI36" s="73"/>
      <c r="HTJ36" s="73"/>
      <c r="HTK36" s="73"/>
      <c r="HTL36" s="73"/>
      <c r="HTM36" s="73"/>
      <c r="HTN36" s="73"/>
      <c r="HTO36" s="73"/>
      <c r="HTP36" s="73"/>
      <c r="HTQ36" s="73"/>
      <c r="HTR36" s="73"/>
      <c r="HTS36" s="73"/>
      <c r="HTT36" s="73"/>
      <c r="HTU36" s="73"/>
      <c r="HTV36" s="73"/>
      <c r="HTW36" s="73"/>
      <c r="HTX36" s="73"/>
      <c r="HTY36" s="73"/>
      <c r="HTZ36" s="73"/>
      <c r="HUA36" s="73"/>
      <c r="HUB36" s="73"/>
      <c r="HUC36" s="73"/>
      <c r="HUD36" s="73"/>
      <c r="HUE36" s="73"/>
      <c r="HUF36" s="73"/>
      <c r="HUG36" s="73"/>
      <c r="HUH36" s="73"/>
      <c r="HUI36" s="73"/>
      <c r="HUJ36" s="73"/>
      <c r="HUK36" s="73"/>
      <c r="HUL36" s="73"/>
      <c r="HUM36" s="73"/>
      <c r="HUN36" s="73"/>
      <c r="HUO36" s="73"/>
      <c r="HUP36" s="73"/>
      <c r="HUQ36" s="73"/>
      <c r="HUR36" s="73"/>
      <c r="HUS36" s="73"/>
      <c r="HUT36" s="73"/>
      <c r="HUU36" s="73"/>
      <c r="HUV36" s="73"/>
      <c r="HUW36" s="73"/>
      <c r="HUX36" s="73"/>
      <c r="HUY36" s="73"/>
      <c r="HUZ36" s="73"/>
      <c r="HVA36" s="73"/>
      <c r="HVB36" s="73"/>
      <c r="HVC36" s="73"/>
      <c r="HVD36" s="73"/>
      <c r="HVE36" s="73"/>
      <c r="HVF36" s="73"/>
      <c r="HVG36" s="73"/>
      <c r="HVH36" s="73"/>
      <c r="HVI36" s="73"/>
      <c r="HVJ36" s="73"/>
      <c r="HVK36" s="73"/>
      <c r="HVL36" s="73"/>
      <c r="HVM36" s="73"/>
      <c r="HVN36" s="73"/>
      <c r="HVO36" s="73"/>
      <c r="HVP36" s="73"/>
      <c r="HVQ36" s="73"/>
      <c r="HVR36" s="73"/>
      <c r="HVS36" s="73"/>
      <c r="HVT36" s="73"/>
      <c r="HVU36" s="73"/>
      <c r="HVV36" s="73"/>
      <c r="HVW36" s="73"/>
      <c r="HVX36" s="73"/>
      <c r="HVY36" s="73"/>
      <c r="HVZ36" s="73"/>
      <c r="HWA36" s="73"/>
      <c r="HWB36" s="73"/>
      <c r="HWC36" s="73"/>
      <c r="HWD36" s="73"/>
      <c r="HWE36" s="73"/>
      <c r="HWF36" s="73"/>
      <c r="HWG36" s="73"/>
      <c r="HWH36" s="73"/>
      <c r="HWI36" s="73"/>
      <c r="HWJ36" s="73"/>
      <c r="HWK36" s="73"/>
      <c r="HWL36" s="73"/>
      <c r="HWM36" s="73"/>
      <c r="HWN36" s="73"/>
      <c r="HWO36" s="73"/>
      <c r="HWP36" s="73"/>
      <c r="HWQ36" s="73"/>
      <c r="HWR36" s="73"/>
      <c r="HWS36" s="73"/>
      <c r="HWT36" s="73"/>
      <c r="HWU36" s="73"/>
      <c r="HWV36" s="73"/>
      <c r="HWW36" s="73"/>
      <c r="HWX36" s="73"/>
      <c r="HWY36" s="73"/>
      <c r="HWZ36" s="73"/>
      <c r="HXA36" s="73"/>
      <c r="HXB36" s="73"/>
      <c r="HXC36" s="73"/>
      <c r="HXD36" s="73"/>
      <c r="HXE36" s="73"/>
      <c r="HXF36" s="73"/>
      <c r="HXG36" s="73"/>
      <c r="HXH36" s="73"/>
      <c r="HXI36" s="73"/>
      <c r="HXJ36" s="73"/>
      <c r="HXK36" s="73"/>
      <c r="HXL36" s="73"/>
      <c r="HXM36" s="73"/>
      <c r="HXN36" s="73"/>
      <c r="HXO36" s="73"/>
      <c r="HXP36" s="73"/>
      <c r="HXQ36" s="73"/>
      <c r="HXR36" s="73"/>
      <c r="HXS36" s="73"/>
      <c r="HXT36" s="73"/>
      <c r="HXU36" s="73"/>
      <c r="HXV36" s="73"/>
      <c r="HXW36" s="73"/>
      <c r="HXX36" s="73"/>
      <c r="HXY36" s="73"/>
      <c r="HXZ36" s="73"/>
      <c r="HYA36" s="73"/>
      <c r="HYB36" s="73"/>
      <c r="HYC36" s="73"/>
      <c r="HYD36" s="73"/>
      <c r="HYE36" s="73"/>
      <c r="HYF36" s="73"/>
      <c r="HYG36" s="73"/>
      <c r="HYH36" s="73"/>
      <c r="HYI36" s="73"/>
      <c r="HYJ36" s="73"/>
      <c r="HYK36" s="73"/>
      <c r="HYL36" s="73"/>
      <c r="HYM36" s="73"/>
      <c r="HYN36" s="73"/>
      <c r="HYO36" s="73"/>
      <c r="HYP36" s="73"/>
      <c r="HYQ36" s="73"/>
      <c r="HYR36" s="73"/>
      <c r="HYS36" s="73"/>
      <c r="HYT36" s="73"/>
      <c r="HYU36" s="73"/>
      <c r="HYV36" s="73"/>
      <c r="HYW36" s="73"/>
      <c r="HYX36" s="73"/>
      <c r="HYY36" s="73"/>
      <c r="HYZ36" s="73"/>
      <c r="HZA36" s="73"/>
      <c r="HZB36" s="73"/>
      <c r="HZC36" s="73"/>
      <c r="HZD36" s="73"/>
      <c r="HZE36" s="73"/>
      <c r="HZF36" s="73"/>
      <c r="HZG36" s="73"/>
      <c r="HZH36" s="73"/>
      <c r="HZI36" s="73"/>
      <c r="HZJ36" s="73"/>
      <c r="HZK36" s="73"/>
      <c r="HZL36" s="73"/>
      <c r="HZM36" s="73"/>
      <c r="HZN36" s="73"/>
      <c r="HZO36" s="73"/>
      <c r="HZP36" s="73"/>
      <c r="HZQ36" s="73"/>
      <c r="HZR36" s="73"/>
      <c r="HZS36" s="73"/>
      <c r="HZT36" s="73"/>
      <c r="HZU36" s="73"/>
      <c r="HZV36" s="73"/>
      <c r="HZW36" s="73"/>
      <c r="HZX36" s="73"/>
      <c r="HZY36" s="73"/>
      <c r="HZZ36" s="73"/>
      <c r="IAA36" s="73"/>
      <c r="IAB36" s="73"/>
      <c r="IAC36" s="73"/>
      <c r="IAD36" s="73"/>
      <c r="IAE36" s="73"/>
      <c r="IAF36" s="73"/>
      <c r="IAG36" s="73"/>
      <c r="IAH36" s="73"/>
      <c r="IAI36" s="73"/>
      <c r="IAJ36" s="73"/>
      <c r="IAK36" s="73"/>
      <c r="IAL36" s="73"/>
      <c r="IAM36" s="73"/>
      <c r="IAN36" s="73"/>
      <c r="IAO36" s="73"/>
      <c r="IAP36" s="73"/>
      <c r="IAQ36" s="73"/>
      <c r="IAR36" s="73"/>
      <c r="IAS36" s="73"/>
      <c r="IAT36" s="73"/>
      <c r="IAU36" s="73"/>
      <c r="IAV36" s="73"/>
      <c r="IAW36" s="73"/>
      <c r="IAX36" s="73"/>
      <c r="IAY36" s="73"/>
      <c r="IAZ36" s="73"/>
      <c r="IBA36" s="73"/>
      <c r="IBB36" s="73"/>
      <c r="IBC36" s="73"/>
      <c r="IBD36" s="73"/>
      <c r="IBE36" s="73"/>
      <c r="IBF36" s="73"/>
      <c r="IBG36" s="73"/>
      <c r="IBH36" s="73"/>
      <c r="IBI36" s="73"/>
      <c r="IBJ36" s="73"/>
      <c r="IBK36" s="73"/>
      <c r="IBL36" s="73"/>
      <c r="IBM36" s="73"/>
      <c r="IBN36" s="73"/>
      <c r="IBO36" s="73"/>
      <c r="IBP36" s="73"/>
      <c r="IBQ36" s="73"/>
      <c r="IBR36" s="73"/>
      <c r="IBS36" s="73"/>
      <c r="IBT36" s="73"/>
      <c r="IBU36" s="73"/>
      <c r="IBV36" s="73"/>
      <c r="IBW36" s="73"/>
      <c r="IBX36" s="73"/>
      <c r="IBY36" s="73"/>
      <c r="IBZ36" s="73"/>
      <c r="ICA36" s="73"/>
      <c r="ICB36" s="73"/>
      <c r="ICC36" s="73"/>
      <c r="ICD36" s="73"/>
      <c r="ICE36" s="73"/>
      <c r="ICF36" s="73"/>
      <c r="ICG36" s="73"/>
      <c r="ICH36" s="73"/>
      <c r="ICI36" s="73"/>
      <c r="ICJ36" s="73"/>
      <c r="ICK36" s="73"/>
      <c r="ICL36" s="73"/>
      <c r="ICM36" s="73"/>
      <c r="ICN36" s="73"/>
      <c r="ICO36" s="73"/>
      <c r="ICP36" s="73"/>
      <c r="ICQ36" s="73"/>
      <c r="ICR36" s="73"/>
      <c r="ICS36" s="73"/>
      <c r="ICT36" s="73"/>
      <c r="ICU36" s="73"/>
      <c r="ICV36" s="73"/>
      <c r="ICW36" s="73"/>
      <c r="ICX36" s="73"/>
      <c r="ICY36" s="73"/>
      <c r="ICZ36" s="73"/>
      <c r="IDA36" s="73"/>
      <c r="IDB36" s="73"/>
      <c r="IDC36" s="73"/>
      <c r="IDD36" s="73"/>
      <c r="IDE36" s="73"/>
      <c r="IDF36" s="73"/>
      <c r="IDG36" s="73"/>
      <c r="IDH36" s="73"/>
      <c r="IDI36" s="73"/>
      <c r="IDJ36" s="73"/>
      <c r="IDK36" s="73"/>
      <c r="IDL36" s="73"/>
      <c r="IDM36" s="73"/>
      <c r="IDN36" s="73"/>
      <c r="IDO36" s="73"/>
      <c r="IDP36" s="73"/>
      <c r="IDQ36" s="73"/>
      <c r="IDR36" s="73"/>
      <c r="IDS36" s="73"/>
      <c r="IDT36" s="73"/>
      <c r="IDU36" s="73"/>
      <c r="IDV36" s="73"/>
      <c r="IDW36" s="73"/>
      <c r="IDX36" s="73"/>
      <c r="IDY36" s="73"/>
      <c r="IDZ36" s="73"/>
      <c r="IEA36" s="73"/>
      <c r="IEB36" s="73"/>
      <c r="IEC36" s="73"/>
      <c r="IED36" s="73"/>
      <c r="IEE36" s="73"/>
      <c r="IEF36" s="73"/>
      <c r="IEG36" s="73"/>
      <c r="IEH36" s="73"/>
      <c r="IEI36" s="73"/>
      <c r="IEJ36" s="73"/>
      <c r="IEK36" s="73"/>
      <c r="IEL36" s="73"/>
      <c r="IEM36" s="73"/>
      <c r="IEN36" s="73"/>
      <c r="IEO36" s="73"/>
      <c r="IEP36" s="73"/>
      <c r="IEQ36" s="73"/>
      <c r="IER36" s="73"/>
      <c r="IES36" s="73"/>
      <c r="IET36" s="73"/>
      <c r="IEU36" s="73"/>
      <c r="IEV36" s="73"/>
      <c r="IEW36" s="73"/>
      <c r="IEX36" s="73"/>
      <c r="IEY36" s="73"/>
      <c r="IEZ36" s="73"/>
      <c r="IFA36" s="73"/>
      <c r="IFB36" s="73"/>
      <c r="IFC36" s="73"/>
      <c r="IFD36" s="73"/>
      <c r="IFE36" s="73"/>
      <c r="IFF36" s="73"/>
      <c r="IFG36" s="73"/>
      <c r="IFH36" s="73"/>
      <c r="IFI36" s="73"/>
      <c r="IFJ36" s="73"/>
      <c r="IFK36" s="73"/>
      <c r="IFL36" s="73"/>
      <c r="IFM36" s="73"/>
      <c r="IFN36" s="73"/>
      <c r="IFO36" s="73"/>
      <c r="IFP36" s="73"/>
      <c r="IFQ36" s="73"/>
      <c r="IFR36" s="73"/>
      <c r="IFS36" s="73"/>
      <c r="IFT36" s="73"/>
      <c r="IFU36" s="73"/>
      <c r="IFV36" s="73"/>
      <c r="IFW36" s="73"/>
      <c r="IFX36" s="73"/>
      <c r="IFY36" s="73"/>
      <c r="IFZ36" s="73"/>
      <c r="IGA36" s="73"/>
      <c r="IGB36" s="73"/>
      <c r="IGC36" s="73"/>
      <c r="IGD36" s="73"/>
      <c r="IGE36" s="73"/>
      <c r="IGF36" s="73"/>
      <c r="IGG36" s="73"/>
      <c r="IGH36" s="73"/>
      <c r="IGI36" s="73"/>
      <c r="IGJ36" s="73"/>
      <c r="IGK36" s="73"/>
      <c r="IGL36" s="73"/>
      <c r="IGM36" s="73"/>
      <c r="IGN36" s="73"/>
      <c r="IGO36" s="73"/>
      <c r="IGP36" s="73"/>
      <c r="IGQ36" s="73"/>
      <c r="IGR36" s="73"/>
      <c r="IGS36" s="73"/>
      <c r="IGT36" s="73"/>
      <c r="IGU36" s="73"/>
      <c r="IGV36" s="73"/>
      <c r="IGW36" s="73"/>
      <c r="IGX36" s="73"/>
      <c r="IGY36" s="73"/>
      <c r="IGZ36" s="73"/>
      <c r="IHA36" s="73"/>
      <c r="IHB36" s="73"/>
      <c r="IHC36" s="73"/>
      <c r="IHD36" s="73"/>
      <c r="IHE36" s="73"/>
      <c r="IHF36" s="73"/>
      <c r="IHG36" s="73"/>
      <c r="IHH36" s="73"/>
      <c r="IHI36" s="73"/>
      <c r="IHJ36" s="73"/>
      <c r="IHK36" s="73"/>
      <c r="IHL36" s="73"/>
      <c r="IHM36" s="73"/>
      <c r="IHN36" s="73"/>
      <c r="IHO36" s="73"/>
      <c r="IHP36" s="73"/>
      <c r="IHQ36" s="73"/>
      <c r="IHR36" s="73"/>
      <c r="IHS36" s="73"/>
      <c r="IHT36" s="73"/>
      <c r="IHU36" s="73"/>
      <c r="IHV36" s="73"/>
      <c r="IHW36" s="73"/>
      <c r="IHX36" s="73"/>
      <c r="IHY36" s="73"/>
      <c r="IHZ36" s="73"/>
      <c r="IIA36" s="73"/>
      <c r="IIB36" s="73"/>
      <c r="IIC36" s="73"/>
      <c r="IID36" s="73"/>
      <c r="IIE36" s="73"/>
      <c r="IIF36" s="73"/>
      <c r="IIG36" s="73"/>
      <c r="IIH36" s="73"/>
      <c r="III36" s="73"/>
      <c r="IIJ36" s="73"/>
      <c r="IIK36" s="73"/>
      <c r="IIL36" s="73"/>
      <c r="IIM36" s="73"/>
      <c r="IIN36" s="73"/>
      <c r="IIO36" s="73"/>
      <c r="IIP36" s="73"/>
      <c r="IIQ36" s="73"/>
      <c r="IIR36" s="73"/>
      <c r="IIS36" s="73"/>
      <c r="IIT36" s="73"/>
      <c r="IIU36" s="73"/>
      <c r="IIV36" s="73"/>
      <c r="IIW36" s="73"/>
      <c r="IIX36" s="73"/>
      <c r="IIY36" s="73"/>
      <c r="IIZ36" s="73"/>
      <c r="IJA36" s="73"/>
      <c r="IJB36" s="73"/>
      <c r="IJC36" s="73"/>
      <c r="IJD36" s="73"/>
      <c r="IJE36" s="73"/>
      <c r="IJF36" s="73"/>
      <c r="IJG36" s="73"/>
      <c r="IJH36" s="73"/>
      <c r="IJI36" s="73"/>
      <c r="IJJ36" s="73"/>
      <c r="IJK36" s="73"/>
      <c r="IJL36" s="73"/>
      <c r="IJM36" s="73"/>
      <c r="IJN36" s="73"/>
      <c r="IJO36" s="73"/>
      <c r="IJP36" s="73"/>
      <c r="IJQ36" s="73"/>
      <c r="IJR36" s="73"/>
      <c r="IJS36" s="73"/>
      <c r="IJT36" s="73"/>
      <c r="IJU36" s="73"/>
      <c r="IJV36" s="73"/>
      <c r="IJW36" s="73"/>
      <c r="IJX36" s="73"/>
      <c r="IJY36" s="73"/>
      <c r="IJZ36" s="73"/>
      <c r="IKA36" s="73"/>
      <c r="IKB36" s="73"/>
      <c r="IKC36" s="73"/>
      <c r="IKD36" s="73"/>
      <c r="IKE36" s="73"/>
      <c r="IKF36" s="73"/>
      <c r="IKG36" s="73"/>
      <c r="IKH36" s="73"/>
      <c r="IKI36" s="73"/>
      <c r="IKJ36" s="73"/>
      <c r="IKK36" s="73"/>
      <c r="IKL36" s="73"/>
      <c r="IKM36" s="73"/>
      <c r="IKN36" s="73"/>
      <c r="IKO36" s="73"/>
      <c r="IKP36" s="73"/>
      <c r="IKQ36" s="73"/>
      <c r="IKR36" s="73"/>
      <c r="IKS36" s="73"/>
      <c r="IKT36" s="73"/>
      <c r="IKU36" s="73"/>
      <c r="IKV36" s="73"/>
      <c r="IKW36" s="73"/>
      <c r="IKX36" s="73"/>
      <c r="IKY36" s="73"/>
      <c r="IKZ36" s="73"/>
      <c r="ILA36" s="73"/>
      <c r="ILB36" s="73"/>
      <c r="ILC36" s="73"/>
      <c r="ILD36" s="73"/>
      <c r="ILE36" s="73"/>
      <c r="ILF36" s="73"/>
      <c r="ILG36" s="73"/>
      <c r="ILH36" s="73"/>
      <c r="ILI36" s="73"/>
      <c r="ILJ36" s="73"/>
      <c r="ILK36" s="73"/>
      <c r="ILL36" s="73"/>
      <c r="ILM36" s="73"/>
      <c r="ILN36" s="73"/>
      <c r="ILO36" s="73"/>
      <c r="ILP36" s="73"/>
      <c r="ILQ36" s="73"/>
      <c r="ILR36" s="73"/>
      <c r="ILS36" s="73"/>
      <c r="ILT36" s="73"/>
      <c r="ILU36" s="73"/>
      <c r="ILV36" s="73"/>
      <c r="ILW36" s="73"/>
      <c r="ILX36" s="73"/>
      <c r="ILY36" s="73"/>
      <c r="ILZ36" s="73"/>
      <c r="IMA36" s="73"/>
      <c r="IMB36" s="73"/>
      <c r="IMC36" s="73"/>
      <c r="IMD36" s="73"/>
      <c r="IME36" s="73"/>
      <c r="IMF36" s="73"/>
      <c r="IMG36" s="73"/>
      <c r="IMH36" s="73"/>
      <c r="IMI36" s="73"/>
      <c r="IMJ36" s="73"/>
      <c r="IMK36" s="73"/>
      <c r="IML36" s="73"/>
      <c r="IMM36" s="73"/>
      <c r="IMN36" s="73"/>
      <c r="IMO36" s="73"/>
      <c r="IMP36" s="73"/>
      <c r="IMQ36" s="73"/>
      <c r="IMR36" s="73"/>
      <c r="IMS36" s="73"/>
      <c r="IMT36" s="73"/>
      <c r="IMU36" s="73"/>
      <c r="IMV36" s="73"/>
      <c r="IMW36" s="73"/>
      <c r="IMX36" s="73"/>
      <c r="IMY36" s="73"/>
      <c r="IMZ36" s="73"/>
      <c r="INA36" s="73"/>
      <c r="INB36" s="73"/>
      <c r="INC36" s="73"/>
      <c r="IND36" s="73"/>
      <c r="INE36" s="73"/>
      <c r="INF36" s="73"/>
      <c r="ING36" s="73"/>
      <c r="INH36" s="73"/>
      <c r="INI36" s="73"/>
      <c r="INJ36" s="73"/>
      <c r="INK36" s="73"/>
      <c r="INL36" s="73"/>
      <c r="INM36" s="73"/>
      <c r="INN36" s="73"/>
      <c r="INO36" s="73"/>
      <c r="INP36" s="73"/>
      <c r="INQ36" s="73"/>
      <c r="INR36" s="73"/>
      <c r="INS36" s="73"/>
      <c r="INT36" s="73"/>
      <c r="INU36" s="73"/>
      <c r="INV36" s="73"/>
      <c r="INW36" s="73"/>
      <c r="INX36" s="73"/>
      <c r="INY36" s="73"/>
      <c r="INZ36" s="73"/>
      <c r="IOA36" s="73"/>
      <c r="IOB36" s="73"/>
      <c r="IOC36" s="73"/>
      <c r="IOD36" s="73"/>
      <c r="IOE36" s="73"/>
      <c r="IOF36" s="73"/>
      <c r="IOG36" s="73"/>
      <c r="IOH36" s="73"/>
      <c r="IOI36" s="73"/>
      <c r="IOJ36" s="73"/>
      <c r="IOK36" s="73"/>
      <c r="IOL36" s="73"/>
      <c r="IOM36" s="73"/>
      <c r="ION36" s="73"/>
      <c r="IOO36" s="73"/>
      <c r="IOP36" s="73"/>
      <c r="IOQ36" s="73"/>
      <c r="IOR36" s="73"/>
      <c r="IOS36" s="73"/>
      <c r="IOT36" s="73"/>
      <c r="IOU36" s="73"/>
      <c r="IOV36" s="73"/>
      <c r="IOW36" s="73"/>
      <c r="IOX36" s="73"/>
      <c r="IOY36" s="73"/>
      <c r="IOZ36" s="73"/>
      <c r="IPA36" s="73"/>
      <c r="IPB36" s="73"/>
      <c r="IPC36" s="73"/>
      <c r="IPD36" s="73"/>
      <c r="IPE36" s="73"/>
      <c r="IPF36" s="73"/>
      <c r="IPG36" s="73"/>
      <c r="IPH36" s="73"/>
      <c r="IPI36" s="73"/>
      <c r="IPJ36" s="73"/>
      <c r="IPK36" s="73"/>
      <c r="IPL36" s="73"/>
      <c r="IPM36" s="73"/>
      <c r="IPN36" s="73"/>
      <c r="IPO36" s="73"/>
      <c r="IPP36" s="73"/>
      <c r="IPQ36" s="73"/>
      <c r="IPR36" s="73"/>
      <c r="IPS36" s="73"/>
      <c r="IPT36" s="73"/>
      <c r="IPU36" s="73"/>
      <c r="IPV36" s="73"/>
      <c r="IPW36" s="73"/>
      <c r="IPX36" s="73"/>
      <c r="IPY36" s="73"/>
      <c r="IPZ36" s="73"/>
      <c r="IQA36" s="73"/>
      <c r="IQB36" s="73"/>
      <c r="IQC36" s="73"/>
      <c r="IQD36" s="73"/>
      <c r="IQE36" s="73"/>
      <c r="IQF36" s="73"/>
      <c r="IQG36" s="73"/>
      <c r="IQH36" s="73"/>
      <c r="IQI36" s="73"/>
      <c r="IQJ36" s="73"/>
      <c r="IQK36" s="73"/>
      <c r="IQL36" s="73"/>
      <c r="IQM36" s="73"/>
      <c r="IQN36" s="73"/>
      <c r="IQO36" s="73"/>
      <c r="IQP36" s="73"/>
      <c r="IQQ36" s="73"/>
      <c r="IQR36" s="73"/>
      <c r="IQS36" s="73"/>
      <c r="IQT36" s="73"/>
      <c r="IQU36" s="73"/>
      <c r="IQV36" s="73"/>
      <c r="IQW36" s="73"/>
      <c r="IQX36" s="73"/>
      <c r="IQY36" s="73"/>
      <c r="IQZ36" s="73"/>
      <c r="IRA36" s="73"/>
      <c r="IRB36" s="73"/>
      <c r="IRC36" s="73"/>
      <c r="IRD36" s="73"/>
      <c r="IRE36" s="73"/>
      <c r="IRF36" s="73"/>
      <c r="IRG36" s="73"/>
      <c r="IRH36" s="73"/>
      <c r="IRI36" s="73"/>
      <c r="IRJ36" s="73"/>
      <c r="IRK36" s="73"/>
      <c r="IRL36" s="73"/>
      <c r="IRM36" s="73"/>
      <c r="IRN36" s="73"/>
      <c r="IRO36" s="73"/>
      <c r="IRP36" s="73"/>
      <c r="IRQ36" s="73"/>
      <c r="IRR36" s="73"/>
      <c r="IRS36" s="73"/>
      <c r="IRT36" s="73"/>
      <c r="IRU36" s="73"/>
      <c r="IRV36" s="73"/>
      <c r="IRW36" s="73"/>
      <c r="IRX36" s="73"/>
      <c r="IRY36" s="73"/>
      <c r="IRZ36" s="73"/>
      <c r="ISA36" s="73"/>
      <c r="ISB36" s="73"/>
      <c r="ISC36" s="73"/>
      <c r="ISD36" s="73"/>
      <c r="ISE36" s="73"/>
      <c r="ISF36" s="73"/>
      <c r="ISG36" s="73"/>
      <c r="ISH36" s="73"/>
      <c r="ISI36" s="73"/>
      <c r="ISJ36" s="73"/>
      <c r="ISK36" s="73"/>
      <c r="ISL36" s="73"/>
      <c r="ISM36" s="73"/>
      <c r="ISN36" s="73"/>
      <c r="ISO36" s="73"/>
      <c r="ISP36" s="73"/>
      <c r="ISQ36" s="73"/>
      <c r="ISR36" s="73"/>
      <c r="ISS36" s="73"/>
      <c r="IST36" s="73"/>
      <c r="ISU36" s="73"/>
      <c r="ISV36" s="73"/>
      <c r="ISW36" s="73"/>
      <c r="ISX36" s="73"/>
      <c r="ISY36" s="73"/>
      <c r="ISZ36" s="73"/>
      <c r="ITA36" s="73"/>
      <c r="ITB36" s="73"/>
      <c r="ITC36" s="73"/>
      <c r="ITD36" s="73"/>
      <c r="ITE36" s="73"/>
      <c r="ITF36" s="73"/>
      <c r="ITG36" s="73"/>
      <c r="ITH36" s="73"/>
      <c r="ITI36" s="73"/>
      <c r="ITJ36" s="73"/>
      <c r="ITK36" s="73"/>
      <c r="ITL36" s="73"/>
      <c r="ITM36" s="73"/>
      <c r="ITN36" s="73"/>
      <c r="ITO36" s="73"/>
      <c r="ITP36" s="73"/>
      <c r="ITQ36" s="73"/>
      <c r="ITR36" s="73"/>
      <c r="ITS36" s="73"/>
      <c r="ITT36" s="73"/>
      <c r="ITU36" s="73"/>
      <c r="ITV36" s="73"/>
      <c r="ITW36" s="73"/>
      <c r="ITX36" s="73"/>
      <c r="ITY36" s="73"/>
      <c r="ITZ36" s="73"/>
      <c r="IUA36" s="73"/>
      <c r="IUB36" s="73"/>
      <c r="IUC36" s="73"/>
      <c r="IUD36" s="73"/>
      <c r="IUE36" s="73"/>
      <c r="IUF36" s="73"/>
      <c r="IUG36" s="73"/>
      <c r="IUH36" s="73"/>
      <c r="IUI36" s="73"/>
      <c r="IUJ36" s="73"/>
      <c r="IUK36" s="73"/>
      <c r="IUL36" s="73"/>
      <c r="IUM36" s="73"/>
      <c r="IUN36" s="73"/>
      <c r="IUO36" s="73"/>
      <c r="IUP36" s="73"/>
      <c r="IUQ36" s="73"/>
      <c r="IUR36" s="73"/>
      <c r="IUS36" s="73"/>
      <c r="IUT36" s="73"/>
      <c r="IUU36" s="73"/>
      <c r="IUV36" s="73"/>
      <c r="IUW36" s="73"/>
      <c r="IUX36" s="73"/>
      <c r="IUY36" s="73"/>
      <c r="IUZ36" s="73"/>
      <c r="IVA36" s="73"/>
      <c r="IVB36" s="73"/>
      <c r="IVC36" s="73"/>
      <c r="IVD36" s="73"/>
      <c r="IVE36" s="73"/>
      <c r="IVF36" s="73"/>
      <c r="IVG36" s="73"/>
      <c r="IVH36" s="73"/>
      <c r="IVI36" s="73"/>
      <c r="IVJ36" s="73"/>
      <c r="IVK36" s="73"/>
      <c r="IVL36" s="73"/>
      <c r="IVM36" s="73"/>
      <c r="IVN36" s="73"/>
      <c r="IVO36" s="73"/>
      <c r="IVP36" s="73"/>
      <c r="IVQ36" s="73"/>
      <c r="IVR36" s="73"/>
      <c r="IVS36" s="73"/>
      <c r="IVT36" s="73"/>
      <c r="IVU36" s="73"/>
      <c r="IVV36" s="73"/>
      <c r="IVW36" s="73"/>
      <c r="IVX36" s="73"/>
      <c r="IVY36" s="73"/>
      <c r="IVZ36" s="73"/>
      <c r="IWA36" s="73"/>
      <c r="IWB36" s="73"/>
      <c r="IWC36" s="73"/>
      <c r="IWD36" s="73"/>
      <c r="IWE36" s="73"/>
      <c r="IWF36" s="73"/>
      <c r="IWG36" s="73"/>
      <c r="IWH36" s="73"/>
      <c r="IWI36" s="73"/>
      <c r="IWJ36" s="73"/>
      <c r="IWK36" s="73"/>
      <c r="IWL36" s="73"/>
      <c r="IWM36" s="73"/>
      <c r="IWN36" s="73"/>
      <c r="IWO36" s="73"/>
      <c r="IWP36" s="73"/>
      <c r="IWQ36" s="73"/>
      <c r="IWR36" s="73"/>
      <c r="IWS36" s="73"/>
      <c r="IWT36" s="73"/>
      <c r="IWU36" s="73"/>
      <c r="IWV36" s="73"/>
      <c r="IWW36" s="73"/>
      <c r="IWX36" s="73"/>
      <c r="IWY36" s="73"/>
      <c r="IWZ36" s="73"/>
      <c r="IXA36" s="73"/>
      <c r="IXB36" s="73"/>
      <c r="IXC36" s="73"/>
      <c r="IXD36" s="73"/>
      <c r="IXE36" s="73"/>
      <c r="IXF36" s="73"/>
      <c r="IXG36" s="73"/>
      <c r="IXH36" s="73"/>
      <c r="IXI36" s="73"/>
      <c r="IXJ36" s="73"/>
      <c r="IXK36" s="73"/>
      <c r="IXL36" s="73"/>
      <c r="IXM36" s="73"/>
      <c r="IXN36" s="73"/>
      <c r="IXO36" s="73"/>
      <c r="IXP36" s="73"/>
      <c r="IXQ36" s="73"/>
      <c r="IXR36" s="73"/>
      <c r="IXS36" s="73"/>
      <c r="IXT36" s="73"/>
      <c r="IXU36" s="73"/>
      <c r="IXV36" s="73"/>
      <c r="IXW36" s="73"/>
      <c r="IXX36" s="73"/>
      <c r="IXY36" s="73"/>
      <c r="IXZ36" s="73"/>
      <c r="IYA36" s="73"/>
      <c r="IYB36" s="73"/>
      <c r="IYC36" s="73"/>
      <c r="IYD36" s="73"/>
      <c r="IYE36" s="73"/>
      <c r="IYF36" s="73"/>
      <c r="IYG36" s="73"/>
      <c r="IYH36" s="73"/>
      <c r="IYI36" s="73"/>
      <c r="IYJ36" s="73"/>
      <c r="IYK36" s="73"/>
      <c r="IYL36" s="73"/>
      <c r="IYM36" s="73"/>
      <c r="IYN36" s="73"/>
      <c r="IYO36" s="73"/>
      <c r="IYP36" s="73"/>
      <c r="IYQ36" s="73"/>
      <c r="IYR36" s="73"/>
      <c r="IYS36" s="73"/>
      <c r="IYT36" s="73"/>
      <c r="IYU36" s="73"/>
      <c r="IYV36" s="73"/>
      <c r="IYW36" s="73"/>
      <c r="IYX36" s="73"/>
      <c r="IYY36" s="73"/>
      <c r="IYZ36" s="73"/>
      <c r="IZA36" s="73"/>
      <c r="IZB36" s="73"/>
      <c r="IZC36" s="73"/>
      <c r="IZD36" s="73"/>
      <c r="IZE36" s="73"/>
      <c r="IZF36" s="73"/>
      <c r="IZG36" s="73"/>
      <c r="IZH36" s="73"/>
      <c r="IZI36" s="73"/>
      <c r="IZJ36" s="73"/>
      <c r="IZK36" s="73"/>
      <c r="IZL36" s="73"/>
      <c r="IZM36" s="73"/>
      <c r="IZN36" s="73"/>
      <c r="IZO36" s="73"/>
      <c r="IZP36" s="73"/>
      <c r="IZQ36" s="73"/>
      <c r="IZR36" s="73"/>
      <c r="IZS36" s="73"/>
      <c r="IZT36" s="73"/>
      <c r="IZU36" s="73"/>
      <c r="IZV36" s="73"/>
      <c r="IZW36" s="73"/>
      <c r="IZX36" s="73"/>
      <c r="IZY36" s="73"/>
      <c r="IZZ36" s="73"/>
      <c r="JAA36" s="73"/>
      <c r="JAB36" s="73"/>
      <c r="JAC36" s="73"/>
      <c r="JAD36" s="73"/>
      <c r="JAE36" s="73"/>
      <c r="JAF36" s="73"/>
      <c r="JAG36" s="73"/>
      <c r="JAH36" s="73"/>
      <c r="JAI36" s="73"/>
      <c r="JAJ36" s="73"/>
      <c r="JAK36" s="73"/>
      <c r="JAL36" s="73"/>
      <c r="JAM36" s="73"/>
      <c r="JAN36" s="73"/>
      <c r="JAO36" s="73"/>
      <c r="JAP36" s="73"/>
      <c r="JAQ36" s="73"/>
      <c r="JAR36" s="73"/>
      <c r="JAS36" s="73"/>
      <c r="JAT36" s="73"/>
      <c r="JAU36" s="73"/>
      <c r="JAV36" s="73"/>
      <c r="JAW36" s="73"/>
      <c r="JAX36" s="73"/>
      <c r="JAY36" s="73"/>
      <c r="JAZ36" s="73"/>
      <c r="JBA36" s="73"/>
      <c r="JBB36" s="73"/>
      <c r="JBC36" s="73"/>
      <c r="JBD36" s="73"/>
      <c r="JBE36" s="73"/>
      <c r="JBF36" s="73"/>
      <c r="JBG36" s="73"/>
      <c r="JBH36" s="73"/>
      <c r="JBI36" s="73"/>
      <c r="JBJ36" s="73"/>
      <c r="JBK36" s="73"/>
      <c r="JBL36" s="73"/>
      <c r="JBM36" s="73"/>
      <c r="JBN36" s="73"/>
      <c r="JBO36" s="73"/>
      <c r="JBP36" s="73"/>
      <c r="JBQ36" s="73"/>
      <c r="JBR36" s="73"/>
      <c r="JBS36" s="73"/>
      <c r="JBT36" s="73"/>
      <c r="JBU36" s="73"/>
      <c r="JBV36" s="73"/>
      <c r="JBW36" s="73"/>
      <c r="JBX36" s="73"/>
      <c r="JBY36" s="73"/>
      <c r="JBZ36" s="73"/>
      <c r="JCA36" s="73"/>
      <c r="JCB36" s="73"/>
      <c r="JCC36" s="73"/>
      <c r="JCD36" s="73"/>
      <c r="JCE36" s="73"/>
      <c r="JCF36" s="73"/>
      <c r="JCG36" s="73"/>
      <c r="JCH36" s="73"/>
      <c r="JCI36" s="73"/>
      <c r="JCJ36" s="73"/>
      <c r="JCK36" s="73"/>
      <c r="JCL36" s="73"/>
      <c r="JCM36" s="73"/>
      <c r="JCN36" s="73"/>
      <c r="JCO36" s="73"/>
      <c r="JCP36" s="73"/>
      <c r="JCQ36" s="73"/>
      <c r="JCR36" s="73"/>
      <c r="JCS36" s="73"/>
      <c r="JCT36" s="73"/>
      <c r="JCU36" s="73"/>
      <c r="JCV36" s="73"/>
      <c r="JCW36" s="73"/>
      <c r="JCX36" s="73"/>
      <c r="JCY36" s="73"/>
      <c r="JCZ36" s="73"/>
      <c r="JDA36" s="73"/>
      <c r="JDB36" s="73"/>
      <c r="JDC36" s="73"/>
      <c r="JDD36" s="73"/>
      <c r="JDE36" s="73"/>
      <c r="JDF36" s="73"/>
      <c r="JDG36" s="73"/>
      <c r="JDH36" s="73"/>
      <c r="JDI36" s="73"/>
      <c r="JDJ36" s="73"/>
      <c r="JDK36" s="73"/>
      <c r="JDL36" s="73"/>
      <c r="JDM36" s="73"/>
      <c r="JDN36" s="73"/>
      <c r="JDO36" s="73"/>
      <c r="JDP36" s="73"/>
      <c r="JDQ36" s="73"/>
      <c r="JDR36" s="73"/>
      <c r="JDS36" s="73"/>
      <c r="JDT36" s="73"/>
      <c r="JDU36" s="73"/>
      <c r="JDV36" s="73"/>
      <c r="JDW36" s="73"/>
      <c r="JDX36" s="73"/>
      <c r="JDY36" s="73"/>
      <c r="JDZ36" s="73"/>
      <c r="JEA36" s="73"/>
      <c r="JEB36" s="73"/>
      <c r="JEC36" s="73"/>
      <c r="JED36" s="73"/>
      <c r="JEE36" s="73"/>
      <c r="JEF36" s="73"/>
      <c r="JEG36" s="73"/>
      <c r="JEH36" s="73"/>
      <c r="JEI36" s="73"/>
      <c r="JEJ36" s="73"/>
      <c r="JEK36" s="73"/>
      <c r="JEL36" s="73"/>
      <c r="JEM36" s="73"/>
      <c r="JEN36" s="73"/>
      <c r="JEO36" s="73"/>
      <c r="JEP36" s="73"/>
      <c r="JEQ36" s="73"/>
      <c r="JER36" s="73"/>
      <c r="JES36" s="73"/>
      <c r="JET36" s="73"/>
      <c r="JEU36" s="73"/>
      <c r="JEV36" s="73"/>
      <c r="JEW36" s="73"/>
      <c r="JEX36" s="73"/>
      <c r="JEY36" s="73"/>
      <c r="JEZ36" s="73"/>
      <c r="JFA36" s="73"/>
      <c r="JFB36" s="73"/>
      <c r="JFC36" s="73"/>
      <c r="JFD36" s="73"/>
      <c r="JFE36" s="73"/>
      <c r="JFF36" s="73"/>
      <c r="JFG36" s="73"/>
      <c r="JFH36" s="73"/>
      <c r="JFI36" s="73"/>
      <c r="JFJ36" s="73"/>
      <c r="JFK36" s="73"/>
      <c r="JFL36" s="73"/>
      <c r="JFM36" s="73"/>
      <c r="JFN36" s="73"/>
      <c r="JFO36" s="73"/>
      <c r="JFP36" s="73"/>
      <c r="JFQ36" s="73"/>
      <c r="JFR36" s="73"/>
      <c r="JFS36" s="73"/>
      <c r="JFT36" s="73"/>
      <c r="JFU36" s="73"/>
      <c r="JFV36" s="73"/>
      <c r="JFW36" s="73"/>
      <c r="JFX36" s="73"/>
      <c r="JFY36" s="73"/>
      <c r="JFZ36" s="73"/>
      <c r="JGA36" s="73"/>
      <c r="JGB36" s="73"/>
      <c r="JGC36" s="73"/>
      <c r="JGD36" s="73"/>
      <c r="JGE36" s="73"/>
      <c r="JGF36" s="73"/>
      <c r="JGG36" s="73"/>
      <c r="JGH36" s="73"/>
      <c r="JGI36" s="73"/>
      <c r="JGJ36" s="73"/>
      <c r="JGK36" s="73"/>
      <c r="JGL36" s="73"/>
      <c r="JGM36" s="73"/>
      <c r="JGN36" s="73"/>
      <c r="JGO36" s="73"/>
      <c r="JGP36" s="73"/>
      <c r="JGQ36" s="73"/>
      <c r="JGR36" s="73"/>
      <c r="JGS36" s="73"/>
      <c r="JGT36" s="73"/>
      <c r="JGU36" s="73"/>
      <c r="JGV36" s="73"/>
      <c r="JGW36" s="73"/>
      <c r="JGX36" s="73"/>
      <c r="JGY36" s="73"/>
      <c r="JGZ36" s="73"/>
      <c r="JHA36" s="73"/>
      <c r="JHB36" s="73"/>
      <c r="JHC36" s="73"/>
      <c r="JHD36" s="73"/>
      <c r="JHE36" s="73"/>
      <c r="JHF36" s="73"/>
      <c r="JHG36" s="73"/>
      <c r="JHH36" s="73"/>
      <c r="JHI36" s="73"/>
      <c r="JHJ36" s="73"/>
      <c r="JHK36" s="73"/>
      <c r="JHL36" s="73"/>
      <c r="JHM36" s="73"/>
      <c r="JHN36" s="73"/>
      <c r="JHO36" s="73"/>
      <c r="JHP36" s="73"/>
      <c r="JHQ36" s="73"/>
      <c r="JHR36" s="73"/>
      <c r="JHS36" s="73"/>
      <c r="JHT36" s="73"/>
      <c r="JHU36" s="73"/>
      <c r="JHV36" s="73"/>
      <c r="JHW36" s="73"/>
      <c r="JHX36" s="73"/>
      <c r="JHY36" s="73"/>
      <c r="JHZ36" s="73"/>
      <c r="JIA36" s="73"/>
      <c r="JIB36" s="73"/>
      <c r="JIC36" s="73"/>
      <c r="JID36" s="73"/>
      <c r="JIE36" s="73"/>
      <c r="JIF36" s="73"/>
      <c r="JIG36" s="73"/>
      <c r="JIH36" s="73"/>
      <c r="JII36" s="73"/>
      <c r="JIJ36" s="73"/>
      <c r="JIK36" s="73"/>
      <c r="JIL36" s="73"/>
      <c r="JIM36" s="73"/>
      <c r="JIN36" s="73"/>
      <c r="JIO36" s="73"/>
      <c r="JIP36" s="73"/>
      <c r="JIQ36" s="73"/>
      <c r="JIR36" s="73"/>
      <c r="JIS36" s="73"/>
      <c r="JIT36" s="73"/>
      <c r="JIU36" s="73"/>
      <c r="JIV36" s="73"/>
      <c r="JIW36" s="73"/>
      <c r="JIX36" s="73"/>
      <c r="JIY36" s="73"/>
      <c r="JIZ36" s="73"/>
      <c r="JJA36" s="73"/>
      <c r="JJB36" s="73"/>
      <c r="JJC36" s="73"/>
      <c r="JJD36" s="73"/>
      <c r="JJE36" s="73"/>
      <c r="JJF36" s="73"/>
      <c r="JJG36" s="73"/>
      <c r="JJH36" s="73"/>
      <c r="JJI36" s="73"/>
      <c r="JJJ36" s="73"/>
      <c r="JJK36" s="73"/>
      <c r="JJL36" s="73"/>
      <c r="JJM36" s="73"/>
      <c r="JJN36" s="73"/>
      <c r="JJO36" s="73"/>
      <c r="JJP36" s="73"/>
      <c r="JJQ36" s="73"/>
      <c r="JJR36" s="73"/>
      <c r="JJS36" s="73"/>
      <c r="JJT36" s="73"/>
      <c r="JJU36" s="73"/>
      <c r="JJV36" s="73"/>
      <c r="JJW36" s="73"/>
      <c r="JJX36" s="73"/>
      <c r="JJY36" s="73"/>
      <c r="JJZ36" s="73"/>
      <c r="JKA36" s="73"/>
      <c r="JKB36" s="73"/>
      <c r="JKC36" s="73"/>
      <c r="JKD36" s="73"/>
      <c r="JKE36" s="73"/>
      <c r="JKF36" s="73"/>
      <c r="JKG36" s="73"/>
      <c r="JKH36" s="73"/>
      <c r="JKI36" s="73"/>
      <c r="JKJ36" s="73"/>
      <c r="JKK36" s="73"/>
      <c r="JKL36" s="73"/>
      <c r="JKM36" s="73"/>
      <c r="JKN36" s="73"/>
      <c r="JKO36" s="73"/>
      <c r="JKP36" s="73"/>
      <c r="JKQ36" s="73"/>
      <c r="JKR36" s="73"/>
      <c r="JKS36" s="73"/>
      <c r="JKT36" s="73"/>
      <c r="JKU36" s="73"/>
      <c r="JKV36" s="73"/>
      <c r="JKW36" s="73"/>
      <c r="JKX36" s="73"/>
      <c r="JKY36" s="73"/>
      <c r="JKZ36" s="73"/>
      <c r="JLA36" s="73"/>
      <c r="JLB36" s="73"/>
      <c r="JLC36" s="73"/>
      <c r="JLD36" s="73"/>
      <c r="JLE36" s="73"/>
      <c r="JLF36" s="73"/>
      <c r="JLG36" s="73"/>
      <c r="JLH36" s="73"/>
      <c r="JLI36" s="73"/>
      <c r="JLJ36" s="73"/>
      <c r="JLK36" s="73"/>
      <c r="JLL36" s="73"/>
      <c r="JLM36" s="73"/>
      <c r="JLN36" s="73"/>
      <c r="JLO36" s="73"/>
      <c r="JLP36" s="73"/>
      <c r="JLQ36" s="73"/>
      <c r="JLR36" s="73"/>
      <c r="JLS36" s="73"/>
      <c r="JLT36" s="73"/>
      <c r="JLU36" s="73"/>
      <c r="JLV36" s="73"/>
      <c r="JLW36" s="73"/>
      <c r="JLX36" s="73"/>
      <c r="JLY36" s="73"/>
      <c r="JLZ36" s="73"/>
      <c r="JMA36" s="73"/>
      <c r="JMB36" s="73"/>
      <c r="JMC36" s="73"/>
      <c r="JMD36" s="73"/>
      <c r="JME36" s="73"/>
      <c r="JMF36" s="73"/>
      <c r="JMG36" s="73"/>
      <c r="JMH36" s="73"/>
      <c r="JMI36" s="73"/>
      <c r="JMJ36" s="73"/>
      <c r="JMK36" s="73"/>
      <c r="JML36" s="73"/>
      <c r="JMM36" s="73"/>
      <c r="JMN36" s="73"/>
      <c r="JMO36" s="73"/>
      <c r="JMP36" s="73"/>
      <c r="JMQ36" s="73"/>
      <c r="JMR36" s="73"/>
      <c r="JMS36" s="73"/>
      <c r="JMT36" s="73"/>
      <c r="JMU36" s="73"/>
      <c r="JMV36" s="73"/>
      <c r="JMW36" s="73"/>
      <c r="JMX36" s="73"/>
      <c r="JMY36" s="73"/>
      <c r="JMZ36" s="73"/>
      <c r="JNA36" s="73"/>
      <c r="JNB36" s="73"/>
      <c r="JNC36" s="73"/>
      <c r="JND36" s="73"/>
      <c r="JNE36" s="73"/>
      <c r="JNF36" s="73"/>
      <c r="JNG36" s="73"/>
      <c r="JNH36" s="73"/>
      <c r="JNI36" s="73"/>
      <c r="JNJ36" s="73"/>
      <c r="JNK36" s="73"/>
      <c r="JNL36" s="73"/>
      <c r="JNM36" s="73"/>
      <c r="JNN36" s="73"/>
      <c r="JNO36" s="73"/>
      <c r="JNP36" s="73"/>
      <c r="JNQ36" s="73"/>
      <c r="JNR36" s="73"/>
      <c r="JNS36" s="73"/>
      <c r="JNT36" s="73"/>
      <c r="JNU36" s="73"/>
      <c r="JNV36" s="73"/>
      <c r="JNW36" s="73"/>
      <c r="JNX36" s="73"/>
      <c r="JNY36" s="73"/>
      <c r="JNZ36" s="73"/>
      <c r="JOA36" s="73"/>
      <c r="JOB36" s="73"/>
      <c r="JOC36" s="73"/>
      <c r="JOD36" s="73"/>
      <c r="JOE36" s="73"/>
      <c r="JOF36" s="73"/>
      <c r="JOG36" s="73"/>
      <c r="JOH36" s="73"/>
      <c r="JOI36" s="73"/>
      <c r="JOJ36" s="73"/>
      <c r="JOK36" s="73"/>
      <c r="JOL36" s="73"/>
      <c r="JOM36" s="73"/>
      <c r="JON36" s="73"/>
      <c r="JOO36" s="73"/>
      <c r="JOP36" s="73"/>
      <c r="JOQ36" s="73"/>
      <c r="JOR36" s="73"/>
      <c r="JOS36" s="73"/>
      <c r="JOT36" s="73"/>
      <c r="JOU36" s="73"/>
      <c r="JOV36" s="73"/>
      <c r="JOW36" s="73"/>
      <c r="JOX36" s="73"/>
      <c r="JOY36" s="73"/>
      <c r="JOZ36" s="73"/>
      <c r="JPA36" s="73"/>
      <c r="JPB36" s="73"/>
      <c r="JPC36" s="73"/>
      <c r="JPD36" s="73"/>
      <c r="JPE36" s="73"/>
      <c r="JPF36" s="73"/>
      <c r="JPG36" s="73"/>
      <c r="JPH36" s="73"/>
      <c r="JPI36" s="73"/>
      <c r="JPJ36" s="73"/>
      <c r="JPK36" s="73"/>
      <c r="JPL36" s="73"/>
      <c r="JPM36" s="73"/>
      <c r="JPN36" s="73"/>
      <c r="JPO36" s="73"/>
      <c r="JPP36" s="73"/>
      <c r="JPQ36" s="73"/>
      <c r="JPR36" s="73"/>
      <c r="JPS36" s="73"/>
      <c r="JPT36" s="73"/>
      <c r="JPU36" s="73"/>
      <c r="JPV36" s="73"/>
      <c r="JPW36" s="73"/>
      <c r="JPX36" s="73"/>
      <c r="JPY36" s="73"/>
      <c r="JPZ36" s="73"/>
      <c r="JQA36" s="73"/>
      <c r="JQB36" s="73"/>
      <c r="JQC36" s="73"/>
      <c r="JQD36" s="73"/>
      <c r="JQE36" s="73"/>
      <c r="JQF36" s="73"/>
      <c r="JQG36" s="73"/>
      <c r="JQH36" s="73"/>
      <c r="JQI36" s="73"/>
      <c r="JQJ36" s="73"/>
      <c r="JQK36" s="73"/>
      <c r="JQL36" s="73"/>
      <c r="JQM36" s="73"/>
      <c r="JQN36" s="73"/>
      <c r="JQO36" s="73"/>
      <c r="JQP36" s="73"/>
      <c r="JQQ36" s="73"/>
      <c r="JQR36" s="73"/>
      <c r="JQS36" s="73"/>
      <c r="JQT36" s="73"/>
      <c r="JQU36" s="73"/>
      <c r="JQV36" s="73"/>
      <c r="JQW36" s="73"/>
      <c r="JQX36" s="73"/>
      <c r="JQY36" s="73"/>
      <c r="JQZ36" s="73"/>
      <c r="JRA36" s="73"/>
      <c r="JRB36" s="73"/>
      <c r="JRC36" s="73"/>
      <c r="JRD36" s="73"/>
      <c r="JRE36" s="73"/>
      <c r="JRF36" s="73"/>
      <c r="JRG36" s="73"/>
      <c r="JRH36" s="73"/>
      <c r="JRI36" s="73"/>
      <c r="JRJ36" s="73"/>
      <c r="JRK36" s="73"/>
      <c r="JRL36" s="73"/>
      <c r="JRM36" s="73"/>
      <c r="JRN36" s="73"/>
      <c r="JRO36" s="73"/>
      <c r="JRP36" s="73"/>
      <c r="JRQ36" s="73"/>
      <c r="JRR36" s="73"/>
      <c r="JRS36" s="73"/>
      <c r="JRT36" s="73"/>
      <c r="JRU36" s="73"/>
      <c r="JRV36" s="73"/>
      <c r="JRW36" s="73"/>
      <c r="JRX36" s="73"/>
      <c r="JRY36" s="73"/>
      <c r="JRZ36" s="73"/>
      <c r="JSA36" s="73"/>
      <c r="JSB36" s="73"/>
      <c r="JSC36" s="73"/>
      <c r="JSD36" s="73"/>
      <c r="JSE36" s="73"/>
      <c r="JSF36" s="73"/>
      <c r="JSG36" s="73"/>
      <c r="JSH36" s="73"/>
      <c r="JSI36" s="73"/>
      <c r="JSJ36" s="73"/>
      <c r="JSK36" s="73"/>
      <c r="JSL36" s="73"/>
      <c r="JSM36" s="73"/>
      <c r="JSN36" s="73"/>
      <c r="JSO36" s="73"/>
      <c r="JSP36" s="73"/>
      <c r="JSQ36" s="73"/>
      <c r="JSR36" s="73"/>
      <c r="JSS36" s="73"/>
      <c r="JST36" s="73"/>
      <c r="JSU36" s="73"/>
      <c r="JSV36" s="73"/>
      <c r="JSW36" s="73"/>
      <c r="JSX36" s="73"/>
      <c r="JSY36" s="73"/>
      <c r="JSZ36" s="73"/>
      <c r="JTA36" s="73"/>
      <c r="JTB36" s="73"/>
      <c r="JTC36" s="73"/>
      <c r="JTD36" s="73"/>
      <c r="JTE36" s="73"/>
      <c r="JTF36" s="73"/>
      <c r="JTG36" s="73"/>
      <c r="JTH36" s="73"/>
      <c r="JTI36" s="73"/>
      <c r="JTJ36" s="73"/>
      <c r="JTK36" s="73"/>
      <c r="JTL36" s="73"/>
      <c r="JTM36" s="73"/>
      <c r="JTN36" s="73"/>
      <c r="JTO36" s="73"/>
      <c r="JTP36" s="73"/>
      <c r="JTQ36" s="73"/>
      <c r="JTR36" s="73"/>
      <c r="JTS36" s="73"/>
      <c r="JTT36" s="73"/>
      <c r="JTU36" s="73"/>
      <c r="JTV36" s="73"/>
      <c r="JTW36" s="73"/>
      <c r="JTX36" s="73"/>
      <c r="JTY36" s="73"/>
      <c r="JTZ36" s="73"/>
      <c r="JUA36" s="73"/>
      <c r="JUB36" s="73"/>
      <c r="JUC36" s="73"/>
      <c r="JUD36" s="73"/>
      <c r="JUE36" s="73"/>
      <c r="JUF36" s="73"/>
      <c r="JUG36" s="73"/>
      <c r="JUH36" s="73"/>
      <c r="JUI36" s="73"/>
      <c r="JUJ36" s="73"/>
      <c r="JUK36" s="73"/>
      <c r="JUL36" s="73"/>
      <c r="JUM36" s="73"/>
      <c r="JUN36" s="73"/>
      <c r="JUO36" s="73"/>
      <c r="JUP36" s="73"/>
      <c r="JUQ36" s="73"/>
      <c r="JUR36" s="73"/>
      <c r="JUS36" s="73"/>
      <c r="JUT36" s="73"/>
      <c r="JUU36" s="73"/>
      <c r="JUV36" s="73"/>
      <c r="JUW36" s="73"/>
      <c r="JUX36" s="73"/>
      <c r="JUY36" s="73"/>
      <c r="JUZ36" s="73"/>
      <c r="JVA36" s="73"/>
      <c r="JVB36" s="73"/>
      <c r="JVC36" s="73"/>
      <c r="JVD36" s="73"/>
      <c r="JVE36" s="73"/>
      <c r="JVF36" s="73"/>
      <c r="JVG36" s="73"/>
      <c r="JVH36" s="73"/>
      <c r="JVI36" s="73"/>
      <c r="JVJ36" s="73"/>
      <c r="JVK36" s="73"/>
      <c r="JVL36" s="73"/>
      <c r="JVM36" s="73"/>
      <c r="JVN36" s="73"/>
      <c r="JVO36" s="73"/>
      <c r="JVP36" s="73"/>
      <c r="JVQ36" s="73"/>
      <c r="JVR36" s="73"/>
      <c r="JVS36" s="73"/>
      <c r="JVT36" s="73"/>
      <c r="JVU36" s="73"/>
      <c r="JVV36" s="73"/>
      <c r="JVW36" s="73"/>
      <c r="JVX36" s="73"/>
      <c r="JVY36" s="73"/>
      <c r="JVZ36" s="73"/>
      <c r="JWA36" s="73"/>
      <c r="JWB36" s="73"/>
      <c r="JWC36" s="73"/>
      <c r="JWD36" s="73"/>
      <c r="JWE36" s="73"/>
      <c r="JWF36" s="73"/>
      <c r="JWG36" s="73"/>
      <c r="JWH36" s="73"/>
      <c r="JWI36" s="73"/>
      <c r="JWJ36" s="73"/>
      <c r="JWK36" s="73"/>
      <c r="JWL36" s="73"/>
      <c r="JWM36" s="73"/>
      <c r="JWN36" s="73"/>
      <c r="JWO36" s="73"/>
      <c r="JWP36" s="73"/>
      <c r="JWQ36" s="73"/>
      <c r="JWR36" s="73"/>
      <c r="JWS36" s="73"/>
      <c r="JWT36" s="73"/>
      <c r="JWU36" s="73"/>
      <c r="JWV36" s="73"/>
      <c r="JWW36" s="73"/>
      <c r="JWX36" s="73"/>
      <c r="JWY36" s="73"/>
      <c r="JWZ36" s="73"/>
      <c r="JXA36" s="73"/>
      <c r="JXB36" s="73"/>
      <c r="JXC36" s="73"/>
      <c r="JXD36" s="73"/>
      <c r="JXE36" s="73"/>
      <c r="JXF36" s="73"/>
      <c r="JXG36" s="73"/>
      <c r="JXH36" s="73"/>
      <c r="JXI36" s="73"/>
      <c r="JXJ36" s="73"/>
      <c r="JXK36" s="73"/>
      <c r="JXL36" s="73"/>
      <c r="JXM36" s="73"/>
      <c r="JXN36" s="73"/>
      <c r="JXO36" s="73"/>
      <c r="JXP36" s="73"/>
      <c r="JXQ36" s="73"/>
      <c r="JXR36" s="73"/>
      <c r="JXS36" s="73"/>
      <c r="JXT36" s="73"/>
      <c r="JXU36" s="73"/>
      <c r="JXV36" s="73"/>
      <c r="JXW36" s="73"/>
      <c r="JXX36" s="73"/>
      <c r="JXY36" s="73"/>
      <c r="JXZ36" s="73"/>
      <c r="JYA36" s="73"/>
      <c r="JYB36" s="73"/>
      <c r="JYC36" s="73"/>
      <c r="JYD36" s="73"/>
      <c r="JYE36" s="73"/>
      <c r="JYF36" s="73"/>
      <c r="JYG36" s="73"/>
      <c r="JYH36" s="73"/>
      <c r="JYI36" s="73"/>
      <c r="JYJ36" s="73"/>
      <c r="JYK36" s="73"/>
      <c r="JYL36" s="73"/>
      <c r="JYM36" s="73"/>
      <c r="JYN36" s="73"/>
      <c r="JYO36" s="73"/>
      <c r="JYP36" s="73"/>
      <c r="JYQ36" s="73"/>
      <c r="JYR36" s="73"/>
      <c r="JYS36" s="73"/>
      <c r="JYT36" s="73"/>
      <c r="JYU36" s="73"/>
      <c r="JYV36" s="73"/>
      <c r="JYW36" s="73"/>
      <c r="JYX36" s="73"/>
      <c r="JYY36" s="73"/>
      <c r="JYZ36" s="73"/>
      <c r="JZA36" s="73"/>
      <c r="JZB36" s="73"/>
      <c r="JZC36" s="73"/>
      <c r="JZD36" s="73"/>
      <c r="JZE36" s="73"/>
      <c r="JZF36" s="73"/>
      <c r="JZG36" s="73"/>
      <c r="JZH36" s="73"/>
      <c r="JZI36" s="73"/>
      <c r="JZJ36" s="73"/>
      <c r="JZK36" s="73"/>
      <c r="JZL36" s="73"/>
      <c r="JZM36" s="73"/>
      <c r="JZN36" s="73"/>
      <c r="JZO36" s="73"/>
      <c r="JZP36" s="73"/>
      <c r="JZQ36" s="73"/>
      <c r="JZR36" s="73"/>
      <c r="JZS36" s="73"/>
      <c r="JZT36" s="73"/>
      <c r="JZU36" s="73"/>
      <c r="JZV36" s="73"/>
      <c r="JZW36" s="73"/>
      <c r="JZX36" s="73"/>
      <c r="JZY36" s="73"/>
      <c r="JZZ36" s="73"/>
      <c r="KAA36" s="73"/>
      <c r="KAB36" s="73"/>
      <c r="KAC36" s="73"/>
      <c r="KAD36" s="73"/>
      <c r="KAE36" s="73"/>
      <c r="KAF36" s="73"/>
      <c r="KAG36" s="73"/>
      <c r="KAH36" s="73"/>
      <c r="KAI36" s="73"/>
      <c r="KAJ36" s="73"/>
      <c r="KAK36" s="73"/>
      <c r="KAL36" s="73"/>
      <c r="KAM36" s="73"/>
      <c r="KAN36" s="73"/>
      <c r="KAO36" s="73"/>
      <c r="KAP36" s="73"/>
      <c r="KAQ36" s="73"/>
      <c r="KAR36" s="73"/>
      <c r="KAS36" s="73"/>
      <c r="KAT36" s="73"/>
      <c r="KAU36" s="73"/>
      <c r="KAV36" s="73"/>
      <c r="KAW36" s="73"/>
      <c r="KAX36" s="73"/>
      <c r="KAY36" s="73"/>
      <c r="KAZ36" s="73"/>
      <c r="KBA36" s="73"/>
      <c r="KBB36" s="73"/>
      <c r="KBC36" s="73"/>
      <c r="KBD36" s="73"/>
      <c r="KBE36" s="73"/>
      <c r="KBF36" s="73"/>
      <c r="KBG36" s="73"/>
      <c r="KBH36" s="73"/>
      <c r="KBI36" s="73"/>
      <c r="KBJ36" s="73"/>
      <c r="KBK36" s="73"/>
      <c r="KBL36" s="73"/>
      <c r="KBM36" s="73"/>
      <c r="KBN36" s="73"/>
      <c r="KBO36" s="73"/>
      <c r="KBP36" s="73"/>
      <c r="KBQ36" s="73"/>
      <c r="KBR36" s="73"/>
      <c r="KBS36" s="73"/>
      <c r="KBT36" s="73"/>
      <c r="KBU36" s="73"/>
      <c r="KBV36" s="73"/>
      <c r="KBW36" s="73"/>
      <c r="KBX36" s="73"/>
      <c r="KBY36" s="73"/>
      <c r="KBZ36" s="73"/>
      <c r="KCA36" s="73"/>
      <c r="KCB36" s="73"/>
      <c r="KCC36" s="73"/>
      <c r="KCD36" s="73"/>
      <c r="KCE36" s="73"/>
      <c r="KCF36" s="73"/>
      <c r="KCG36" s="73"/>
      <c r="KCH36" s="73"/>
      <c r="KCI36" s="73"/>
      <c r="KCJ36" s="73"/>
      <c r="KCK36" s="73"/>
      <c r="KCL36" s="73"/>
      <c r="KCM36" s="73"/>
      <c r="KCN36" s="73"/>
      <c r="KCO36" s="73"/>
      <c r="KCP36" s="73"/>
      <c r="KCQ36" s="73"/>
      <c r="KCR36" s="73"/>
      <c r="KCS36" s="73"/>
      <c r="KCT36" s="73"/>
      <c r="KCU36" s="73"/>
      <c r="KCV36" s="73"/>
      <c r="KCW36" s="73"/>
      <c r="KCX36" s="73"/>
      <c r="KCY36" s="73"/>
      <c r="KCZ36" s="73"/>
      <c r="KDA36" s="73"/>
      <c r="KDB36" s="73"/>
      <c r="KDC36" s="73"/>
      <c r="KDD36" s="73"/>
      <c r="KDE36" s="73"/>
      <c r="KDF36" s="73"/>
      <c r="KDG36" s="73"/>
      <c r="KDH36" s="73"/>
      <c r="KDI36" s="73"/>
      <c r="KDJ36" s="73"/>
      <c r="KDK36" s="73"/>
      <c r="KDL36" s="73"/>
      <c r="KDM36" s="73"/>
      <c r="KDN36" s="73"/>
      <c r="KDO36" s="73"/>
      <c r="KDP36" s="73"/>
      <c r="KDQ36" s="73"/>
      <c r="KDR36" s="73"/>
      <c r="KDS36" s="73"/>
      <c r="KDT36" s="73"/>
      <c r="KDU36" s="73"/>
      <c r="KDV36" s="73"/>
      <c r="KDW36" s="73"/>
      <c r="KDX36" s="73"/>
      <c r="KDY36" s="73"/>
      <c r="KDZ36" s="73"/>
      <c r="KEA36" s="73"/>
      <c r="KEB36" s="73"/>
      <c r="KEC36" s="73"/>
      <c r="KED36" s="73"/>
      <c r="KEE36" s="73"/>
      <c r="KEF36" s="73"/>
      <c r="KEG36" s="73"/>
      <c r="KEH36" s="73"/>
      <c r="KEI36" s="73"/>
      <c r="KEJ36" s="73"/>
      <c r="KEK36" s="73"/>
      <c r="KEL36" s="73"/>
      <c r="KEM36" s="73"/>
      <c r="KEN36" s="73"/>
      <c r="KEO36" s="73"/>
      <c r="KEP36" s="73"/>
      <c r="KEQ36" s="73"/>
      <c r="KER36" s="73"/>
      <c r="KES36" s="73"/>
      <c r="KET36" s="73"/>
      <c r="KEU36" s="73"/>
      <c r="KEV36" s="73"/>
      <c r="KEW36" s="73"/>
      <c r="KEX36" s="73"/>
      <c r="KEY36" s="73"/>
      <c r="KEZ36" s="73"/>
      <c r="KFA36" s="73"/>
      <c r="KFB36" s="73"/>
      <c r="KFC36" s="73"/>
      <c r="KFD36" s="73"/>
      <c r="KFE36" s="73"/>
      <c r="KFF36" s="73"/>
      <c r="KFG36" s="73"/>
      <c r="KFH36" s="73"/>
      <c r="KFI36" s="73"/>
      <c r="KFJ36" s="73"/>
      <c r="KFK36" s="73"/>
      <c r="KFL36" s="73"/>
      <c r="KFM36" s="73"/>
      <c r="KFN36" s="73"/>
      <c r="KFO36" s="73"/>
      <c r="KFP36" s="73"/>
      <c r="KFQ36" s="73"/>
      <c r="KFR36" s="73"/>
      <c r="KFS36" s="73"/>
      <c r="KFT36" s="73"/>
      <c r="KFU36" s="73"/>
      <c r="KFV36" s="73"/>
      <c r="KFW36" s="73"/>
      <c r="KFX36" s="73"/>
      <c r="KFY36" s="73"/>
      <c r="KFZ36" s="73"/>
      <c r="KGA36" s="73"/>
      <c r="KGB36" s="73"/>
      <c r="KGC36" s="73"/>
      <c r="KGD36" s="73"/>
      <c r="KGE36" s="73"/>
      <c r="KGF36" s="73"/>
      <c r="KGG36" s="73"/>
      <c r="KGH36" s="73"/>
      <c r="KGI36" s="73"/>
      <c r="KGJ36" s="73"/>
      <c r="KGK36" s="73"/>
      <c r="KGL36" s="73"/>
      <c r="KGM36" s="73"/>
      <c r="KGN36" s="73"/>
      <c r="KGO36" s="73"/>
      <c r="KGP36" s="73"/>
      <c r="KGQ36" s="73"/>
      <c r="KGR36" s="73"/>
      <c r="KGS36" s="73"/>
      <c r="KGT36" s="73"/>
      <c r="KGU36" s="73"/>
      <c r="KGV36" s="73"/>
      <c r="KGW36" s="73"/>
      <c r="KGX36" s="73"/>
      <c r="KGY36" s="73"/>
      <c r="KGZ36" s="73"/>
      <c r="KHA36" s="73"/>
      <c r="KHB36" s="73"/>
      <c r="KHC36" s="73"/>
      <c r="KHD36" s="73"/>
      <c r="KHE36" s="73"/>
      <c r="KHF36" s="73"/>
      <c r="KHG36" s="73"/>
      <c r="KHH36" s="73"/>
      <c r="KHI36" s="73"/>
      <c r="KHJ36" s="73"/>
      <c r="KHK36" s="73"/>
      <c r="KHL36" s="73"/>
      <c r="KHM36" s="73"/>
      <c r="KHN36" s="73"/>
      <c r="KHO36" s="73"/>
      <c r="KHP36" s="73"/>
      <c r="KHQ36" s="73"/>
      <c r="KHR36" s="73"/>
      <c r="KHS36" s="73"/>
      <c r="KHT36" s="73"/>
      <c r="KHU36" s="73"/>
      <c r="KHV36" s="73"/>
      <c r="KHW36" s="73"/>
      <c r="KHX36" s="73"/>
      <c r="KHY36" s="73"/>
      <c r="KHZ36" s="73"/>
      <c r="KIA36" s="73"/>
      <c r="KIB36" s="73"/>
      <c r="KIC36" s="73"/>
      <c r="KID36" s="73"/>
      <c r="KIE36" s="73"/>
      <c r="KIF36" s="73"/>
      <c r="KIG36" s="73"/>
      <c r="KIH36" s="73"/>
      <c r="KII36" s="73"/>
      <c r="KIJ36" s="73"/>
      <c r="KIK36" s="73"/>
      <c r="KIL36" s="73"/>
      <c r="KIM36" s="73"/>
      <c r="KIN36" s="73"/>
      <c r="KIO36" s="73"/>
      <c r="KIP36" s="73"/>
      <c r="KIQ36" s="73"/>
      <c r="KIR36" s="73"/>
      <c r="KIS36" s="73"/>
      <c r="KIT36" s="73"/>
      <c r="KIU36" s="73"/>
      <c r="KIV36" s="73"/>
      <c r="KIW36" s="73"/>
      <c r="KIX36" s="73"/>
      <c r="KIY36" s="73"/>
      <c r="KIZ36" s="73"/>
      <c r="KJA36" s="73"/>
      <c r="KJB36" s="73"/>
      <c r="KJC36" s="73"/>
      <c r="KJD36" s="73"/>
      <c r="KJE36" s="73"/>
      <c r="KJF36" s="73"/>
      <c r="KJG36" s="73"/>
      <c r="KJH36" s="73"/>
      <c r="KJI36" s="73"/>
      <c r="KJJ36" s="73"/>
      <c r="KJK36" s="73"/>
      <c r="KJL36" s="73"/>
      <c r="KJM36" s="73"/>
      <c r="KJN36" s="73"/>
      <c r="KJO36" s="73"/>
      <c r="KJP36" s="73"/>
      <c r="KJQ36" s="73"/>
      <c r="KJR36" s="73"/>
      <c r="KJS36" s="73"/>
      <c r="KJT36" s="73"/>
      <c r="KJU36" s="73"/>
      <c r="KJV36" s="73"/>
      <c r="KJW36" s="73"/>
      <c r="KJX36" s="73"/>
      <c r="KJY36" s="73"/>
      <c r="KJZ36" s="73"/>
      <c r="KKA36" s="73"/>
      <c r="KKB36" s="73"/>
      <c r="KKC36" s="73"/>
      <c r="KKD36" s="73"/>
      <c r="KKE36" s="73"/>
      <c r="KKF36" s="73"/>
      <c r="KKG36" s="73"/>
      <c r="KKH36" s="73"/>
      <c r="KKI36" s="73"/>
      <c r="KKJ36" s="73"/>
      <c r="KKK36" s="73"/>
      <c r="KKL36" s="73"/>
      <c r="KKM36" s="73"/>
      <c r="KKN36" s="73"/>
      <c r="KKO36" s="73"/>
      <c r="KKP36" s="73"/>
      <c r="KKQ36" s="73"/>
      <c r="KKR36" s="73"/>
      <c r="KKS36" s="73"/>
      <c r="KKT36" s="73"/>
      <c r="KKU36" s="73"/>
      <c r="KKV36" s="73"/>
      <c r="KKW36" s="73"/>
      <c r="KKX36" s="73"/>
      <c r="KKY36" s="73"/>
      <c r="KKZ36" s="73"/>
      <c r="KLA36" s="73"/>
      <c r="KLB36" s="73"/>
      <c r="KLC36" s="73"/>
      <c r="KLD36" s="73"/>
      <c r="KLE36" s="73"/>
      <c r="KLF36" s="73"/>
      <c r="KLG36" s="73"/>
      <c r="KLH36" s="73"/>
      <c r="KLI36" s="73"/>
      <c r="KLJ36" s="73"/>
      <c r="KLK36" s="73"/>
      <c r="KLL36" s="73"/>
      <c r="KLM36" s="73"/>
      <c r="KLN36" s="73"/>
      <c r="KLO36" s="73"/>
      <c r="KLP36" s="73"/>
      <c r="KLQ36" s="73"/>
      <c r="KLR36" s="73"/>
      <c r="KLS36" s="73"/>
      <c r="KLT36" s="73"/>
      <c r="KLU36" s="73"/>
      <c r="KLV36" s="73"/>
      <c r="KLW36" s="73"/>
      <c r="KLX36" s="73"/>
      <c r="KLY36" s="73"/>
      <c r="KLZ36" s="73"/>
      <c r="KMA36" s="73"/>
      <c r="KMB36" s="73"/>
      <c r="KMC36" s="73"/>
      <c r="KMD36" s="73"/>
      <c r="KME36" s="73"/>
      <c r="KMF36" s="73"/>
      <c r="KMG36" s="73"/>
      <c r="KMH36" s="73"/>
      <c r="KMI36" s="73"/>
      <c r="KMJ36" s="73"/>
      <c r="KMK36" s="73"/>
      <c r="KML36" s="73"/>
      <c r="KMM36" s="73"/>
      <c r="KMN36" s="73"/>
      <c r="KMO36" s="73"/>
      <c r="KMP36" s="73"/>
      <c r="KMQ36" s="73"/>
      <c r="KMR36" s="73"/>
      <c r="KMS36" s="73"/>
      <c r="KMT36" s="73"/>
      <c r="KMU36" s="73"/>
      <c r="KMV36" s="73"/>
      <c r="KMW36" s="73"/>
      <c r="KMX36" s="73"/>
      <c r="KMY36" s="73"/>
      <c r="KMZ36" s="73"/>
      <c r="KNA36" s="73"/>
      <c r="KNB36" s="73"/>
      <c r="KNC36" s="73"/>
      <c r="KND36" s="73"/>
      <c r="KNE36" s="73"/>
      <c r="KNF36" s="73"/>
      <c r="KNG36" s="73"/>
      <c r="KNH36" s="73"/>
      <c r="KNI36" s="73"/>
      <c r="KNJ36" s="73"/>
      <c r="KNK36" s="73"/>
      <c r="KNL36" s="73"/>
      <c r="KNM36" s="73"/>
      <c r="KNN36" s="73"/>
      <c r="KNO36" s="73"/>
      <c r="KNP36" s="73"/>
      <c r="KNQ36" s="73"/>
      <c r="KNR36" s="73"/>
      <c r="KNS36" s="73"/>
      <c r="KNT36" s="73"/>
      <c r="KNU36" s="73"/>
      <c r="KNV36" s="73"/>
      <c r="KNW36" s="73"/>
      <c r="KNX36" s="73"/>
      <c r="KNY36" s="73"/>
      <c r="KNZ36" s="73"/>
      <c r="KOA36" s="73"/>
      <c r="KOB36" s="73"/>
      <c r="KOC36" s="73"/>
      <c r="KOD36" s="73"/>
      <c r="KOE36" s="73"/>
      <c r="KOF36" s="73"/>
      <c r="KOG36" s="73"/>
      <c r="KOH36" s="73"/>
      <c r="KOI36" s="73"/>
      <c r="KOJ36" s="73"/>
      <c r="KOK36" s="73"/>
      <c r="KOL36" s="73"/>
      <c r="KOM36" s="73"/>
      <c r="KON36" s="73"/>
      <c r="KOO36" s="73"/>
      <c r="KOP36" s="73"/>
      <c r="KOQ36" s="73"/>
      <c r="KOR36" s="73"/>
      <c r="KOS36" s="73"/>
      <c r="KOT36" s="73"/>
      <c r="KOU36" s="73"/>
      <c r="KOV36" s="73"/>
      <c r="KOW36" s="73"/>
      <c r="KOX36" s="73"/>
      <c r="KOY36" s="73"/>
      <c r="KOZ36" s="73"/>
      <c r="KPA36" s="73"/>
      <c r="KPB36" s="73"/>
      <c r="KPC36" s="73"/>
      <c r="KPD36" s="73"/>
      <c r="KPE36" s="73"/>
      <c r="KPF36" s="73"/>
      <c r="KPG36" s="73"/>
      <c r="KPH36" s="73"/>
      <c r="KPI36" s="73"/>
      <c r="KPJ36" s="73"/>
      <c r="KPK36" s="73"/>
      <c r="KPL36" s="73"/>
      <c r="KPM36" s="73"/>
      <c r="KPN36" s="73"/>
      <c r="KPO36" s="73"/>
      <c r="KPP36" s="73"/>
      <c r="KPQ36" s="73"/>
      <c r="KPR36" s="73"/>
      <c r="KPS36" s="73"/>
      <c r="KPT36" s="73"/>
      <c r="KPU36" s="73"/>
      <c r="KPV36" s="73"/>
      <c r="KPW36" s="73"/>
      <c r="KPX36" s="73"/>
      <c r="KPY36" s="73"/>
      <c r="KPZ36" s="73"/>
      <c r="KQA36" s="73"/>
      <c r="KQB36" s="73"/>
      <c r="KQC36" s="73"/>
      <c r="KQD36" s="73"/>
      <c r="KQE36" s="73"/>
      <c r="KQF36" s="73"/>
      <c r="KQG36" s="73"/>
      <c r="KQH36" s="73"/>
      <c r="KQI36" s="73"/>
      <c r="KQJ36" s="73"/>
      <c r="KQK36" s="73"/>
      <c r="KQL36" s="73"/>
      <c r="KQM36" s="73"/>
      <c r="KQN36" s="73"/>
      <c r="KQO36" s="73"/>
      <c r="KQP36" s="73"/>
      <c r="KQQ36" s="73"/>
      <c r="KQR36" s="73"/>
      <c r="KQS36" s="73"/>
      <c r="KQT36" s="73"/>
      <c r="KQU36" s="73"/>
      <c r="KQV36" s="73"/>
      <c r="KQW36" s="73"/>
      <c r="KQX36" s="73"/>
      <c r="KQY36" s="73"/>
      <c r="KQZ36" s="73"/>
      <c r="KRA36" s="73"/>
      <c r="KRB36" s="73"/>
      <c r="KRC36" s="73"/>
      <c r="KRD36" s="73"/>
      <c r="KRE36" s="73"/>
      <c r="KRF36" s="73"/>
      <c r="KRG36" s="73"/>
      <c r="KRH36" s="73"/>
      <c r="KRI36" s="73"/>
      <c r="KRJ36" s="73"/>
      <c r="KRK36" s="73"/>
      <c r="KRL36" s="73"/>
      <c r="KRM36" s="73"/>
      <c r="KRN36" s="73"/>
      <c r="KRO36" s="73"/>
      <c r="KRP36" s="73"/>
      <c r="KRQ36" s="73"/>
      <c r="KRR36" s="73"/>
      <c r="KRS36" s="73"/>
      <c r="KRT36" s="73"/>
      <c r="KRU36" s="73"/>
      <c r="KRV36" s="73"/>
      <c r="KRW36" s="73"/>
      <c r="KRX36" s="73"/>
      <c r="KRY36" s="73"/>
      <c r="KRZ36" s="73"/>
      <c r="KSA36" s="73"/>
      <c r="KSB36" s="73"/>
      <c r="KSC36" s="73"/>
      <c r="KSD36" s="73"/>
      <c r="KSE36" s="73"/>
      <c r="KSF36" s="73"/>
      <c r="KSG36" s="73"/>
      <c r="KSH36" s="73"/>
      <c r="KSI36" s="73"/>
      <c r="KSJ36" s="73"/>
      <c r="KSK36" s="73"/>
      <c r="KSL36" s="73"/>
      <c r="KSM36" s="73"/>
      <c r="KSN36" s="73"/>
      <c r="KSO36" s="73"/>
      <c r="KSP36" s="73"/>
      <c r="KSQ36" s="73"/>
      <c r="KSR36" s="73"/>
      <c r="KSS36" s="73"/>
      <c r="KST36" s="73"/>
      <c r="KSU36" s="73"/>
      <c r="KSV36" s="73"/>
      <c r="KSW36" s="73"/>
      <c r="KSX36" s="73"/>
      <c r="KSY36" s="73"/>
      <c r="KSZ36" s="73"/>
      <c r="KTA36" s="73"/>
      <c r="KTB36" s="73"/>
      <c r="KTC36" s="73"/>
      <c r="KTD36" s="73"/>
      <c r="KTE36" s="73"/>
      <c r="KTF36" s="73"/>
      <c r="KTG36" s="73"/>
      <c r="KTH36" s="73"/>
      <c r="KTI36" s="73"/>
      <c r="KTJ36" s="73"/>
      <c r="KTK36" s="73"/>
      <c r="KTL36" s="73"/>
      <c r="KTM36" s="73"/>
      <c r="KTN36" s="73"/>
      <c r="KTO36" s="73"/>
      <c r="KTP36" s="73"/>
      <c r="KTQ36" s="73"/>
      <c r="KTR36" s="73"/>
      <c r="KTS36" s="73"/>
      <c r="KTT36" s="73"/>
      <c r="KTU36" s="73"/>
      <c r="KTV36" s="73"/>
      <c r="KTW36" s="73"/>
      <c r="KTX36" s="73"/>
      <c r="KTY36" s="73"/>
      <c r="KTZ36" s="73"/>
      <c r="KUA36" s="73"/>
      <c r="KUB36" s="73"/>
      <c r="KUC36" s="73"/>
      <c r="KUD36" s="73"/>
      <c r="KUE36" s="73"/>
      <c r="KUF36" s="73"/>
      <c r="KUG36" s="73"/>
      <c r="KUH36" s="73"/>
      <c r="KUI36" s="73"/>
      <c r="KUJ36" s="73"/>
      <c r="KUK36" s="73"/>
      <c r="KUL36" s="73"/>
      <c r="KUM36" s="73"/>
      <c r="KUN36" s="73"/>
      <c r="KUO36" s="73"/>
      <c r="KUP36" s="73"/>
      <c r="KUQ36" s="73"/>
      <c r="KUR36" s="73"/>
      <c r="KUS36" s="73"/>
      <c r="KUT36" s="73"/>
      <c r="KUU36" s="73"/>
      <c r="KUV36" s="73"/>
      <c r="KUW36" s="73"/>
      <c r="KUX36" s="73"/>
      <c r="KUY36" s="73"/>
      <c r="KUZ36" s="73"/>
      <c r="KVA36" s="73"/>
      <c r="KVB36" s="73"/>
      <c r="KVC36" s="73"/>
      <c r="KVD36" s="73"/>
      <c r="KVE36" s="73"/>
      <c r="KVF36" s="73"/>
      <c r="KVG36" s="73"/>
      <c r="KVH36" s="73"/>
      <c r="KVI36" s="73"/>
      <c r="KVJ36" s="73"/>
      <c r="KVK36" s="73"/>
      <c r="KVL36" s="73"/>
      <c r="KVM36" s="73"/>
      <c r="KVN36" s="73"/>
      <c r="KVO36" s="73"/>
      <c r="KVP36" s="73"/>
      <c r="KVQ36" s="73"/>
      <c r="KVR36" s="73"/>
      <c r="KVS36" s="73"/>
      <c r="KVT36" s="73"/>
      <c r="KVU36" s="73"/>
      <c r="KVV36" s="73"/>
      <c r="KVW36" s="73"/>
      <c r="KVX36" s="73"/>
      <c r="KVY36" s="73"/>
      <c r="KVZ36" s="73"/>
      <c r="KWA36" s="73"/>
      <c r="KWB36" s="73"/>
      <c r="KWC36" s="73"/>
      <c r="KWD36" s="73"/>
      <c r="KWE36" s="73"/>
      <c r="KWF36" s="73"/>
      <c r="KWG36" s="73"/>
      <c r="KWH36" s="73"/>
      <c r="KWI36" s="73"/>
      <c r="KWJ36" s="73"/>
      <c r="KWK36" s="73"/>
      <c r="KWL36" s="73"/>
      <c r="KWM36" s="73"/>
      <c r="KWN36" s="73"/>
      <c r="KWO36" s="73"/>
      <c r="KWP36" s="73"/>
      <c r="KWQ36" s="73"/>
      <c r="KWR36" s="73"/>
      <c r="KWS36" s="73"/>
      <c r="KWT36" s="73"/>
      <c r="KWU36" s="73"/>
      <c r="KWV36" s="73"/>
      <c r="KWW36" s="73"/>
      <c r="KWX36" s="73"/>
      <c r="KWY36" s="73"/>
      <c r="KWZ36" s="73"/>
      <c r="KXA36" s="73"/>
      <c r="KXB36" s="73"/>
      <c r="KXC36" s="73"/>
      <c r="KXD36" s="73"/>
      <c r="KXE36" s="73"/>
      <c r="KXF36" s="73"/>
      <c r="KXG36" s="73"/>
      <c r="KXH36" s="73"/>
      <c r="KXI36" s="73"/>
      <c r="KXJ36" s="73"/>
      <c r="KXK36" s="73"/>
      <c r="KXL36" s="73"/>
      <c r="KXM36" s="73"/>
      <c r="KXN36" s="73"/>
      <c r="KXO36" s="73"/>
      <c r="KXP36" s="73"/>
      <c r="KXQ36" s="73"/>
      <c r="KXR36" s="73"/>
      <c r="KXS36" s="73"/>
      <c r="KXT36" s="73"/>
      <c r="KXU36" s="73"/>
      <c r="KXV36" s="73"/>
      <c r="KXW36" s="73"/>
      <c r="KXX36" s="73"/>
      <c r="KXY36" s="73"/>
      <c r="KXZ36" s="73"/>
      <c r="KYA36" s="73"/>
      <c r="KYB36" s="73"/>
      <c r="KYC36" s="73"/>
      <c r="KYD36" s="73"/>
      <c r="KYE36" s="73"/>
      <c r="KYF36" s="73"/>
      <c r="KYG36" s="73"/>
      <c r="KYH36" s="73"/>
      <c r="KYI36" s="73"/>
      <c r="KYJ36" s="73"/>
      <c r="KYK36" s="73"/>
      <c r="KYL36" s="73"/>
      <c r="KYM36" s="73"/>
      <c r="KYN36" s="73"/>
      <c r="KYO36" s="73"/>
      <c r="KYP36" s="73"/>
      <c r="KYQ36" s="73"/>
      <c r="KYR36" s="73"/>
      <c r="KYS36" s="73"/>
      <c r="KYT36" s="73"/>
      <c r="KYU36" s="73"/>
      <c r="KYV36" s="73"/>
      <c r="KYW36" s="73"/>
      <c r="KYX36" s="73"/>
      <c r="KYY36" s="73"/>
      <c r="KYZ36" s="73"/>
      <c r="KZA36" s="73"/>
      <c r="KZB36" s="73"/>
      <c r="KZC36" s="73"/>
      <c r="KZD36" s="73"/>
      <c r="KZE36" s="73"/>
      <c r="KZF36" s="73"/>
      <c r="KZG36" s="73"/>
      <c r="KZH36" s="73"/>
      <c r="KZI36" s="73"/>
      <c r="KZJ36" s="73"/>
      <c r="KZK36" s="73"/>
      <c r="KZL36" s="73"/>
      <c r="KZM36" s="73"/>
      <c r="KZN36" s="73"/>
      <c r="KZO36" s="73"/>
      <c r="KZP36" s="73"/>
      <c r="KZQ36" s="73"/>
      <c r="KZR36" s="73"/>
      <c r="KZS36" s="73"/>
      <c r="KZT36" s="73"/>
      <c r="KZU36" s="73"/>
      <c r="KZV36" s="73"/>
      <c r="KZW36" s="73"/>
      <c r="KZX36" s="73"/>
      <c r="KZY36" s="73"/>
      <c r="KZZ36" s="73"/>
      <c r="LAA36" s="73"/>
      <c r="LAB36" s="73"/>
      <c r="LAC36" s="73"/>
      <c r="LAD36" s="73"/>
      <c r="LAE36" s="73"/>
      <c r="LAF36" s="73"/>
      <c r="LAG36" s="73"/>
      <c r="LAH36" s="73"/>
      <c r="LAI36" s="73"/>
      <c r="LAJ36" s="73"/>
      <c r="LAK36" s="73"/>
      <c r="LAL36" s="73"/>
      <c r="LAM36" s="73"/>
      <c r="LAN36" s="73"/>
      <c r="LAO36" s="73"/>
      <c r="LAP36" s="73"/>
      <c r="LAQ36" s="73"/>
      <c r="LAR36" s="73"/>
      <c r="LAS36" s="73"/>
      <c r="LAT36" s="73"/>
      <c r="LAU36" s="73"/>
      <c r="LAV36" s="73"/>
      <c r="LAW36" s="73"/>
      <c r="LAX36" s="73"/>
      <c r="LAY36" s="73"/>
      <c r="LAZ36" s="73"/>
      <c r="LBA36" s="73"/>
      <c r="LBB36" s="73"/>
      <c r="LBC36" s="73"/>
      <c r="LBD36" s="73"/>
      <c r="LBE36" s="73"/>
      <c r="LBF36" s="73"/>
      <c r="LBG36" s="73"/>
      <c r="LBH36" s="73"/>
      <c r="LBI36" s="73"/>
      <c r="LBJ36" s="73"/>
      <c r="LBK36" s="73"/>
      <c r="LBL36" s="73"/>
      <c r="LBM36" s="73"/>
      <c r="LBN36" s="73"/>
      <c r="LBO36" s="73"/>
      <c r="LBP36" s="73"/>
      <c r="LBQ36" s="73"/>
      <c r="LBR36" s="73"/>
      <c r="LBS36" s="73"/>
      <c r="LBT36" s="73"/>
      <c r="LBU36" s="73"/>
      <c r="LBV36" s="73"/>
      <c r="LBW36" s="73"/>
      <c r="LBX36" s="73"/>
      <c r="LBY36" s="73"/>
      <c r="LBZ36" s="73"/>
      <c r="LCA36" s="73"/>
      <c r="LCB36" s="73"/>
      <c r="LCC36" s="73"/>
      <c r="LCD36" s="73"/>
      <c r="LCE36" s="73"/>
      <c r="LCF36" s="73"/>
      <c r="LCG36" s="73"/>
      <c r="LCH36" s="73"/>
      <c r="LCI36" s="73"/>
      <c r="LCJ36" s="73"/>
      <c r="LCK36" s="73"/>
      <c r="LCL36" s="73"/>
      <c r="LCM36" s="73"/>
      <c r="LCN36" s="73"/>
      <c r="LCO36" s="73"/>
      <c r="LCP36" s="73"/>
      <c r="LCQ36" s="73"/>
      <c r="LCR36" s="73"/>
      <c r="LCS36" s="73"/>
      <c r="LCT36" s="73"/>
      <c r="LCU36" s="73"/>
      <c r="LCV36" s="73"/>
      <c r="LCW36" s="73"/>
      <c r="LCX36" s="73"/>
      <c r="LCY36" s="73"/>
      <c r="LCZ36" s="73"/>
      <c r="LDA36" s="73"/>
      <c r="LDB36" s="73"/>
      <c r="LDC36" s="73"/>
      <c r="LDD36" s="73"/>
      <c r="LDE36" s="73"/>
      <c r="LDF36" s="73"/>
      <c r="LDG36" s="73"/>
      <c r="LDH36" s="73"/>
      <c r="LDI36" s="73"/>
      <c r="LDJ36" s="73"/>
      <c r="LDK36" s="73"/>
      <c r="LDL36" s="73"/>
      <c r="LDM36" s="73"/>
      <c r="LDN36" s="73"/>
      <c r="LDO36" s="73"/>
      <c r="LDP36" s="73"/>
      <c r="LDQ36" s="73"/>
      <c r="LDR36" s="73"/>
      <c r="LDS36" s="73"/>
      <c r="LDT36" s="73"/>
      <c r="LDU36" s="73"/>
      <c r="LDV36" s="73"/>
      <c r="LDW36" s="73"/>
      <c r="LDX36" s="73"/>
      <c r="LDY36" s="73"/>
      <c r="LDZ36" s="73"/>
      <c r="LEA36" s="73"/>
      <c r="LEB36" s="73"/>
      <c r="LEC36" s="73"/>
      <c r="LED36" s="73"/>
      <c r="LEE36" s="73"/>
      <c r="LEF36" s="73"/>
      <c r="LEG36" s="73"/>
      <c r="LEH36" s="73"/>
      <c r="LEI36" s="73"/>
      <c r="LEJ36" s="73"/>
      <c r="LEK36" s="73"/>
      <c r="LEL36" s="73"/>
      <c r="LEM36" s="73"/>
      <c r="LEN36" s="73"/>
      <c r="LEO36" s="73"/>
      <c r="LEP36" s="73"/>
      <c r="LEQ36" s="73"/>
      <c r="LER36" s="73"/>
      <c r="LES36" s="73"/>
      <c r="LET36" s="73"/>
      <c r="LEU36" s="73"/>
      <c r="LEV36" s="73"/>
      <c r="LEW36" s="73"/>
      <c r="LEX36" s="73"/>
      <c r="LEY36" s="73"/>
      <c r="LEZ36" s="73"/>
      <c r="LFA36" s="73"/>
      <c r="LFB36" s="73"/>
      <c r="LFC36" s="73"/>
      <c r="LFD36" s="73"/>
      <c r="LFE36" s="73"/>
      <c r="LFF36" s="73"/>
      <c r="LFG36" s="73"/>
      <c r="LFH36" s="73"/>
      <c r="LFI36" s="73"/>
      <c r="LFJ36" s="73"/>
      <c r="LFK36" s="73"/>
      <c r="LFL36" s="73"/>
      <c r="LFM36" s="73"/>
      <c r="LFN36" s="73"/>
      <c r="LFO36" s="73"/>
      <c r="LFP36" s="73"/>
      <c r="LFQ36" s="73"/>
      <c r="LFR36" s="73"/>
      <c r="LFS36" s="73"/>
      <c r="LFT36" s="73"/>
      <c r="LFU36" s="73"/>
      <c r="LFV36" s="73"/>
      <c r="LFW36" s="73"/>
      <c r="LFX36" s="73"/>
      <c r="LFY36" s="73"/>
      <c r="LFZ36" s="73"/>
      <c r="LGA36" s="73"/>
      <c r="LGB36" s="73"/>
      <c r="LGC36" s="73"/>
      <c r="LGD36" s="73"/>
      <c r="LGE36" s="73"/>
      <c r="LGF36" s="73"/>
      <c r="LGG36" s="73"/>
      <c r="LGH36" s="73"/>
      <c r="LGI36" s="73"/>
      <c r="LGJ36" s="73"/>
      <c r="LGK36" s="73"/>
      <c r="LGL36" s="73"/>
      <c r="LGM36" s="73"/>
      <c r="LGN36" s="73"/>
      <c r="LGO36" s="73"/>
      <c r="LGP36" s="73"/>
      <c r="LGQ36" s="73"/>
      <c r="LGR36" s="73"/>
      <c r="LGS36" s="73"/>
      <c r="LGT36" s="73"/>
      <c r="LGU36" s="73"/>
      <c r="LGV36" s="73"/>
      <c r="LGW36" s="73"/>
      <c r="LGX36" s="73"/>
      <c r="LGY36" s="73"/>
      <c r="LGZ36" s="73"/>
      <c r="LHA36" s="73"/>
      <c r="LHB36" s="73"/>
      <c r="LHC36" s="73"/>
      <c r="LHD36" s="73"/>
      <c r="LHE36" s="73"/>
      <c r="LHF36" s="73"/>
      <c r="LHG36" s="73"/>
      <c r="LHH36" s="73"/>
      <c r="LHI36" s="73"/>
      <c r="LHJ36" s="73"/>
      <c r="LHK36" s="73"/>
      <c r="LHL36" s="73"/>
      <c r="LHM36" s="73"/>
      <c r="LHN36" s="73"/>
      <c r="LHO36" s="73"/>
      <c r="LHP36" s="73"/>
      <c r="LHQ36" s="73"/>
      <c r="LHR36" s="73"/>
      <c r="LHS36" s="73"/>
      <c r="LHT36" s="73"/>
      <c r="LHU36" s="73"/>
      <c r="LHV36" s="73"/>
      <c r="LHW36" s="73"/>
      <c r="LHX36" s="73"/>
      <c r="LHY36" s="73"/>
      <c r="LHZ36" s="73"/>
      <c r="LIA36" s="73"/>
      <c r="LIB36" s="73"/>
      <c r="LIC36" s="73"/>
      <c r="LID36" s="73"/>
      <c r="LIE36" s="73"/>
      <c r="LIF36" s="73"/>
      <c r="LIG36" s="73"/>
      <c r="LIH36" s="73"/>
      <c r="LII36" s="73"/>
      <c r="LIJ36" s="73"/>
      <c r="LIK36" s="73"/>
      <c r="LIL36" s="73"/>
      <c r="LIM36" s="73"/>
      <c r="LIN36" s="73"/>
      <c r="LIO36" s="73"/>
      <c r="LIP36" s="73"/>
      <c r="LIQ36" s="73"/>
      <c r="LIR36" s="73"/>
      <c r="LIS36" s="73"/>
      <c r="LIT36" s="73"/>
      <c r="LIU36" s="73"/>
      <c r="LIV36" s="73"/>
      <c r="LIW36" s="73"/>
      <c r="LIX36" s="73"/>
      <c r="LIY36" s="73"/>
      <c r="LIZ36" s="73"/>
      <c r="LJA36" s="73"/>
      <c r="LJB36" s="73"/>
      <c r="LJC36" s="73"/>
      <c r="LJD36" s="73"/>
      <c r="LJE36" s="73"/>
      <c r="LJF36" s="73"/>
      <c r="LJG36" s="73"/>
      <c r="LJH36" s="73"/>
      <c r="LJI36" s="73"/>
      <c r="LJJ36" s="73"/>
      <c r="LJK36" s="73"/>
      <c r="LJL36" s="73"/>
      <c r="LJM36" s="73"/>
      <c r="LJN36" s="73"/>
      <c r="LJO36" s="73"/>
      <c r="LJP36" s="73"/>
      <c r="LJQ36" s="73"/>
      <c r="LJR36" s="73"/>
      <c r="LJS36" s="73"/>
      <c r="LJT36" s="73"/>
      <c r="LJU36" s="73"/>
      <c r="LJV36" s="73"/>
      <c r="LJW36" s="73"/>
      <c r="LJX36" s="73"/>
      <c r="LJY36" s="73"/>
      <c r="LJZ36" s="73"/>
      <c r="LKA36" s="73"/>
      <c r="LKB36" s="73"/>
      <c r="LKC36" s="73"/>
      <c r="LKD36" s="73"/>
      <c r="LKE36" s="73"/>
      <c r="LKF36" s="73"/>
      <c r="LKG36" s="73"/>
      <c r="LKH36" s="73"/>
      <c r="LKI36" s="73"/>
      <c r="LKJ36" s="73"/>
      <c r="LKK36" s="73"/>
      <c r="LKL36" s="73"/>
      <c r="LKM36" s="73"/>
      <c r="LKN36" s="73"/>
      <c r="LKO36" s="73"/>
      <c r="LKP36" s="73"/>
      <c r="LKQ36" s="73"/>
      <c r="LKR36" s="73"/>
      <c r="LKS36" s="73"/>
      <c r="LKT36" s="73"/>
      <c r="LKU36" s="73"/>
      <c r="LKV36" s="73"/>
      <c r="LKW36" s="73"/>
      <c r="LKX36" s="73"/>
      <c r="LKY36" s="73"/>
      <c r="LKZ36" s="73"/>
      <c r="LLA36" s="73"/>
      <c r="LLB36" s="73"/>
      <c r="LLC36" s="73"/>
      <c r="LLD36" s="73"/>
      <c r="LLE36" s="73"/>
      <c r="LLF36" s="73"/>
      <c r="LLG36" s="73"/>
      <c r="LLH36" s="73"/>
      <c r="LLI36" s="73"/>
      <c r="LLJ36" s="73"/>
      <c r="LLK36" s="73"/>
      <c r="LLL36" s="73"/>
      <c r="LLM36" s="73"/>
      <c r="LLN36" s="73"/>
      <c r="LLO36" s="73"/>
      <c r="LLP36" s="73"/>
      <c r="LLQ36" s="73"/>
      <c r="LLR36" s="73"/>
      <c r="LLS36" s="73"/>
      <c r="LLT36" s="73"/>
      <c r="LLU36" s="73"/>
      <c r="LLV36" s="73"/>
      <c r="LLW36" s="73"/>
      <c r="LLX36" s="73"/>
      <c r="LLY36" s="73"/>
      <c r="LLZ36" s="73"/>
      <c r="LMA36" s="73"/>
      <c r="LMB36" s="73"/>
      <c r="LMC36" s="73"/>
      <c r="LMD36" s="73"/>
      <c r="LME36" s="73"/>
      <c r="LMF36" s="73"/>
      <c r="LMG36" s="73"/>
      <c r="LMH36" s="73"/>
      <c r="LMI36" s="73"/>
      <c r="LMJ36" s="73"/>
      <c r="LMK36" s="73"/>
      <c r="LML36" s="73"/>
      <c r="LMM36" s="73"/>
      <c r="LMN36" s="73"/>
      <c r="LMO36" s="73"/>
      <c r="LMP36" s="73"/>
      <c r="LMQ36" s="73"/>
      <c r="LMR36" s="73"/>
      <c r="LMS36" s="73"/>
      <c r="LMT36" s="73"/>
      <c r="LMU36" s="73"/>
      <c r="LMV36" s="73"/>
      <c r="LMW36" s="73"/>
      <c r="LMX36" s="73"/>
      <c r="LMY36" s="73"/>
      <c r="LMZ36" s="73"/>
      <c r="LNA36" s="73"/>
      <c r="LNB36" s="73"/>
      <c r="LNC36" s="73"/>
      <c r="LND36" s="73"/>
      <c r="LNE36" s="73"/>
      <c r="LNF36" s="73"/>
      <c r="LNG36" s="73"/>
      <c r="LNH36" s="73"/>
      <c r="LNI36" s="73"/>
      <c r="LNJ36" s="73"/>
      <c r="LNK36" s="73"/>
      <c r="LNL36" s="73"/>
      <c r="LNM36" s="73"/>
      <c r="LNN36" s="73"/>
      <c r="LNO36" s="73"/>
      <c r="LNP36" s="73"/>
      <c r="LNQ36" s="73"/>
      <c r="LNR36" s="73"/>
      <c r="LNS36" s="73"/>
      <c r="LNT36" s="73"/>
      <c r="LNU36" s="73"/>
      <c r="LNV36" s="73"/>
      <c r="LNW36" s="73"/>
      <c r="LNX36" s="73"/>
      <c r="LNY36" s="73"/>
      <c r="LNZ36" s="73"/>
      <c r="LOA36" s="73"/>
      <c r="LOB36" s="73"/>
      <c r="LOC36" s="73"/>
      <c r="LOD36" s="73"/>
      <c r="LOE36" s="73"/>
      <c r="LOF36" s="73"/>
      <c r="LOG36" s="73"/>
      <c r="LOH36" s="73"/>
      <c r="LOI36" s="73"/>
      <c r="LOJ36" s="73"/>
      <c r="LOK36" s="73"/>
      <c r="LOL36" s="73"/>
      <c r="LOM36" s="73"/>
      <c r="LON36" s="73"/>
      <c r="LOO36" s="73"/>
      <c r="LOP36" s="73"/>
      <c r="LOQ36" s="73"/>
      <c r="LOR36" s="73"/>
      <c r="LOS36" s="73"/>
      <c r="LOT36" s="73"/>
      <c r="LOU36" s="73"/>
      <c r="LOV36" s="73"/>
      <c r="LOW36" s="73"/>
      <c r="LOX36" s="73"/>
      <c r="LOY36" s="73"/>
      <c r="LOZ36" s="73"/>
      <c r="LPA36" s="73"/>
      <c r="LPB36" s="73"/>
      <c r="LPC36" s="73"/>
      <c r="LPD36" s="73"/>
      <c r="LPE36" s="73"/>
      <c r="LPF36" s="73"/>
      <c r="LPG36" s="73"/>
      <c r="LPH36" s="73"/>
      <c r="LPI36" s="73"/>
      <c r="LPJ36" s="73"/>
      <c r="LPK36" s="73"/>
      <c r="LPL36" s="73"/>
      <c r="LPM36" s="73"/>
      <c r="LPN36" s="73"/>
      <c r="LPO36" s="73"/>
      <c r="LPP36" s="73"/>
      <c r="LPQ36" s="73"/>
      <c r="LPR36" s="73"/>
      <c r="LPS36" s="73"/>
      <c r="LPT36" s="73"/>
      <c r="LPU36" s="73"/>
      <c r="LPV36" s="73"/>
      <c r="LPW36" s="73"/>
      <c r="LPX36" s="73"/>
      <c r="LPY36" s="73"/>
      <c r="LPZ36" s="73"/>
      <c r="LQA36" s="73"/>
      <c r="LQB36" s="73"/>
      <c r="LQC36" s="73"/>
      <c r="LQD36" s="73"/>
      <c r="LQE36" s="73"/>
      <c r="LQF36" s="73"/>
      <c r="LQG36" s="73"/>
      <c r="LQH36" s="73"/>
      <c r="LQI36" s="73"/>
      <c r="LQJ36" s="73"/>
      <c r="LQK36" s="73"/>
      <c r="LQL36" s="73"/>
      <c r="LQM36" s="73"/>
      <c r="LQN36" s="73"/>
      <c r="LQO36" s="73"/>
      <c r="LQP36" s="73"/>
      <c r="LQQ36" s="73"/>
      <c r="LQR36" s="73"/>
      <c r="LQS36" s="73"/>
      <c r="LQT36" s="73"/>
      <c r="LQU36" s="73"/>
      <c r="LQV36" s="73"/>
      <c r="LQW36" s="73"/>
      <c r="LQX36" s="73"/>
      <c r="LQY36" s="73"/>
      <c r="LQZ36" s="73"/>
      <c r="LRA36" s="73"/>
      <c r="LRB36" s="73"/>
      <c r="LRC36" s="73"/>
      <c r="LRD36" s="73"/>
      <c r="LRE36" s="73"/>
      <c r="LRF36" s="73"/>
      <c r="LRG36" s="73"/>
      <c r="LRH36" s="73"/>
      <c r="LRI36" s="73"/>
      <c r="LRJ36" s="73"/>
      <c r="LRK36" s="73"/>
      <c r="LRL36" s="73"/>
      <c r="LRM36" s="73"/>
      <c r="LRN36" s="73"/>
      <c r="LRO36" s="73"/>
      <c r="LRP36" s="73"/>
      <c r="LRQ36" s="73"/>
      <c r="LRR36" s="73"/>
      <c r="LRS36" s="73"/>
      <c r="LRT36" s="73"/>
      <c r="LRU36" s="73"/>
      <c r="LRV36" s="73"/>
      <c r="LRW36" s="73"/>
      <c r="LRX36" s="73"/>
      <c r="LRY36" s="73"/>
      <c r="LRZ36" s="73"/>
      <c r="LSA36" s="73"/>
      <c r="LSB36" s="73"/>
      <c r="LSC36" s="73"/>
      <c r="LSD36" s="73"/>
      <c r="LSE36" s="73"/>
      <c r="LSF36" s="73"/>
      <c r="LSG36" s="73"/>
      <c r="LSH36" s="73"/>
      <c r="LSI36" s="73"/>
      <c r="LSJ36" s="73"/>
      <c r="LSK36" s="73"/>
      <c r="LSL36" s="73"/>
      <c r="LSM36" s="73"/>
      <c r="LSN36" s="73"/>
      <c r="LSO36" s="73"/>
      <c r="LSP36" s="73"/>
      <c r="LSQ36" s="73"/>
      <c r="LSR36" s="73"/>
      <c r="LSS36" s="73"/>
      <c r="LST36" s="73"/>
      <c r="LSU36" s="73"/>
      <c r="LSV36" s="73"/>
      <c r="LSW36" s="73"/>
      <c r="LSX36" s="73"/>
      <c r="LSY36" s="73"/>
      <c r="LSZ36" s="73"/>
      <c r="LTA36" s="73"/>
      <c r="LTB36" s="73"/>
      <c r="LTC36" s="73"/>
      <c r="LTD36" s="73"/>
      <c r="LTE36" s="73"/>
      <c r="LTF36" s="73"/>
      <c r="LTG36" s="73"/>
      <c r="LTH36" s="73"/>
      <c r="LTI36" s="73"/>
      <c r="LTJ36" s="73"/>
      <c r="LTK36" s="73"/>
      <c r="LTL36" s="73"/>
      <c r="LTM36" s="73"/>
      <c r="LTN36" s="73"/>
      <c r="LTO36" s="73"/>
      <c r="LTP36" s="73"/>
      <c r="LTQ36" s="73"/>
      <c r="LTR36" s="73"/>
      <c r="LTS36" s="73"/>
      <c r="LTT36" s="73"/>
      <c r="LTU36" s="73"/>
      <c r="LTV36" s="73"/>
      <c r="LTW36" s="73"/>
      <c r="LTX36" s="73"/>
      <c r="LTY36" s="73"/>
      <c r="LTZ36" s="73"/>
      <c r="LUA36" s="73"/>
      <c r="LUB36" s="73"/>
      <c r="LUC36" s="73"/>
      <c r="LUD36" s="73"/>
      <c r="LUE36" s="73"/>
      <c r="LUF36" s="73"/>
      <c r="LUG36" s="73"/>
      <c r="LUH36" s="73"/>
      <c r="LUI36" s="73"/>
      <c r="LUJ36" s="73"/>
      <c r="LUK36" s="73"/>
      <c r="LUL36" s="73"/>
      <c r="LUM36" s="73"/>
      <c r="LUN36" s="73"/>
      <c r="LUO36" s="73"/>
      <c r="LUP36" s="73"/>
      <c r="LUQ36" s="73"/>
      <c r="LUR36" s="73"/>
      <c r="LUS36" s="73"/>
      <c r="LUT36" s="73"/>
      <c r="LUU36" s="73"/>
      <c r="LUV36" s="73"/>
      <c r="LUW36" s="73"/>
      <c r="LUX36" s="73"/>
      <c r="LUY36" s="73"/>
      <c r="LUZ36" s="73"/>
      <c r="LVA36" s="73"/>
      <c r="LVB36" s="73"/>
      <c r="LVC36" s="73"/>
      <c r="LVD36" s="73"/>
      <c r="LVE36" s="73"/>
      <c r="LVF36" s="73"/>
      <c r="LVG36" s="73"/>
      <c r="LVH36" s="73"/>
      <c r="LVI36" s="73"/>
      <c r="LVJ36" s="73"/>
      <c r="LVK36" s="73"/>
      <c r="LVL36" s="73"/>
      <c r="LVM36" s="73"/>
      <c r="LVN36" s="73"/>
      <c r="LVO36" s="73"/>
      <c r="LVP36" s="73"/>
      <c r="LVQ36" s="73"/>
      <c r="LVR36" s="73"/>
      <c r="LVS36" s="73"/>
      <c r="LVT36" s="73"/>
      <c r="LVU36" s="73"/>
      <c r="LVV36" s="73"/>
      <c r="LVW36" s="73"/>
      <c r="LVX36" s="73"/>
      <c r="LVY36" s="73"/>
      <c r="LVZ36" s="73"/>
      <c r="LWA36" s="73"/>
      <c r="LWB36" s="73"/>
      <c r="LWC36" s="73"/>
      <c r="LWD36" s="73"/>
      <c r="LWE36" s="73"/>
      <c r="LWF36" s="73"/>
      <c r="LWG36" s="73"/>
      <c r="LWH36" s="73"/>
      <c r="LWI36" s="73"/>
      <c r="LWJ36" s="73"/>
      <c r="LWK36" s="73"/>
      <c r="LWL36" s="73"/>
      <c r="LWM36" s="73"/>
      <c r="LWN36" s="73"/>
      <c r="LWO36" s="73"/>
      <c r="LWP36" s="73"/>
      <c r="LWQ36" s="73"/>
      <c r="LWR36" s="73"/>
      <c r="LWS36" s="73"/>
      <c r="LWT36" s="73"/>
      <c r="LWU36" s="73"/>
      <c r="LWV36" s="73"/>
      <c r="LWW36" s="73"/>
      <c r="LWX36" s="73"/>
      <c r="LWY36" s="73"/>
      <c r="LWZ36" s="73"/>
      <c r="LXA36" s="73"/>
      <c r="LXB36" s="73"/>
      <c r="LXC36" s="73"/>
      <c r="LXD36" s="73"/>
      <c r="LXE36" s="73"/>
      <c r="LXF36" s="73"/>
      <c r="LXG36" s="73"/>
      <c r="LXH36" s="73"/>
      <c r="LXI36" s="73"/>
      <c r="LXJ36" s="73"/>
      <c r="LXK36" s="73"/>
      <c r="LXL36" s="73"/>
      <c r="LXM36" s="73"/>
      <c r="LXN36" s="73"/>
      <c r="LXO36" s="73"/>
      <c r="LXP36" s="73"/>
      <c r="LXQ36" s="73"/>
      <c r="LXR36" s="73"/>
      <c r="LXS36" s="73"/>
      <c r="LXT36" s="73"/>
      <c r="LXU36" s="73"/>
      <c r="LXV36" s="73"/>
      <c r="LXW36" s="73"/>
      <c r="LXX36" s="73"/>
      <c r="LXY36" s="73"/>
      <c r="LXZ36" s="73"/>
      <c r="LYA36" s="73"/>
      <c r="LYB36" s="73"/>
      <c r="LYC36" s="73"/>
      <c r="LYD36" s="73"/>
      <c r="LYE36" s="73"/>
      <c r="LYF36" s="73"/>
      <c r="LYG36" s="73"/>
      <c r="LYH36" s="73"/>
      <c r="LYI36" s="73"/>
      <c r="LYJ36" s="73"/>
      <c r="LYK36" s="73"/>
      <c r="LYL36" s="73"/>
      <c r="LYM36" s="73"/>
      <c r="LYN36" s="73"/>
      <c r="LYO36" s="73"/>
      <c r="LYP36" s="73"/>
      <c r="LYQ36" s="73"/>
      <c r="LYR36" s="73"/>
      <c r="LYS36" s="73"/>
      <c r="LYT36" s="73"/>
      <c r="LYU36" s="73"/>
      <c r="LYV36" s="73"/>
      <c r="LYW36" s="73"/>
      <c r="LYX36" s="73"/>
      <c r="LYY36" s="73"/>
      <c r="LYZ36" s="73"/>
      <c r="LZA36" s="73"/>
      <c r="LZB36" s="73"/>
      <c r="LZC36" s="73"/>
      <c r="LZD36" s="73"/>
      <c r="LZE36" s="73"/>
      <c r="LZF36" s="73"/>
      <c r="LZG36" s="73"/>
      <c r="LZH36" s="73"/>
      <c r="LZI36" s="73"/>
      <c r="LZJ36" s="73"/>
      <c r="LZK36" s="73"/>
      <c r="LZL36" s="73"/>
      <c r="LZM36" s="73"/>
      <c r="LZN36" s="73"/>
      <c r="LZO36" s="73"/>
      <c r="LZP36" s="73"/>
      <c r="LZQ36" s="73"/>
      <c r="LZR36" s="73"/>
      <c r="LZS36" s="73"/>
      <c r="LZT36" s="73"/>
      <c r="LZU36" s="73"/>
      <c r="LZV36" s="73"/>
      <c r="LZW36" s="73"/>
      <c r="LZX36" s="73"/>
      <c r="LZY36" s="73"/>
      <c r="LZZ36" s="73"/>
      <c r="MAA36" s="73"/>
      <c r="MAB36" s="73"/>
      <c r="MAC36" s="73"/>
      <c r="MAD36" s="73"/>
      <c r="MAE36" s="73"/>
      <c r="MAF36" s="73"/>
      <c r="MAG36" s="73"/>
      <c r="MAH36" s="73"/>
      <c r="MAI36" s="73"/>
      <c r="MAJ36" s="73"/>
      <c r="MAK36" s="73"/>
      <c r="MAL36" s="73"/>
      <c r="MAM36" s="73"/>
      <c r="MAN36" s="73"/>
      <c r="MAO36" s="73"/>
      <c r="MAP36" s="73"/>
      <c r="MAQ36" s="73"/>
      <c r="MAR36" s="73"/>
      <c r="MAS36" s="73"/>
      <c r="MAT36" s="73"/>
      <c r="MAU36" s="73"/>
      <c r="MAV36" s="73"/>
      <c r="MAW36" s="73"/>
      <c r="MAX36" s="73"/>
      <c r="MAY36" s="73"/>
      <c r="MAZ36" s="73"/>
      <c r="MBA36" s="73"/>
      <c r="MBB36" s="73"/>
      <c r="MBC36" s="73"/>
      <c r="MBD36" s="73"/>
      <c r="MBE36" s="73"/>
      <c r="MBF36" s="73"/>
      <c r="MBG36" s="73"/>
      <c r="MBH36" s="73"/>
      <c r="MBI36" s="73"/>
      <c r="MBJ36" s="73"/>
      <c r="MBK36" s="73"/>
      <c r="MBL36" s="73"/>
      <c r="MBM36" s="73"/>
      <c r="MBN36" s="73"/>
      <c r="MBO36" s="73"/>
      <c r="MBP36" s="73"/>
      <c r="MBQ36" s="73"/>
      <c r="MBR36" s="73"/>
      <c r="MBS36" s="73"/>
      <c r="MBT36" s="73"/>
      <c r="MBU36" s="73"/>
      <c r="MBV36" s="73"/>
      <c r="MBW36" s="73"/>
      <c r="MBX36" s="73"/>
      <c r="MBY36" s="73"/>
      <c r="MBZ36" s="73"/>
      <c r="MCA36" s="73"/>
      <c r="MCB36" s="73"/>
      <c r="MCC36" s="73"/>
      <c r="MCD36" s="73"/>
      <c r="MCE36" s="73"/>
      <c r="MCF36" s="73"/>
      <c r="MCG36" s="73"/>
      <c r="MCH36" s="73"/>
      <c r="MCI36" s="73"/>
      <c r="MCJ36" s="73"/>
      <c r="MCK36" s="73"/>
      <c r="MCL36" s="73"/>
      <c r="MCM36" s="73"/>
      <c r="MCN36" s="73"/>
      <c r="MCO36" s="73"/>
      <c r="MCP36" s="73"/>
      <c r="MCQ36" s="73"/>
      <c r="MCR36" s="73"/>
      <c r="MCS36" s="73"/>
      <c r="MCT36" s="73"/>
      <c r="MCU36" s="73"/>
      <c r="MCV36" s="73"/>
      <c r="MCW36" s="73"/>
      <c r="MCX36" s="73"/>
      <c r="MCY36" s="73"/>
      <c r="MCZ36" s="73"/>
      <c r="MDA36" s="73"/>
      <c r="MDB36" s="73"/>
      <c r="MDC36" s="73"/>
      <c r="MDD36" s="73"/>
      <c r="MDE36" s="73"/>
      <c r="MDF36" s="73"/>
      <c r="MDG36" s="73"/>
      <c r="MDH36" s="73"/>
      <c r="MDI36" s="73"/>
      <c r="MDJ36" s="73"/>
      <c r="MDK36" s="73"/>
      <c r="MDL36" s="73"/>
      <c r="MDM36" s="73"/>
      <c r="MDN36" s="73"/>
      <c r="MDO36" s="73"/>
      <c r="MDP36" s="73"/>
      <c r="MDQ36" s="73"/>
      <c r="MDR36" s="73"/>
      <c r="MDS36" s="73"/>
      <c r="MDT36" s="73"/>
      <c r="MDU36" s="73"/>
      <c r="MDV36" s="73"/>
      <c r="MDW36" s="73"/>
      <c r="MDX36" s="73"/>
      <c r="MDY36" s="73"/>
      <c r="MDZ36" s="73"/>
      <c r="MEA36" s="73"/>
      <c r="MEB36" s="73"/>
      <c r="MEC36" s="73"/>
      <c r="MED36" s="73"/>
      <c r="MEE36" s="73"/>
      <c r="MEF36" s="73"/>
      <c r="MEG36" s="73"/>
      <c r="MEH36" s="73"/>
      <c r="MEI36" s="73"/>
      <c r="MEJ36" s="73"/>
      <c r="MEK36" s="73"/>
      <c r="MEL36" s="73"/>
      <c r="MEM36" s="73"/>
      <c r="MEN36" s="73"/>
      <c r="MEO36" s="73"/>
      <c r="MEP36" s="73"/>
      <c r="MEQ36" s="73"/>
      <c r="MER36" s="73"/>
      <c r="MES36" s="73"/>
      <c r="MET36" s="73"/>
      <c r="MEU36" s="73"/>
      <c r="MEV36" s="73"/>
      <c r="MEW36" s="73"/>
      <c r="MEX36" s="73"/>
      <c r="MEY36" s="73"/>
      <c r="MEZ36" s="73"/>
      <c r="MFA36" s="73"/>
      <c r="MFB36" s="73"/>
      <c r="MFC36" s="73"/>
      <c r="MFD36" s="73"/>
      <c r="MFE36" s="73"/>
      <c r="MFF36" s="73"/>
      <c r="MFG36" s="73"/>
      <c r="MFH36" s="73"/>
      <c r="MFI36" s="73"/>
      <c r="MFJ36" s="73"/>
      <c r="MFK36" s="73"/>
      <c r="MFL36" s="73"/>
      <c r="MFM36" s="73"/>
      <c r="MFN36" s="73"/>
      <c r="MFO36" s="73"/>
      <c r="MFP36" s="73"/>
      <c r="MFQ36" s="73"/>
      <c r="MFR36" s="73"/>
      <c r="MFS36" s="73"/>
      <c r="MFT36" s="73"/>
      <c r="MFU36" s="73"/>
      <c r="MFV36" s="73"/>
      <c r="MFW36" s="73"/>
      <c r="MFX36" s="73"/>
      <c r="MFY36" s="73"/>
      <c r="MFZ36" s="73"/>
      <c r="MGA36" s="73"/>
      <c r="MGB36" s="73"/>
      <c r="MGC36" s="73"/>
      <c r="MGD36" s="73"/>
      <c r="MGE36" s="73"/>
      <c r="MGF36" s="73"/>
      <c r="MGG36" s="73"/>
      <c r="MGH36" s="73"/>
      <c r="MGI36" s="73"/>
      <c r="MGJ36" s="73"/>
      <c r="MGK36" s="73"/>
      <c r="MGL36" s="73"/>
      <c r="MGM36" s="73"/>
      <c r="MGN36" s="73"/>
      <c r="MGO36" s="73"/>
      <c r="MGP36" s="73"/>
      <c r="MGQ36" s="73"/>
      <c r="MGR36" s="73"/>
      <c r="MGS36" s="73"/>
      <c r="MGT36" s="73"/>
      <c r="MGU36" s="73"/>
      <c r="MGV36" s="73"/>
      <c r="MGW36" s="73"/>
      <c r="MGX36" s="73"/>
      <c r="MGY36" s="73"/>
      <c r="MGZ36" s="73"/>
      <c r="MHA36" s="73"/>
      <c r="MHB36" s="73"/>
      <c r="MHC36" s="73"/>
      <c r="MHD36" s="73"/>
      <c r="MHE36" s="73"/>
      <c r="MHF36" s="73"/>
      <c r="MHG36" s="73"/>
      <c r="MHH36" s="73"/>
      <c r="MHI36" s="73"/>
      <c r="MHJ36" s="73"/>
      <c r="MHK36" s="73"/>
      <c r="MHL36" s="73"/>
      <c r="MHM36" s="73"/>
      <c r="MHN36" s="73"/>
      <c r="MHO36" s="73"/>
      <c r="MHP36" s="73"/>
      <c r="MHQ36" s="73"/>
      <c r="MHR36" s="73"/>
      <c r="MHS36" s="73"/>
      <c r="MHT36" s="73"/>
      <c r="MHU36" s="73"/>
      <c r="MHV36" s="73"/>
      <c r="MHW36" s="73"/>
      <c r="MHX36" s="73"/>
      <c r="MHY36" s="73"/>
      <c r="MHZ36" s="73"/>
      <c r="MIA36" s="73"/>
      <c r="MIB36" s="73"/>
      <c r="MIC36" s="73"/>
      <c r="MID36" s="73"/>
      <c r="MIE36" s="73"/>
      <c r="MIF36" s="73"/>
      <c r="MIG36" s="73"/>
      <c r="MIH36" s="73"/>
      <c r="MII36" s="73"/>
      <c r="MIJ36" s="73"/>
      <c r="MIK36" s="73"/>
      <c r="MIL36" s="73"/>
      <c r="MIM36" s="73"/>
      <c r="MIN36" s="73"/>
      <c r="MIO36" s="73"/>
      <c r="MIP36" s="73"/>
      <c r="MIQ36" s="73"/>
      <c r="MIR36" s="73"/>
      <c r="MIS36" s="73"/>
      <c r="MIT36" s="73"/>
      <c r="MIU36" s="73"/>
      <c r="MIV36" s="73"/>
      <c r="MIW36" s="73"/>
      <c r="MIX36" s="73"/>
      <c r="MIY36" s="73"/>
      <c r="MIZ36" s="73"/>
      <c r="MJA36" s="73"/>
      <c r="MJB36" s="73"/>
      <c r="MJC36" s="73"/>
      <c r="MJD36" s="73"/>
      <c r="MJE36" s="73"/>
      <c r="MJF36" s="73"/>
      <c r="MJG36" s="73"/>
      <c r="MJH36" s="73"/>
      <c r="MJI36" s="73"/>
      <c r="MJJ36" s="73"/>
      <c r="MJK36" s="73"/>
      <c r="MJL36" s="73"/>
      <c r="MJM36" s="73"/>
      <c r="MJN36" s="73"/>
      <c r="MJO36" s="73"/>
      <c r="MJP36" s="73"/>
      <c r="MJQ36" s="73"/>
      <c r="MJR36" s="73"/>
      <c r="MJS36" s="73"/>
      <c r="MJT36" s="73"/>
      <c r="MJU36" s="73"/>
      <c r="MJV36" s="73"/>
      <c r="MJW36" s="73"/>
      <c r="MJX36" s="73"/>
      <c r="MJY36" s="73"/>
      <c r="MJZ36" s="73"/>
      <c r="MKA36" s="73"/>
      <c r="MKB36" s="73"/>
      <c r="MKC36" s="73"/>
      <c r="MKD36" s="73"/>
      <c r="MKE36" s="73"/>
      <c r="MKF36" s="73"/>
      <c r="MKG36" s="73"/>
      <c r="MKH36" s="73"/>
      <c r="MKI36" s="73"/>
      <c r="MKJ36" s="73"/>
      <c r="MKK36" s="73"/>
      <c r="MKL36" s="73"/>
      <c r="MKM36" s="73"/>
      <c r="MKN36" s="73"/>
      <c r="MKO36" s="73"/>
      <c r="MKP36" s="73"/>
      <c r="MKQ36" s="73"/>
      <c r="MKR36" s="73"/>
      <c r="MKS36" s="73"/>
      <c r="MKT36" s="73"/>
      <c r="MKU36" s="73"/>
      <c r="MKV36" s="73"/>
      <c r="MKW36" s="73"/>
      <c r="MKX36" s="73"/>
      <c r="MKY36" s="73"/>
      <c r="MKZ36" s="73"/>
      <c r="MLA36" s="73"/>
      <c r="MLB36" s="73"/>
      <c r="MLC36" s="73"/>
      <c r="MLD36" s="73"/>
      <c r="MLE36" s="73"/>
      <c r="MLF36" s="73"/>
      <c r="MLG36" s="73"/>
      <c r="MLH36" s="73"/>
      <c r="MLI36" s="73"/>
      <c r="MLJ36" s="73"/>
      <c r="MLK36" s="73"/>
      <c r="MLL36" s="73"/>
      <c r="MLM36" s="73"/>
      <c r="MLN36" s="73"/>
      <c r="MLO36" s="73"/>
      <c r="MLP36" s="73"/>
      <c r="MLQ36" s="73"/>
      <c r="MLR36" s="73"/>
      <c r="MLS36" s="73"/>
      <c r="MLT36" s="73"/>
      <c r="MLU36" s="73"/>
      <c r="MLV36" s="73"/>
      <c r="MLW36" s="73"/>
      <c r="MLX36" s="73"/>
      <c r="MLY36" s="73"/>
      <c r="MLZ36" s="73"/>
      <c r="MMA36" s="73"/>
      <c r="MMB36" s="73"/>
      <c r="MMC36" s="73"/>
      <c r="MMD36" s="73"/>
      <c r="MME36" s="73"/>
      <c r="MMF36" s="73"/>
      <c r="MMG36" s="73"/>
      <c r="MMH36" s="73"/>
      <c r="MMI36" s="73"/>
      <c r="MMJ36" s="73"/>
      <c r="MMK36" s="73"/>
      <c r="MML36" s="73"/>
      <c r="MMM36" s="73"/>
      <c r="MMN36" s="73"/>
      <c r="MMO36" s="73"/>
      <c r="MMP36" s="73"/>
      <c r="MMQ36" s="73"/>
      <c r="MMR36" s="73"/>
      <c r="MMS36" s="73"/>
      <c r="MMT36" s="73"/>
      <c r="MMU36" s="73"/>
      <c r="MMV36" s="73"/>
      <c r="MMW36" s="73"/>
      <c r="MMX36" s="73"/>
      <c r="MMY36" s="73"/>
      <c r="MMZ36" s="73"/>
      <c r="MNA36" s="73"/>
      <c r="MNB36" s="73"/>
      <c r="MNC36" s="73"/>
      <c r="MND36" s="73"/>
      <c r="MNE36" s="73"/>
      <c r="MNF36" s="73"/>
      <c r="MNG36" s="73"/>
      <c r="MNH36" s="73"/>
      <c r="MNI36" s="73"/>
      <c r="MNJ36" s="73"/>
      <c r="MNK36" s="73"/>
      <c r="MNL36" s="73"/>
      <c r="MNM36" s="73"/>
      <c r="MNN36" s="73"/>
      <c r="MNO36" s="73"/>
      <c r="MNP36" s="73"/>
      <c r="MNQ36" s="73"/>
      <c r="MNR36" s="73"/>
      <c r="MNS36" s="73"/>
      <c r="MNT36" s="73"/>
      <c r="MNU36" s="73"/>
      <c r="MNV36" s="73"/>
      <c r="MNW36" s="73"/>
      <c r="MNX36" s="73"/>
      <c r="MNY36" s="73"/>
      <c r="MNZ36" s="73"/>
      <c r="MOA36" s="73"/>
      <c r="MOB36" s="73"/>
      <c r="MOC36" s="73"/>
      <c r="MOD36" s="73"/>
      <c r="MOE36" s="73"/>
      <c r="MOF36" s="73"/>
      <c r="MOG36" s="73"/>
      <c r="MOH36" s="73"/>
      <c r="MOI36" s="73"/>
      <c r="MOJ36" s="73"/>
      <c r="MOK36" s="73"/>
      <c r="MOL36" s="73"/>
      <c r="MOM36" s="73"/>
      <c r="MON36" s="73"/>
      <c r="MOO36" s="73"/>
      <c r="MOP36" s="73"/>
      <c r="MOQ36" s="73"/>
      <c r="MOR36" s="73"/>
      <c r="MOS36" s="73"/>
      <c r="MOT36" s="73"/>
      <c r="MOU36" s="73"/>
      <c r="MOV36" s="73"/>
      <c r="MOW36" s="73"/>
      <c r="MOX36" s="73"/>
      <c r="MOY36" s="73"/>
      <c r="MOZ36" s="73"/>
      <c r="MPA36" s="73"/>
      <c r="MPB36" s="73"/>
      <c r="MPC36" s="73"/>
      <c r="MPD36" s="73"/>
      <c r="MPE36" s="73"/>
      <c r="MPF36" s="73"/>
      <c r="MPG36" s="73"/>
      <c r="MPH36" s="73"/>
      <c r="MPI36" s="73"/>
      <c r="MPJ36" s="73"/>
      <c r="MPK36" s="73"/>
      <c r="MPL36" s="73"/>
      <c r="MPM36" s="73"/>
      <c r="MPN36" s="73"/>
      <c r="MPO36" s="73"/>
      <c r="MPP36" s="73"/>
      <c r="MPQ36" s="73"/>
      <c r="MPR36" s="73"/>
      <c r="MPS36" s="73"/>
      <c r="MPT36" s="73"/>
      <c r="MPU36" s="73"/>
      <c r="MPV36" s="73"/>
      <c r="MPW36" s="73"/>
      <c r="MPX36" s="73"/>
      <c r="MPY36" s="73"/>
      <c r="MPZ36" s="73"/>
      <c r="MQA36" s="73"/>
      <c r="MQB36" s="73"/>
      <c r="MQC36" s="73"/>
      <c r="MQD36" s="73"/>
      <c r="MQE36" s="73"/>
      <c r="MQF36" s="73"/>
      <c r="MQG36" s="73"/>
      <c r="MQH36" s="73"/>
      <c r="MQI36" s="73"/>
      <c r="MQJ36" s="73"/>
      <c r="MQK36" s="73"/>
      <c r="MQL36" s="73"/>
      <c r="MQM36" s="73"/>
      <c r="MQN36" s="73"/>
      <c r="MQO36" s="73"/>
      <c r="MQP36" s="73"/>
      <c r="MQQ36" s="73"/>
      <c r="MQR36" s="73"/>
      <c r="MQS36" s="73"/>
      <c r="MQT36" s="73"/>
      <c r="MQU36" s="73"/>
      <c r="MQV36" s="73"/>
      <c r="MQW36" s="73"/>
      <c r="MQX36" s="73"/>
      <c r="MQY36" s="73"/>
      <c r="MQZ36" s="73"/>
      <c r="MRA36" s="73"/>
      <c r="MRB36" s="73"/>
      <c r="MRC36" s="73"/>
      <c r="MRD36" s="73"/>
      <c r="MRE36" s="73"/>
      <c r="MRF36" s="73"/>
      <c r="MRG36" s="73"/>
      <c r="MRH36" s="73"/>
      <c r="MRI36" s="73"/>
      <c r="MRJ36" s="73"/>
      <c r="MRK36" s="73"/>
      <c r="MRL36" s="73"/>
      <c r="MRM36" s="73"/>
      <c r="MRN36" s="73"/>
      <c r="MRO36" s="73"/>
      <c r="MRP36" s="73"/>
      <c r="MRQ36" s="73"/>
      <c r="MRR36" s="73"/>
      <c r="MRS36" s="73"/>
      <c r="MRT36" s="73"/>
      <c r="MRU36" s="73"/>
      <c r="MRV36" s="73"/>
      <c r="MRW36" s="73"/>
      <c r="MRX36" s="73"/>
      <c r="MRY36" s="73"/>
      <c r="MRZ36" s="73"/>
      <c r="MSA36" s="73"/>
      <c r="MSB36" s="73"/>
      <c r="MSC36" s="73"/>
      <c r="MSD36" s="73"/>
      <c r="MSE36" s="73"/>
      <c r="MSF36" s="73"/>
      <c r="MSG36" s="73"/>
      <c r="MSH36" s="73"/>
      <c r="MSI36" s="73"/>
      <c r="MSJ36" s="73"/>
      <c r="MSK36" s="73"/>
      <c r="MSL36" s="73"/>
      <c r="MSM36" s="73"/>
      <c r="MSN36" s="73"/>
      <c r="MSO36" s="73"/>
      <c r="MSP36" s="73"/>
      <c r="MSQ36" s="73"/>
      <c r="MSR36" s="73"/>
      <c r="MSS36" s="73"/>
      <c r="MST36" s="73"/>
      <c r="MSU36" s="73"/>
      <c r="MSV36" s="73"/>
      <c r="MSW36" s="73"/>
      <c r="MSX36" s="73"/>
      <c r="MSY36" s="73"/>
      <c r="MSZ36" s="73"/>
      <c r="MTA36" s="73"/>
      <c r="MTB36" s="73"/>
      <c r="MTC36" s="73"/>
      <c r="MTD36" s="73"/>
      <c r="MTE36" s="73"/>
      <c r="MTF36" s="73"/>
      <c r="MTG36" s="73"/>
      <c r="MTH36" s="73"/>
      <c r="MTI36" s="73"/>
      <c r="MTJ36" s="73"/>
      <c r="MTK36" s="73"/>
      <c r="MTL36" s="73"/>
      <c r="MTM36" s="73"/>
      <c r="MTN36" s="73"/>
      <c r="MTO36" s="73"/>
      <c r="MTP36" s="73"/>
      <c r="MTQ36" s="73"/>
      <c r="MTR36" s="73"/>
      <c r="MTS36" s="73"/>
      <c r="MTT36" s="73"/>
      <c r="MTU36" s="73"/>
      <c r="MTV36" s="73"/>
      <c r="MTW36" s="73"/>
      <c r="MTX36" s="73"/>
      <c r="MTY36" s="73"/>
      <c r="MTZ36" s="73"/>
      <c r="MUA36" s="73"/>
      <c r="MUB36" s="73"/>
      <c r="MUC36" s="73"/>
      <c r="MUD36" s="73"/>
      <c r="MUE36" s="73"/>
      <c r="MUF36" s="73"/>
      <c r="MUG36" s="73"/>
      <c r="MUH36" s="73"/>
      <c r="MUI36" s="73"/>
      <c r="MUJ36" s="73"/>
      <c r="MUK36" s="73"/>
      <c r="MUL36" s="73"/>
      <c r="MUM36" s="73"/>
      <c r="MUN36" s="73"/>
      <c r="MUO36" s="73"/>
      <c r="MUP36" s="73"/>
      <c r="MUQ36" s="73"/>
      <c r="MUR36" s="73"/>
      <c r="MUS36" s="73"/>
      <c r="MUT36" s="73"/>
      <c r="MUU36" s="73"/>
      <c r="MUV36" s="73"/>
      <c r="MUW36" s="73"/>
      <c r="MUX36" s="73"/>
      <c r="MUY36" s="73"/>
      <c r="MUZ36" s="73"/>
      <c r="MVA36" s="73"/>
      <c r="MVB36" s="73"/>
      <c r="MVC36" s="73"/>
      <c r="MVD36" s="73"/>
      <c r="MVE36" s="73"/>
      <c r="MVF36" s="73"/>
      <c r="MVG36" s="73"/>
      <c r="MVH36" s="73"/>
      <c r="MVI36" s="73"/>
      <c r="MVJ36" s="73"/>
      <c r="MVK36" s="73"/>
      <c r="MVL36" s="73"/>
      <c r="MVM36" s="73"/>
      <c r="MVN36" s="73"/>
      <c r="MVO36" s="73"/>
      <c r="MVP36" s="73"/>
      <c r="MVQ36" s="73"/>
      <c r="MVR36" s="73"/>
      <c r="MVS36" s="73"/>
      <c r="MVT36" s="73"/>
      <c r="MVU36" s="73"/>
      <c r="MVV36" s="73"/>
      <c r="MVW36" s="73"/>
      <c r="MVX36" s="73"/>
      <c r="MVY36" s="73"/>
      <c r="MVZ36" s="73"/>
      <c r="MWA36" s="73"/>
      <c r="MWB36" s="73"/>
      <c r="MWC36" s="73"/>
      <c r="MWD36" s="73"/>
      <c r="MWE36" s="73"/>
      <c r="MWF36" s="73"/>
      <c r="MWG36" s="73"/>
      <c r="MWH36" s="73"/>
      <c r="MWI36" s="73"/>
      <c r="MWJ36" s="73"/>
      <c r="MWK36" s="73"/>
      <c r="MWL36" s="73"/>
      <c r="MWM36" s="73"/>
      <c r="MWN36" s="73"/>
      <c r="MWO36" s="73"/>
      <c r="MWP36" s="73"/>
      <c r="MWQ36" s="73"/>
      <c r="MWR36" s="73"/>
      <c r="MWS36" s="73"/>
      <c r="MWT36" s="73"/>
      <c r="MWU36" s="73"/>
      <c r="MWV36" s="73"/>
      <c r="MWW36" s="73"/>
      <c r="MWX36" s="73"/>
      <c r="MWY36" s="73"/>
      <c r="MWZ36" s="73"/>
      <c r="MXA36" s="73"/>
      <c r="MXB36" s="73"/>
      <c r="MXC36" s="73"/>
      <c r="MXD36" s="73"/>
      <c r="MXE36" s="73"/>
      <c r="MXF36" s="73"/>
      <c r="MXG36" s="73"/>
      <c r="MXH36" s="73"/>
      <c r="MXI36" s="73"/>
      <c r="MXJ36" s="73"/>
      <c r="MXK36" s="73"/>
      <c r="MXL36" s="73"/>
      <c r="MXM36" s="73"/>
      <c r="MXN36" s="73"/>
      <c r="MXO36" s="73"/>
      <c r="MXP36" s="73"/>
      <c r="MXQ36" s="73"/>
      <c r="MXR36" s="73"/>
      <c r="MXS36" s="73"/>
      <c r="MXT36" s="73"/>
      <c r="MXU36" s="73"/>
      <c r="MXV36" s="73"/>
      <c r="MXW36" s="73"/>
      <c r="MXX36" s="73"/>
      <c r="MXY36" s="73"/>
      <c r="MXZ36" s="73"/>
      <c r="MYA36" s="73"/>
      <c r="MYB36" s="73"/>
      <c r="MYC36" s="73"/>
      <c r="MYD36" s="73"/>
      <c r="MYE36" s="73"/>
      <c r="MYF36" s="73"/>
      <c r="MYG36" s="73"/>
      <c r="MYH36" s="73"/>
      <c r="MYI36" s="73"/>
      <c r="MYJ36" s="73"/>
      <c r="MYK36" s="73"/>
      <c r="MYL36" s="73"/>
      <c r="MYM36" s="73"/>
      <c r="MYN36" s="73"/>
      <c r="MYO36" s="73"/>
      <c r="MYP36" s="73"/>
      <c r="MYQ36" s="73"/>
      <c r="MYR36" s="73"/>
      <c r="MYS36" s="73"/>
      <c r="MYT36" s="73"/>
      <c r="MYU36" s="73"/>
      <c r="MYV36" s="73"/>
      <c r="MYW36" s="73"/>
      <c r="MYX36" s="73"/>
      <c r="MYY36" s="73"/>
      <c r="MYZ36" s="73"/>
      <c r="MZA36" s="73"/>
      <c r="MZB36" s="73"/>
      <c r="MZC36" s="73"/>
      <c r="MZD36" s="73"/>
      <c r="MZE36" s="73"/>
      <c r="MZF36" s="73"/>
      <c r="MZG36" s="73"/>
      <c r="MZH36" s="73"/>
      <c r="MZI36" s="73"/>
      <c r="MZJ36" s="73"/>
      <c r="MZK36" s="73"/>
      <c r="MZL36" s="73"/>
      <c r="MZM36" s="73"/>
      <c r="MZN36" s="73"/>
      <c r="MZO36" s="73"/>
      <c r="MZP36" s="73"/>
      <c r="MZQ36" s="73"/>
      <c r="MZR36" s="73"/>
      <c r="MZS36" s="73"/>
      <c r="MZT36" s="73"/>
      <c r="MZU36" s="73"/>
      <c r="MZV36" s="73"/>
      <c r="MZW36" s="73"/>
      <c r="MZX36" s="73"/>
      <c r="MZY36" s="73"/>
      <c r="MZZ36" s="73"/>
      <c r="NAA36" s="73"/>
      <c r="NAB36" s="73"/>
      <c r="NAC36" s="73"/>
      <c r="NAD36" s="73"/>
      <c r="NAE36" s="73"/>
      <c r="NAF36" s="73"/>
      <c r="NAG36" s="73"/>
      <c r="NAH36" s="73"/>
      <c r="NAI36" s="73"/>
      <c r="NAJ36" s="73"/>
      <c r="NAK36" s="73"/>
      <c r="NAL36" s="73"/>
      <c r="NAM36" s="73"/>
      <c r="NAN36" s="73"/>
      <c r="NAO36" s="73"/>
      <c r="NAP36" s="73"/>
      <c r="NAQ36" s="73"/>
      <c r="NAR36" s="73"/>
      <c r="NAS36" s="73"/>
      <c r="NAT36" s="73"/>
      <c r="NAU36" s="73"/>
      <c r="NAV36" s="73"/>
      <c r="NAW36" s="73"/>
      <c r="NAX36" s="73"/>
      <c r="NAY36" s="73"/>
      <c r="NAZ36" s="73"/>
      <c r="NBA36" s="73"/>
      <c r="NBB36" s="73"/>
      <c r="NBC36" s="73"/>
      <c r="NBD36" s="73"/>
      <c r="NBE36" s="73"/>
      <c r="NBF36" s="73"/>
      <c r="NBG36" s="73"/>
      <c r="NBH36" s="73"/>
      <c r="NBI36" s="73"/>
      <c r="NBJ36" s="73"/>
      <c r="NBK36" s="73"/>
      <c r="NBL36" s="73"/>
      <c r="NBM36" s="73"/>
      <c r="NBN36" s="73"/>
      <c r="NBO36" s="73"/>
      <c r="NBP36" s="73"/>
      <c r="NBQ36" s="73"/>
      <c r="NBR36" s="73"/>
      <c r="NBS36" s="73"/>
      <c r="NBT36" s="73"/>
      <c r="NBU36" s="73"/>
      <c r="NBV36" s="73"/>
      <c r="NBW36" s="73"/>
      <c r="NBX36" s="73"/>
      <c r="NBY36" s="73"/>
      <c r="NBZ36" s="73"/>
      <c r="NCA36" s="73"/>
      <c r="NCB36" s="73"/>
      <c r="NCC36" s="73"/>
      <c r="NCD36" s="73"/>
      <c r="NCE36" s="73"/>
      <c r="NCF36" s="73"/>
      <c r="NCG36" s="73"/>
      <c r="NCH36" s="73"/>
      <c r="NCI36" s="73"/>
      <c r="NCJ36" s="73"/>
      <c r="NCK36" s="73"/>
      <c r="NCL36" s="73"/>
      <c r="NCM36" s="73"/>
      <c r="NCN36" s="73"/>
      <c r="NCO36" s="73"/>
      <c r="NCP36" s="73"/>
      <c r="NCQ36" s="73"/>
      <c r="NCR36" s="73"/>
      <c r="NCS36" s="73"/>
      <c r="NCT36" s="73"/>
      <c r="NCU36" s="73"/>
      <c r="NCV36" s="73"/>
      <c r="NCW36" s="73"/>
      <c r="NCX36" s="73"/>
      <c r="NCY36" s="73"/>
      <c r="NCZ36" s="73"/>
      <c r="NDA36" s="73"/>
      <c r="NDB36" s="73"/>
      <c r="NDC36" s="73"/>
      <c r="NDD36" s="73"/>
      <c r="NDE36" s="73"/>
      <c r="NDF36" s="73"/>
      <c r="NDG36" s="73"/>
      <c r="NDH36" s="73"/>
      <c r="NDI36" s="73"/>
      <c r="NDJ36" s="73"/>
      <c r="NDK36" s="73"/>
      <c r="NDL36" s="73"/>
      <c r="NDM36" s="73"/>
      <c r="NDN36" s="73"/>
      <c r="NDO36" s="73"/>
      <c r="NDP36" s="73"/>
      <c r="NDQ36" s="73"/>
      <c r="NDR36" s="73"/>
      <c r="NDS36" s="73"/>
      <c r="NDT36" s="73"/>
      <c r="NDU36" s="73"/>
      <c r="NDV36" s="73"/>
      <c r="NDW36" s="73"/>
      <c r="NDX36" s="73"/>
      <c r="NDY36" s="73"/>
      <c r="NDZ36" s="73"/>
      <c r="NEA36" s="73"/>
      <c r="NEB36" s="73"/>
      <c r="NEC36" s="73"/>
      <c r="NED36" s="73"/>
      <c r="NEE36" s="73"/>
      <c r="NEF36" s="73"/>
      <c r="NEG36" s="73"/>
      <c r="NEH36" s="73"/>
      <c r="NEI36" s="73"/>
      <c r="NEJ36" s="73"/>
      <c r="NEK36" s="73"/>
      <c r="NEL36" s="73"/>
      <c r="NEM36" s="73"/>
      <c r="NEN36" s="73"/>
      <c r="NEO36" s="73"/>
      <c r="NEP36" s="73"/>
      <c r="NEQ36" s="73"/>
      <c r="NER36" s="73"/>
      <c r="NES36" s="73"/>
      <c r="NET36" s="73"/>
      <c r="NEU36" s="73"/>
      <c r="NEV36" s="73"/>
      <c r="NEW36" s="73"/>
      <c r="NEX36" s="73"/>
      <c r="NEY36" s="73"/>
      <c r="NEZ36" s="73"/>
      <c r="NFA36" s="73"/>
      <c r="NFB36" s="73"/>
      <c r="NFC36" s="73"/>
      <c r="NFD36" s="73"/>
      <c r="NFE36" s="73"/>
      <c r="NFF36" s="73"/>
      <c r="NFG36" s="73"/>
      <c r="NFH36" s="73"/>
      <c r="NFI36" s="73"/>
      <c r="NFJ36" s="73"/>
      <c r="NFK36" s="73"/>
      <c r="NFL36" s="73"/>
      <c r="NFM36" s="73"/>
      <c r="NFN36" s="73"/>
      <c r="NFO36" s="73"/>
      <c r="NFP36" s="73"/>
      <c r="NFQ36" s="73"/>
      <c r="NFR36" s="73"/>
      <c r="NFS36" s="73"/>
      <c r="NFT36" s="73"/>
      <c r="NFU36" s="73"/>
      <c r="NFV36" s="73"/>
      <c r="NFW36" s="73"/>
      <c r="NFX36" s="73"/>
      <c r="NFY36" s="73"/>
      <c r="NFZ36" s="73"/>
      <c r="NGA36" s="73"/>
      <c r="NGB36" s="73"/>
      <c r="NGC36" s="73"/>
      <c r="NGD36" s="73"/>
      <c r="NGE36" s="73"/>
      <c r="NGF36" s="73"/>
      <c r="NGG36" s="73"/>
      <c r="NGH36" s="73"/>
      <c r="NGI36" s="73"/>
      <c r="NGJ36" s="73"/>
      <c r="NGK36" s="73"/>
      <c r="NGL36" s="73"/>
      <c r="NGM36" s="73"/>
      <c r="NGN36" s="73"/>
      <c r="NGO36" s="73"/>
      <c r="NGP36" s="73"/>
      <c r="NGQ36" s="73"/>
      <c r="NGR36" s="73"/>
      <c r="NGS36" s="73"/>
      <c r="NGT36" s="73"/>
      <c r="NGU36" s="73"/>
      <c r="NGV36" s="73"/>
      <c r="NGW36" s="73"/>
      <c r="NGX36" s="73"/>
      <c r="NGY36" s="73"/>
      <c r="NGZ36" s="73"/>
      <c r="NHA36" s="73"/>
      <c r="NHB36" s="73"/>
      <c r="NHC36" s="73"/>
      <c r="NHD36" s="73"/>
      <c r="NHE36" s="73"/>
      <c r="NHF36" s="73"/>
      <c r="NHG36" s="73"/>
      <c r="NHH36" s="73"/>
      <c r="NHI36" s="73"/>
      <c r="NHJ36" s="73"/>
      <c r="NHK36" s="73"/>
      <c r="NHL36" s="73"/>
      <c r="NHM36" s="73"/>
      <c r="NHN36" s="73"/>
      <c r="NHO36" s="73"/>
      <c r="NHP36" s="73"/>
      <c r="NHQ36" s="73"/>
      <c r="NHR36" s="73"/>
      <c r="NHS36" s="73"/>
      <c r="NHT36" s="73"/>
      <c r="NHU36" s="73"/>
      <c r="NHV36" s="73"/>
      <c r="NHW36" s="73"/>
      <c r="NHX36" s="73"/>
      <c r="NHY36" s="73"/>
      <c r="NHZ36" s="73"/>
      <c r="NIA36" s="73"/>
      <c r="NIB36" s="73"/>
      <c r="NIC36" s="73"/>
      <c r="NID36" s="73"/>
      <c r="NIE36" s="73"/>
      <c r="NIF36" s="73"/>
      <c r="NIG36" s="73"/>
      <c r="NIH36" s="73"/>
      <c r="NII36" s="73"/>
      <c r="NIJ36" s="73"/>
      <c r="NIK36" s="73"/>
      <c r="NIL36" s="73"/>
      <c r="NIM36" s="73"/>
      <c r="NIN36" s="73"/>
      <c r="NIO36" s="73"/>
      <c r="NIP36" s="73"/>
      <c r="NIQ36" s="73"/>
      <c r="NIR36" s="73"/>
      <c r="NIS36" s="73"/>
      <c r="NIT36" s="73"/>
      <c r="NIU36" s="73"/>
      <c r="NIV36" s="73"/>
      <c r="NIW36" s="73"/>
      <c r="NIX36" s="73"/>
      <c r="NIY36" s="73"/>
      <c r="NIZ36" s="73"/>
      <c r="NJA36" s="73"/>
      <c r="NJB36" s="73"/>
      <c r="NJC36" s="73"/>
      <c r="NJD36" s="73"/>
      <c r="NJE36" s="73"/>
      <c r="NJF36" s="73"/>
      <c r="NJG36" s="73"/>
      <c r="NJH36" s="73"/>
      <c r="NJI36" s="73"/>
      <c r="NJJ36" s="73"/>
      <c r="NJK36" s="73"/>
      <c r="NJL36" s="73"/>
      <c r="NJM36" s="73"/>
      <c r="NJN36" s="73"/>
      <c r="NJO36" s="73"/>
      <c r="NJP36" s="73"/>
      <c r="NJQ36" s="73"/>
      <c r="NJR36" s="73"/>
      <c r="NJS36" s="73"/>
      <c r="NJT36" s="73"/>
      <c r="NJU36" s="73"/>
      <c r="NJV36" s="73"/>
      <c r="NJW36" s="73"/>
      <c r="NJX36" s="73"/>
      <c r="NJY36" s="73"/>
      <c r="NJZ36" s="73"/>
      <c r="NKA36" s="73"/>
      <c r="NKB36" s="73"/>
      <c r="NKC36" s="73"/>
      <c r="NKD36" s="73"/>
      <c r="NKE36" s="73"/>
      <c r="NKF36" s="73"/>
      <c r="NKG36" s="73"/>
      <c r="NKH36" s="73"/>
      <c r="NKI36" s="73"/>
      <c r="NKJ36" s="73"/>
      <c r="NKK36" s="73"/>
      <c r="NKL36" s="73"/>
      <c r="NKM36" s="73"/>
      <c r="NKN36" s="73"/>
      <c r="NKO36" s="73"/>
      <c r="NKP36" s="73"/>
      <c r="NKQ36" s="73"/>
      <c r="NKR36" s="73"/>
      <c r="NKS36" s="73"/>
      <c r="NKT36" s="73"/>
      <c r="NKU36" s="73"/>
      <c r="NKV36" s="73"/>
      <c r="NKW36" s="73"/>
      <c r="NKX36" s="73"/>
      <c r="NKY36" s="73"/>
      <c r="NKZ36" s="73"/>
      <c r="NLA36" s="73"/>
      <c r="NLB36" s="73"/>
      <c r="NLC36" s="73"/>
      <c r="NLD36" s="73"/>
      <c r="NLE36" s="73"/>
      <c r="NLF36" s="73"/>
      <c r="NLG36" s="73"/>
      <c r="NLH36" s="73"/>
      <c r="NLI36" s="73"/>
      <c r="NLJ36" s="73"/>
      <c r="NLK36" s="73"/>
      <c r="NLL36" s="73"/>
      <c r="NLM36" s="73"/>
      <c r="NLN36" s="73"/>
      <c r="NLO36" s="73"/>
      <c r="NLP36" s="73"/>
      <c r="NLQ36" s="73"/>
      <c r="NLR36" s="73"/>
      <c r="NLS36" s="73"/>
      <c r="NLT36" s="73"/>
      <c r="NLU36" s="73"/>
      <c r="NLV36" s="73"/>
      <c r="NLW36" s="73"/>
      <c r="NLX36" s="73"/>
      <c r="NLY36" s="73"/>
      <c r="NLZ36" s="73"/>
      <c r="NMA36" s="73"/>
      <c r="NMB36" s="73"/>
      <c r="NMC36" s="73"/>
      <c r="NMD36" s="73"/>
      <c r="NME36" s="73"/>
      <c r="NMF36" s="73"/>
      <c r="NMG36" s="73"/>
      <c r="NMH36" s="73"/>
      <c r="NMI36" s="73"/>
      <c r="NMJ36" s="73"/>
      <c r="NMK36" s="73"/>
      <c r="NML36" s="73"/>
      <c r="NMM36" s="73"/>
      <c r="NMN36" s="73"/>
      <c r="NMO36" s="73"/>
      <c r="NMP36" s="73"/>
      <c r="NMQ36" s="73"/>
      <c r="NMR36" s="73"/>
      <c r="NMS36" s="73"/>
      <c r="NMT36" s="73"/>
      <c r="NMU36" s="73"/>
      <c r="NMV36" s="73"/>
      <c r="NMW36" s="73"/>
      <c r="NMX36" s="73"/>
      <c r="NMY36" s="73"/>
      <c r="NMZ36" s="73"/>
      <c r="NNA36" s="73"/>
      <c r="NNB36" s="73"/>
      <c r="NNC36" s="73"/>
      <c r="NND36" s="73"/>
      <c r="NNE36" s="73"/>
      <c r="NNF36" s="73"/>
      <c r="NNG36" s="73"/>
      <c r="NNH36" s="73"/>
      <c r="NNI36" s="73"/>
      <c r="NNJ36" s="73"/>
      <c r="NNK36" s="73"/>
      <c r="NNL36" s="73"/>
      <c r="NNM36" s="73"/>
      <c r="NNN36" s="73"/>
      <c r="NNO36" s="73"/>
      <c r="NNP36" s="73"/>
      <c r="NNQ36" s="73"/>
      <c r="NNR36" s="73"/>
      <c r="NNS36" s="73"/>
      <c r="NNT36" s="73"/>
      <c r="NNU36" s="73"/>
      <c r="NNV36" s="73"/>
      <c r="NNW36" s="73"/>
      <c r="NNX36" s="73"/>
      <c r="NNY36" s="73"/>
      <c r="NNZ36" s="73"/>
      <c r="NOA36" s="73"/>
      <c r="NOB36" s="73"/>
      <c r="NOC36" s="73"/>
      <c r="NOD36" s="73"/>
      <c r="NOE36" s="73"/>
      <c r="NOF36" s="73"/>
      <c r="NOG36" s="73"/>
      <c r="NOH36" s="73"/>
      <c r="NOI36" s="73"/>
      <c r="NOJ36" s="73"/>
      <c r="NOK36" s="73"/>
      <c r="NOL36" s="73"/>
      <c r="NOM36" s="73"/>
      <c r="NON36" s="73"/>
      <c r="NOO36" s="73"/>
      <c r="NOP36" s="73"/>
      <c r="NOQ36" s="73"/>
      <c r="NOR36" s="73"/>
      <c r="NOS36" s="73"/>
      <c r="NOT36" s="73"/>
      <c r="NOU36" s="73"/>
      <c r="NOV36" s="73"/>
      <c r="NOW36" s="73"/>
      <c r="NOX36" s="73"/>
      <c r="NOY36" s="73"/>
      <c r="NOZ36" s="73"/>
      <c r="NPA36" s="73"/>
      <c r="NPB36" s="73"/>
      <c r="NPC36" s="73"/>
      <c r="NPD36" s="73"/>
      <c r="NPE36" s="73"/>
      <c r="NPF36" s="73"/>
      <c r="NPG36" s="73"/>
      <c r="NPH36" s="73"/>
      <c r="NPI36" s="73"/>
      <c r="NPJ36" s="73"/>
      <c r="NPK36" s="73"/>
      <c r="NPL36" s="73"/>
      <c r="NPM36" s="73"/>
      <c r="NPN36" s="73"/>
      <c r="NPO36" s="73"/>
      <c r="NPP36" s="73"/>
      <c r="NPQ36" s="73"/>
      <c r="NPR36" s="73"/>
      <c r="NPS36" s="73"/>
      <c r="NPT36" s="73"/>
      <c r="NPU36" s="73"/>
      <c r="NPV36" s="73"/>
      <c r="NPW36" s="73"/>
      <c r="NPX36" s="73"/>
      <c r="NPY36" s="73"/>
      <c r="NPZ36" s="73"/>
      <c r="NQA36" s="73"/>
      <c r="NQB36" s="73"/>
      <c r="NQC36" s="73"/>
      <c r="NQD36" s="73"/>
      <c r="NQE36" s="73"/>
      <c r="NQF36" s="73"/>
      <c r="NQG36" s="73"/>
      <c r="NQH36" s="73"/>
      <c r="NQI36" s="73"/>
      <c r="NQJ36" s="73"/>
      <c r="NQK36" s="73"/>
      <c r="NQL36" s="73"/>
      <c r="NQM36" s="73"/>
      <c r="NQN36" s="73"/>
      <c r="NQO36" s="73"/>
      <c r="NQP36" s="73"/>
      <c r="NQQ36" s="73"/>
      <c r="NQR36" s="73"/>
      <c r="NQS36" s="73"/>
      <c r="NQT36" s="73"/>
      <c r="NQU36" s="73"/>
      <c r="NQV36" s="73"/>
      <c r="NQW36" s="73"/>
      <c r="NQX36" s="73"/>
      <c r="NQY36" s="73"/>
      <c r="NQZ36" s="73"/>
      <c r="NRA36" s="73"/>
      <c r="NRB36" s="73"/>
      <c r="NRC36" s="73"/>
      <c r="NRD36" s="73"/>
      <c r="NRE36" s="73"/>
      <c r="NRF36" s="73"/>
      <c r="NRG36" s="73"/>
      <c r="NRH36" s="73"/>
      <c r="NRI36" s="73"/>
      <c r="NRJ36" s="73"/>
      <c r="NRK36" s="73"/>
      <c r="NRL36" s="73"/>
      <c r="NRM36" s="73"/>
      <c r="NRN36" s="73"/>
      <c r="NRO36" s="73"/>
      <c r="NRP36" s="73"/>
      <c r="NRQ36" s="73"/>
      <c r="NRR36" s="73"/>
      <c r="NRS36" s="73"/>
      <c r="NRT36" s="73"/>
      <c r="NRU36" s="73"/>
      <c r="NRV36" s="73"/>
      <c r="NRW36" s="73"/>
      <c r="NRX36" s="73"/>
      <c r="NRY36" s="73"/>
      <c r="NRZ36" s="73"/>
      <c r="NSA36" s="73"/>
      <c r="NSB36" s="73"/>
      <c r="NSC36" s="73"/>
      <c r="NSD36" s="73"/>
      <c r="NSE36" s="73"/>
      <c r="NSF36" s="73"/>
      <c r="NSG36" s="73"/>
      <c r="NSH36" s="73"/>
      <c r="NSI36" s="73"/>
      <c r="NSJ36" s="73"/>
      <c r="NSK36" s="73"/>
      <c r="NSL36" s="73"/>
      <c r="NSM36" s="73"/>
      <c r="NSN36" s="73"/>
      <c r="NSO36" s="73"/>
      <c r="NSP36" s="73"/>
      <c r="NSQ36" s="73"/>
      <c r="NSR36" s="73"/>
      <c r="NSS36" s="73"/>
      <c r="NST36" s="73"/>
      <c r="NSU36" s="73"/>
      <c r="NSV36" s="73"/>
      <c r="NSW36" s="73"/>
      <c r="NSX36" s="73"/>
      <c r="NSY36" s="73"/>
      <c r="NSZ36" s="73"/>
      <c r="NTA36" s="73"/>
      <c r="NTB36" s="73"/>
      <c r="NTC36" s="73"/>
      <c r="NTD36" s="73"/>
      <c r="NTE36" s="73"/>
      <c r="NTF36" s="73"/>
      <c r="NTG36" s="73"/>
      <c r="NTH36" s="73"/>
      <c r="NTI36" s="73"/>
      <c r="NTJ36" s="73"/>
      <c r="NTK36" s="73"/>
      <c r="NTL36" s="73"/>
      <c r="NTM36" s="73"/>
      <c r="NTN36" s="73"/>
      <c r="NTO36" s="73"/>
      <c r="NTP36" s="73"/>
      <c r="NTQ36" s="73"/>
      <c r="NTR36" s="73"/>
      <c r="NTS36" s="73"/>
      <c r="NTT36" s="73"/>
      <c r="NTU36" s="73"/>
      <c r="NTV36" s="73"/>
      <c r="NTW36" s="73"/>
      <c r="NTX36" s="73"/>
      <c r="NTY36" s="73"/>
      <c r="NTZ36" s="73"/>
      <c r="NUA36" s="73"/>
      <c r="NUB36" s="73"/>
      <c r="NUC36" s="73"/>
      <c r="NUD36" s="73"/>
      <c r="NUE36" s="73"/>
      <c r="NUF36" s="73"/>
      <c r="NUG36" s="73"/>
      <c r="NUH36" s="73"/>
      <c r="NUI36" s="73"/>
      <c r="NUJ36" s="73"/>
      <c r="NUK36" s="73"/>
      <c r="NUL36" s="73"/>
      <c r="NUM36" s="73"/>
      <c r="NUN36" s="73"/>
      <c r="NUO36" s="73"/>
      <c r="NUP36" s="73"/>
      <c r="NUQ36" s="73"/>
      <c r="NUR36" s="73"/>
      <c r="NUS36" s="73"/>
      <c r="NUT36" s="73"/>
      <c r="NUU36" s="73"/>
      <c r="NUV36" s="73"/>
      <c r="NUW36" s="73"/>
      <c r="NUX36" s="73"/>
      <c r="NUY36" s="73"/>
      <c r="NUZ36" s="73"/>
      <c r="NVA36" s="73"/>
      <c r="NVB36" s="73"/>
      <c r="NVC36" s="73"/>
      <c r="NVD36" s="73"/>
      <c r="NVE36" s="73"/>
      <c r="NVF36" s="73"/>
      <c r="NVG36" s="73"/>
      <c r="NVH36" s="73"/>
      <c r="NVI36" s="73"/>
      <c r="NVJ36" s="73"/>
      <c r="NVK36" s="73"/>
      <c r="NVL36" s="73"/>
      <c r="NVM36" s="73"/>
      <c r="NVN36" s="73"/>
      <c r="NVO36" s="73"/>
      <c r="NVP36" s="73"/>
      <c r="NVQ36" s="73"/>
      <c r="NVR36" s="73"/>
      <c r="NVS36" s="73"/>
      <c r="NVT36" s="73"/>
      <c r="NVU36" s="73"/>
      <c r="NVV36" s="73"/>
      <c r="NVW36" s="73"/>
      <c r="NVX36" s="73"/>
      <c r="NVY36" s="73"/>
      <c r="NVZ36" s="73"/>
      <c r="NWA36" s="73"/>
      <c r="NWB36" s="73"/>
      <c r="NWC36" s="73"/>
      <c r="NWD36" s="73"/>
      <c r="NWE36" s="73"/>
      <c r="NWF36" s="73"/>
      <c r="NWG36" s="73"/>
      <c r="NWH36" s="73"/>
      <c r="NWI36" s="73"/>
      <c r="NWJ36" s="73"/>
      <c r="NWK36" s="73"/>
      <c r="NWL36" s="73"/>
      <c r="NWM36" s="73"/>
      <c r="NWN36" s="73"/>
      <c r="NWO36" s="73"/>
      <c r="NWP36" s="73"/>
      <c r="NWQ36" s="73"/>
      <c r="NWR36" s="73"/>
      <c r="NWS36" s="73"/>
      <c r="NWT36" s="73"/>
      <c r="NWU36" s="73"/>
      <c r="NWV36" s="73"/>
      <c r="NWW36" s="73"/>
      <c r="NWX36" s="73"/>
      <c r="NWY36" s="73"/>
      <c r="NWZ36" s="73"/>
      <c r="NXA36" s="73"/>
      <c r="NXB36" s="73"/>
      <c r="NXC36" s="73"/>
      <c r="NXD36" s="73"/>
      <c r="NXE36" s="73"/>
      <c r="NXF36" s="73"/>
      <c r="NXG36" s="73"/>
      <c r="NXH36" s="73"/>
      <c r="NXI36" s="73"/>
      <c r="NXJ36" s="73"/>
      <c r="NXK36" s="73"/>
      <c r="NXL36" s="73"/>
      <c r="NXM36" s="73"/>
      <c r="NXN36" s="73"/>
      <c r="NXO36" s="73"/>
      <c r="NXP36" s="73"/>
      <c r="NXQ36" s="73"/>
      <c r="NXR36" s="73"/>
      <c r="NXS36" s="73"/>
      <c r="NXT36" s="73"/>
      <c r="NXU36" s="73"/>
      <c r="NXV36" s="73"/>
      <c r="NXW36" s="73"/>
      <c r="NXX36" s="73"/>
      <c r="NXY36" s="73"/>
      <c r="NXZ36" s="73"/>
      <c r="NYA36" s="73"/>
      <c r="NYB36" s="73"/>
      <c r="NYC36" s="73"/>
      <c r="NYD36" s="73"/>
      <c r="NYE36" s="73"/>
      <c r="NYF36" s="73"/>
      <c r="NYG36" s="73"/>
      <c r="NYH36" s="73"/>
      <c r="NYI36" s="73"/>
      <c r="NYJ36" s="73"/>
      <c r="NYK36" s="73"/>
      <c r="NYL36" s="73"/>
      <c r="NYM36" s="73"/>
      <c r="NYN36" s="73"/>
      <c r="NYO36" s="73"/>
      <c r="NYP36" s="73"/>
      <c r="NYQ36" s="73"/>
      <c r="NYR36" s="73"/>
      <c r="NYS36" s="73"/>
      <c r="NYT36" s="73"/>
      <c r="NYU36" s="73"/>
      <c r="NYV36" s="73"/>
      <c r="NYW36" s="73"/>
      <c r="NYX36" s="73"/>
      <c r="NYY36" s="73"/>
      <c r="NYZ36" s="73"/>
      <c r="NZA36" s="73"/>
      <c r="NZB36" s="73"/>
      <c r="NZC36" s="73"/>
      <c r="NZD36" s="73"/>
      <c r="NZE36" s="73"/>
      <c r="NZF36" s="73"/>
      <c r="NZG36" s="73"/>
      <c r="NZH36" s="73"/>
      <c r="NZI36" s="73"/>
      <c r="NZJ36" s="73"/>
      <c r="NZK36" s="73"/>
      <c r="NZL36" s="73"/>
      <c r="NZM36" s="73"/>
      <c r="NZN36" s="73"/>
      <c r="NZO36" s="73"/>
      <c r="NZP36" s="73"/>
      <c r="NZQ36" s="73"/>
      <c r="NZR36" s="73"/>
      <c r="NZS36" s="73"/>
      <c r="NZT36" s="73"/>
      <c r="NZU36" s="73"/>
      <c r="NZV36" s="73"/>
      <c r="NZW36" s="73"/>
      <c r="NZX36" s="73"/>
      <c r="NZY36" s="73"/>
      <c r="NZZ36" s="73"/>
      <c r="OAA36" s="73"/>
      <c r="OAB36" s="73"/>
      <c r="OAC36" s="73"/>
      <c r="OAD36" s="73"/>
      <c r="OAE36" s="73"/>
      <c r="OAF36" s="73"/>
      <c r="OAG36" s="73"/>
      <c r="OAH36" s="73"/>
      <c r="OAI36" s="73"/>
      <c r="OAJ36" s="73"/>
      <c r="OAK36" s="73"/>
      <c r="OAL36" s="73"/>
      <c r="OAM36" s="73"/>
      <c r="OAN36" s="73"/>
      <c r="OAO36" s="73"/>
      <c r="OAP36" s="73"/>
      <c r="OAQ36" s="73"/>
      <c r="OAR36" s="73"/>
      <c r="OAS36" s="73"/>
      <c r="OAT36" s="73"/>
      <c r="OAU36" s="73"/>
      <c r="OAV36" s="73"/>
      <c r="OAW36" s="73"/>
      <c r="OAX36" s="73"/>
      <c r="OAY36" s="73"/>
      <c r="OAZ36" s="73"/>
      <c r="OBA36" s="73"/>
      <c r="OBB36" s="73"/>
      <c r="OBC36" s="73"/>
      <c r="OBD36" s="73"/>
      <c r="OBE36" s="73"/>
      <c r="OBF36" s="73"/>
      <c r="OBG36" s="73"/>
      <c r="OBH36" s="73"/>
      <c r="OBI36" s="73"/>
      <c r="OBJ36" s="73"/>
      <c r="OBK36" s="73"/>
      <c r="OBL36" s="73"/>
      <c r="OBM36" s="73"/>
      <c r="OBN36" s="73"/>
      <c r="OBO36" s="73"/>
      <c r="OBP36" s="73"/>
      <c r="OBQ36" s="73"/>
      <c r="OBR36" s="73"/>
      <c r="OBS36" s="73"/>
      <c r="OBT36" s="73"/>
      <c r="OBU36" s="73"/>
      <c r="OBV36" s="73"/>
      <c r="OBW36" s="73"/>
      <c r="OBX36" s="73"/>
      <c r="OBY36" s="73"/>
      <c r="OBZ36" s="73"/>
      <c r="OCA36" s="73"/>
      <c r="OCB36" s="73"/>
      <c r="OCC36" s="73"/>
      <c r="OCD36" s="73"/>
      <c r="OCE36" s="73"/>
      <c r="OCF36" s="73"/>
      <c r="OCG36" s="73"/>
      <c r="OCH36" s="73"/>
      <c r="OCI36" s="73"/>
      <c r="OCJ36" s="73"/>
      <c r="OCK36" s="73"/>
      <c r="OCL36" s="73"/>
      <c r="OCM36" s="73"/>
      <c r="OCN36" s="73"/>
      <c r="OCO36" s="73"/>
      <c r="OCP36" s="73"/>
      <c r="OCQ36" s="73"/>
      <c r="OCR36" s="73"/>
      <c r="OCS36" s="73"/>
      <c r="OCT36" s="73"/>
      <c r="OCU36" s="73"/>
      <c r="OCV36" s="73"/>
      <c r="OCW36" s="73"/>
      <c r="OCX36" s="73"/>
      <c r="OCY36" s="73"/>
      <c r="OCZ36" s="73"/>
      <c r="ODA36" s="73"/>
      <c r="ODB36" s="73"/>
      <c r="ODC36" s="73"/>
      <c r="ODD36" s="73"/>
      <c r="ODE36" s="73"/>
      <c r="ODF36" s="73"/>
      <c r="ODG36" s="73"/>
      <c r="ODH36" s="73"/>
      <c r="ODI36" s="73"/>
      <c r="ODJ36" s="73"/>
      <c r="ODK36" s="73"/>
      <c r="ODL36" s="73"/>
      <c r="ODM36" s="73"/>
      <c r="ODN36" s="73"/>
      <c r="ODO36" s="73"/>
      <c r="ODP36" s="73"/>
      <c r="ODQ36" s="73"/>
      <c r="ODR36" s="73"/>
      <c r="ODS36" s="73"/>
      <c r="ODT36" s="73"/>
      <c r="ODU36" s="73"/>
      <c r="ODV36" s="73"/>
      <c r="ODW36" s="73"/>
      <c r="ODX36" s="73"/>
      <c r="ODY36" s="73"/>
      <c r="ODZ36" s="73"/>
      <c r="OEA36" s="73"/>
      <c r="OEB36" s="73"/>
      <c r="OEC36" s="73"/>
      <c r="OED36" s="73"/>
      <c r="OEE36" s="73"/>
      <c r="OEF36" s="73"/>
      <c r="OEG36" s="73"/>
      <c r="OEH36" s="73"/>
      <c r="OEI36" s="73"/>
      <c r="OEJ36" s="73"/>
      <c r="OEK36" s="73"/>
      <c r="OEL36" s="73"/>
      <c r="OEM36" s="73"/>
      <c r="OEN36" s="73"/>
      <c r="OEO36" s="73"/>
      <c r="OEP36" s="73"/>
      <c r="OEQ36" s="73"/>
      <c r="OER36" s="73"/>
      <c r="OES36" s="73"/>
      <c r="OET36" s="73"/>
      <c r="OEU36" s="73"/>
      <c r="OEV36" s="73"/>
      <c r="OEW36" s="73"/>
      <c r="OEX36" s="73"/>
      <c r="OEY36" s="73"/>
      <c r="OEZ36" s="73"/>
      <c r="OFA36" s="73"/>
      <c r="OFB36" s="73"/>
      <c r="OFC36" s="73"/>
      <c r="OFD36" s="73"/>
      <c r="OFE36" s="73"/>
      <c r="OFF36" s="73"/>
      <c r="OFG36" s="73"/>
      <c r="OFH36" s="73"/>
      <c r="OFI36" s="73"/>
      <c r="OFJ36" s="73"/>
      <c r="OFK36" s="73"/>
      <c r="OFL36" s="73"/>
      <c r="OFM36" s="73"/>
      <c r="OFN36" s="73"/>
      <c r="OFO36" s="73"/>
      <c r="OFP36" s="73"/>
      <c r="OFQ36" s="73"/>
      <c r="OFR36" s="73"/>
      <c r="OFS36" s="73"/>
      <c r="OFT36" s="73"/>
      <c r="OFU36" s="73"/>
      <c r="OFV36" s="73"/>
      <c r="OFW36" s="73"/>
      <c r="OFX36" s="73"/>
      <c r="OFY36" s="73"/>
      <c r="OFZ36" s="73"/>
      <c r="OGA36" s="73"/>
      <c r="OGB36" s="73"/>
      <c r="OGC36" s="73"/>
      <c r="OGD36" s="73"/>
      <c r="OGE36" s="73"/>
      <c r="OGF36" s="73"/>
      <c r="OGG36" s="73"/>
      <c r="OGH36" s="73"/>
      <c r="OGI36" s="73"/>
      <c r="OGJ36" s="73"/>
      <c r="OGK36" s="73"/>
      <c r="OGL36" s="73"/>
      <c r="OGM36" s="73"/>
      <c r="OGN36" s="73"/>
      <c r="OGO36" s="73"/>
      <c r="OGP36" s="73"/>
      <c r="OGQ36" s="73"/>
      <c r="OGR36" s="73"/>
      <c r="OGS36" s="73"/>
      <c r="OGT36" s="73"/>
      <c r="OGU36" s="73"/>
      <c r="OGV36" s="73"/>
      <c r="OGW36" s="73"/>
      <c r="OGX36" s="73"/>
      <c r="OGY36" s="73"/>
      <c r="OGZ36" s="73"/>
      <c r="OHA36" s="73"/>
      <c r="OHB36" s="73"/>
      <c r="OHC36" s="73"/>
      <c r="OHD36" s="73"/>
      <c r="OHE36" s="73"/>
      <c r="OHF36" s="73"/>
      <c r="OHG36" s="73"/>
      <c r="OHH36" s="73"/>
      <c r="OHI36" s="73"/>
      <c r="OHJ36" s="73"/>
      <c r="OHK36" s="73"/>
      <c r="OHL36" s="73"/>
      <c r="OHM36" s="73"/>
      <c r="OHN36" s="73"/>
      <c r="OHO36" s="73"/>
      <c r="OHP36" s="73"/>
      <c r="OHQ36" s="73"/>
      <c r="OHR36" s="73"/>
      <c r="OHS36" s="73"/>
      <c r="OHT36" s="73"/>
      <c r="OHU36" s="73"/>
      <c r="OHV36" s="73"/>
      <c r="OHW36" s="73"/>
      <c r="OHX36" s="73"/>
      <c r="OHY36" s="73"/>
      <c r="OHZ36" s="73"/>
      <c r="OIA36" s="73"/>
      <c r="OIB36" s="73"/>
      <c r="OIC36" s="73"/>
      <c r="OID36" s="73"/>
      <c r="OIE36" s="73"/>
      <c r="OIF36" s="73"/>
      <c r="OIG36" s="73"/>
      <c r="OIH36" s="73"/>
      <c r="OII36" s="73"/>
      <c r="OIJ36" s="73"/>
      <c r="OIK36" s="73"/>
      <c r="OIL36" s="73"/>
      <c r="OIM36" s="73"/>
      <c r="OIN36" s="73"/>
      <c r="OIO36" s="73"/>
      <c r="OIP36" s="73"/>
      <c r="OIQ36" s="73"/>
      <c r="OIR36" s="73"/>
      <c r="OIS36" s="73"/>
      <c r="OIT36" s="73"/>
      <c r="OIU36" s="73"/>
      <c r="OIV36" s="73"/>
      <c r="OIW36" s="73"/>
      <c r="OIX36" s="73"/>
      <c r="OIY36" s="73"/>
      <c r="OIZ36" s="73"/>
      <c r="OJA36" s="73"/>
      <c r="OJB36" s="73"/>
      <c r="OJC36" s="73"/>
      <c r="OJD36" s="73"/>
      <c r="OJE36" s="73"/>
      <c r="OJF36" s="73"/>
      <c r="OJG36" s="73"/>
      <c r="OJH36" s="73"/>
      <c r="OJI36" s="73"/>
      <c r="OJJ36" s="73"/>
      <c r="OJK36" s="73"/>
      <c r="OJL36" s="73"/>
      <c r="OJM36" s="73"/>
      <c r="OJN36" s="73"/>
      <c r="OJO36" s="73"/>
      <c r="OJP36" s="73"/>
      <c r="OJQ36" s="73"/>
      <c r="OJR36" s="73"/>
      <c r="OJS36" s="73"/>
      <c r="OJT36" s="73"/>
      <c r="OJU36" s="73"/>
      <c r="OJV36" s="73"/>
      <c r="OJW36" s="73"/>
      <c r="OJX36" s="73"/>
      <c r="OJY36" s="73"/>
      <c r="OJZ36" s="73"/>
      <c r="OKA36" s="73"/>
      <c r="OKB36" s="73"/>
      <c r="OKC36" s="73"/>
      <c r="OKD36" s="73"/>
      <c r="OKE36" s="73"/>
      <c r="OKF36" s="73"/>
      <c r="OKG36" s="73"/>
      <c r="OKH36" s="73"/>
      <c r="OKI36" s="73"/>
      <c r="OKJ36" s="73"/>
      <c r="OKK36" s="73"/>
      <c r="OKL36" s="73"/>
      <c r="OKM36" s="73"/>
      <c r="OKN36" s="73"/>
      <c r="OKO36" s="73"/>
      <c r="OKP36" s="73"/>
      <c r="OKQ36" s="73"/>
      <c r="OKR36" s="73"/>
      <c r="OKS36" s="73"/>
      <c r="OKT36" s="73"/>
      <c r="OKU36" s="73"/>
      <c r="OKV36" s="73"/>
      <c r="OKW36" s="73"/>
      <c r="OKX36" s="73"/>
      <c r="OKY36" s="73"/>
      <c r="OKZ36" s="73"/>
      <c r="OLA36" s="73"/>
      <c r="OLB36" s="73"/>
      <c r="OLC36" s="73"/>
      <c r="OLD36" s="73"/>
      <c r="OLE36" s="73"/>
      <c r="OLF36" s="73"/>
      <c r="OLG36" s="73"/>
      <c r="OLH36" s="73"/>
      <c r="OLI36" s="73"/>
      <c r="OLJ36" s="73"/>
      <c r="OLK36" s="73"/>
      <c r="OLL36" s="73"/>
      <c r="OLM36" s="73"/>
      <c r="OLN36" s="73"/>
      <c r="OLO36" s="73"/>
      <c r="OLP36" s="73"/>
      <c r="OLQ36" s="73"/>
      <c r="OLR36" s="73"/>
      <c r="OLS36" s="73"/>
      <c r="OLT36" s="73"/>
      <c r="OLU36" s="73"/>
      <c r="OLV36" s="73"/>
      <c r="OLW36" s="73"/>
      <c r="OLX36" s="73"/>
      <c r="OLY36" s="73"/>
      <c r="OLZ36" s="73"/>
      <c r="OMA36" s="73"/>
      <c r="OMB36" s="73"/>
      <c r="OMC36" s="73"/>
      <c r="OMD36" s="73"/>
      <c r="OME36" s="73"/>
      <c r="OMF36" s="73"/>
      <c r="OMG36" s="73"/>
      <c r="OMH36" s="73"/>
      <c r="OMI36" s="73"/>
      <c r="OMJ36" s="73"/>
      <c r="OMK36" s="73"/>
      <c r="OML36" s="73"/>
      <c r="OMM36" s="73"/>
      <c r="OMN36" s="73"/>
      <c r="OMO36" s="73"/>
      <c r="OMP36" s="73"/>
      <c r="OMQ36" s="73"/>
      <c r="OMR36" s="73"/>
      <c r="OMS36" s="73"/>
      <c r="OMT36" s="73"/>
      <c r="OMU36" s="73"/>
      <c r="OMV36" s="73"/>
      <c r="OMW36" s="73"/>
      <c r="OMX36" s="73"/>
      <c r="OMY36" s="73"/>
      <c r="OMZ36" s="73"/>
      <c r="ONA36" s="73"/>
      <c r="ONB36" s="73"/>
      <c r="ONC36" s="73"/>
      <c r="OND36" s="73"/>
      <c r="ONE36" s="73"/>
      <c r="ONF36" s="73"/>
      <c r="ONG36" s="73"/>
      <c r="ONH36" s="73"/>
      <c r="ONI36" s="73"/>
      <c r="ONJ36" s="73"/>
      <c r="ONK36" s="73"/>
      <c r="ONL36" s="73"/>
      <c r="ONM36" s="73"/>
      <c r="ONN36" s="73"/>
      <c r="ONO36" s="73"/>
      <c r="ONP36" s="73"/>
      <c r="ONQ36" s="73"/>
      <c r="ONR36" s="73"/>
      <c r="ONS36" s="73"/>
      <c r="ONT36" s="73"/>
      <c r="ONU36" s="73"/>
      <c r="ONV36" s="73"/>
      <c r="ONW36" s="73"/>
      <c r="ONX36" s="73"/>
      <c r="ONY36" s="73"/>
      <c r="ONZ36" s="73"/>
      <c r="OOA36" s="73"/>
      <c r="OOB36" s="73"/>
      <c r="OOC36" s="73"/>
      <c r="OOD36" s="73"/>
      <c r="OOE36" s="73"/>
      <c r="OOF36" s="73"/>
      <c r="OOG36" s="73"/>
      <c r="OOH36" s="73"/>
      <c r="OOI36" s="73"/>
      <c r="OOJ36" s="73"/>
      <c r="OOK36" s="73"/>
      <c r="OOL36" s="73"/>
      <c r="OOM36" s="73"/>
      <c r="OON36" s="73"/>
      <c r="OOO36" s="73"/>
      <c r="OOP36" s="73"/>
      <c r="OOQ36" s="73"/>
      <c r="OOR36" s="73"/>
      <c r="OOS36" s="73"/>
      <c r="OOT36" s="73"/>
      <c r="OOU36" s="73"/>
      <c r="OOV36" s="73"/>
      <c r="OOW36" s="73"/>
      <c r="OOX36" s="73"/>
      <c r="OOY36" s="73"/>
      <c r="OOZ36" s="73"/>
      <c r="OPA36" s="73"/>
      <c r="OPB36" s="73"/>
      <c r="OPC36" s="73"/>
      <c r="OPD36" s="73"/>
      <c r="OPE36" s="73"/>
      <c r="OPF36" s="73"/>
      <c r="OPG36" s="73"/>
      <c r="OPH36" s="73"/>
      <c r="OPI36" s="73"/>
      <c r="OPJ36" s="73"/>
      <c r="OPK36" s="73"/>
      <c r="OPL36" s="73"/>
      <c r="OPM36" s="73"/>
      <c r="OPN36" s="73"/>
      <c r="OPO36" s="73"/>
      <c r="OPP36" s="73"/>
      <c r="OPQ36" s="73"/>
      <c r="OPR36" s="73"/>
      <c r="OPS36" s="73"/>
      <c r="OPT36" s="73"/>
      <c r="OPU36" s="73"/>
      <c r="OPV36" s="73"/>
      <c r="OPW36" s="73"/>
      <c r="OPX36" s="73"/>
      <c r="OPY36" s="73"/>
      <c r="OPZ36" s="73"/>
      <c r="OQA36" s="73"/>
      <c r="OQB36" s="73"/>
      <c r="OQC36" s="73"/>
      <c r="OQD36" s="73"/>
      <c r="OQE36" s="73"/>
      <c r="OQF36" s="73"/>
      <c r="OQG36" s="73"/>
      <c r="OQH36" s="73"/>
      <c r="OQI36" s="73"/>
      <c r="OQJ36" s="73"/>
      <c r="OQK36" s="73"/>
      <c r="OQL36" s="73"/>
      <c r="OQM36" s="73"/>
      <c r="OQN36" s="73"/>
      <c r="OQO36" s="73"/>
      <c r="OQP36" s="73"/>
      <c r="OQQ36" s="73"/>
      <c r="OQR36" s="73"/>
      <c r="OQS36" s="73"/>
      <c r="OQT36" s="73"/>
      <c r="OQU36" s="73"/>
      <c r="OQV36" s="73"/>
      <c r="OQW36" s="73"/>
      <c r="OQX36" s="73"/>
      <c r="OQY36" s="73"/>
      <c r="OQZ36" s="73"/>
      <c r="ORA36" s="73"/>
      <c r="ORB36" s="73"/>
      <c r="ORC36" s="73"/>
      <c r="ORD36" s="73"/>
      <c r="ORE36" s="73"/>
      <c r="ORF36" s="73"/>
      <c r="ORG36" s="73"/>
      <c r="ORH36" s="73"/>
      <c r="ORI36" s="73"/>
      <c r="ORJ36" s="73"/>
      <c r="ORK36" s="73"/>
      <c r="ORL36" s="73"/>
      <c r="ORM36" s="73"/>
      <c r="ORN36" s="73"/>
      <c r="ORO36" s="73"/>
      <c r="ORP36" s="73"/>
      <c r="ORQ36" s="73"/>
      <c r="ORR36" s="73"/>
      <c r="ORS36" s="73"/>
      <c r="ORT36" s="73"/>
      <c r="ORU36" s="73"/>
      <c r="ORV36" s="73"/>
      <c r="ORW36" s="73"/>
      <c r="ORX36" s="73"/>
      <c r="ORY36" s="73"/>
      <c r="ORZ36" s="73"/>
      <c r="OSA36" s="73"/>
      <c r="OSB36" s="73"/>
      <c r="OSC36" s="73"/>
      <c r="OSD36" s="73"/>
      <c r="OSE36" s="73"/>
      <c r="OSF36" s="73"/>
      <c r="OSG36" s="73"/>
      <c r="OSH36" s="73"/>
      <c r="OSI36" s="73"/>
      <c r="OSJ36" s="73"/>
      <c r="OSK36" s="73"/>
      <c r="OSL36" s="73"/>
      <c r="OSM36" s="73"/>
      <c r="OSN36" s="73"/>
      <c r="OSO36" s="73"/>
      <c r="OSP36" s="73"/>
      <c r="OSQ36" s="73"/>
      <c r="OSR36" s="73"/>
      <c r="OSS36" s="73"/>
      <c r="OST36" s="73"/>
      <c r="OSU36" s="73"/>
      <c r="OSV36" s="73"/>
      <c r="OSW36" s="73"/>
      <c r="OSX36" s="73"/>
      <c r="OSY36" s="73"/>
      <c r="OSZ36" s="73"/>
      <c r="OTA36" s="73"/>
      <c r="OTB36" s="73"/>
      <c r="OTC36" s="73"/>
      <c r="OTD36" s="73"/>
      <c r="OTE36" s="73"/>
      <c r="OTF36" s="73"/>
      <c r="OTG36" s="73"/>
      <c r="OTH36" s="73"/>
      <c r="OTI36" s="73"/>
      <c r="OTJ36" s="73"/>
      <c r="OTK36" s="73"/>
      <c r="OTL36" s="73"/>
      <c r="OTM36" s="73"/>
      <c r="OTN36" s="73"/>
      <c r="OTO36" s="73"/>
      <c r="OTP36" s="73"/>
      <c r="OTQ36" s="73"/>
      <c r="OTR36" s="73"/>
      <c r="OTS36" s="73"/>
      <c r="OTT36" s="73"/>
      <c r="OTU36" s="73"/>
      <c r="OTV36" s="73"/>
      <c r="OTW36" s="73"/>
      <c r="OTX36" s="73"/>
      <c r="OTY36" s="73"/>
      <c r="OTZ36" s="73"/>
      <c r="OUA36" s="73"/>
      <c r="OUB36" s="73"/>
      <c r="OUC36" s="73"/>
      <c r="OUD36" s="73"/>
      <c r="OUE36" s="73"/>
      <c r="OUF36" s="73"/>
      <c r="OUG36" s="73"/>
      <c r="OUH36" s="73"/>
      <c r="OUI36" s="73"/>
      <c r="OUJ36" s="73"/>
      <c r="OUK36" s="73"/>
      <c r="OUL36" s="73"/>
      <c r="OUM36" s="73"/>
      <c r="OUN36" s="73"/>
      <c r="OUO36" s="73"/>
      <c r="OUP36" s="73"/>
      <c r="OUQ36" s="73"/>
      <c r="OUR36" s="73"/>
      <c r="OUS36" s="73"/>
      <c r="OUT36" s="73"/>
      <c r="OUU36" s="73"/>
      <c r="OUV36" s="73"/>
      <c r="OUW36" s="73"/>
      <c r="OUX36" s="73"/>
      <c r="OUY36" s="73"/>
      <c r="OUZ36" s="73"/>
      <c r="OVA36" s="73"/>
      <c r="OVB36" s="73"/>
      <c r="OVC36" s="73"/>
      <c r="OVD36" s="73"/>
      <c r="OVE36" s="73"/>
      <c r="OVF36" s="73"/>
      <c r="OVG36" s="73"/>
      <c r="OVH36" s="73"/>
      <c r="OVI36" s="73"/>
      <c r="OVJ36" s="73"/>
      <c r="OVK36" s="73"/>
      <c r="OVL36" s="73"/>
      <c r="OVM36" s="73"/>
      <c r="OVN36" s="73"/>
      <c r="OVO36" s="73"/>
      <c r="OVP36" s="73"/>
      <c r="OVQ36" s="73"/>
      <c r="OVR36" s="73"/>
      <c r="OVS36" s="73"/>
      <c r="OVT36" s="73"/>
      <c r="OVU36" s="73"/>
      <c r="OVV36" s="73"/>
      <c r="OVW36" s="73"/>
      <c r="OVX36" s="73"/>
      <c r="OVY36" s="73"/>
      <c r="OVZ36" s="73"/>
      <c r="OWA36" s="73"/>
      <c r="OWB36" s="73"/>
      <c r="OWC36" s="73"/>
      <c r="OWD36" s="73"/>
      <c r="OWE36" s="73"/>
      <c r="OWF36" s="73"/>
      <c r="OWG36" s="73"/>
      <c r="OWH36" s="73"/>
      <c r="OWI36" s="73"/>
      <c r="OWJ36" s="73"/>
      <c r="OWK36" s="73"/>
      <c r="OWL36" s="73"/>
      <c r="OWM36" s="73"/>
      <c r="OWN36" s="73"/>
      <c r="OWO36" s="73"/>
      <c r="OWP36" s="73"/>
      <c r="OWQ36" s="73"/>
      <c r="OWR36" s="73"/>
      <c r="OWS36" s="73"/>
      <c r="OWT36" s="73"/>
      <c r="OWU36" s="73"/>
      <c r="OWV36" s="73"/>
      <c r="OWW36" s="73"/>
      <c r="OWX36" s="73"/>
      <c r="OWY36" s="73"/>
      <c r="OWZ36" s="73"/>
      <c r="OXA36" s="73"/>
      <c r="OXB36" s="73"/>
      <c r="OXC36" s="73"/>
      <c r="OXD36" s="73"/>
      <c r="OXE36" s="73"/>
      <c r="OXF36" s="73"/>
      <c r="OXG36" s="73"/>
      <c r="OXH36" s="73"/>
      <c r="OXI36" s="73"/>
      <c r="OXJ36" s="73"/>
      <c r="OXK36" s="73"/>
      <c r="OXL36" s="73"/>
      <c r="OXM36" s="73"/>
      <c r="OXN36" s="73"/>
      <c r="OXO36" s="73"/>
      <c r="OXP36" s="73"/>
      <c r="OXQ36" s="73"/>
      <c r="OXR36" s="73"/>
      <c r="OXS36" s="73"/>
      <c r="OXT36" s="73"/>
      <c r="OXU36" s="73"/>
      <c r="OXV36" s="73"/>
      <c r="OXW36" s="73"/>
      <c r="OXX36" s="73"/>
      <c r="OXY36" s="73"/>
      <c r="OXZ36" s="73"/>
      <c r="OYA36" s="73"/>
      <c r="OYB36" s="73"/>
      <c r="OYC36" s="73"/>
      <c r="OYD36" s="73"/>
      <c r="OYE36" s="73"/>
      <c r="OYF36" s="73"/>
      <c r="OYG36" s="73"/>
      <c r="OYH36" s="73"/>
      <c r="OYI36" s="73"/>
      <c r="OYJ36" s="73"/>
      <c r="OYK36" s="73"/>
      <c r="OYL36" s="73"/>
      <c r="OYM36" s="73"/>
      <c r="OYN36" s="73"/>
      <c r="OYO36" s="73"/>
      <c r="OYP36" s="73"/>
      <c r="OYQ36" s="73"/>
      <c r="OYR36" s="73"/>
      <c r="OYS36" s="73"/>
      <c r="OYT36" s="73"/>
      <c r="OYU36" s="73"/>
      <c r="OYV36" s="73"/>
      <c r="OYW36" s="73"/>
      <c r="OYX36" s="73"/>
      <c r="OYY36" s="73"/>
      <c r="OYZ36" s="73"/>
      <c r="OZA36" s="73"/>
      <c r="OZB36" s="73"/>
      <c r="OZC36" s="73"/>
      <c r="OZD36" s="73"/>
      <c r="OZE36" s="73"/>
      <c r="OZF36" s="73"/>
      <c r="OZG36" s="73"/>
      <c r="OZH36" s="73"/>
      <c r="OZI36" s="73"/>
      <c r="OZJ36" s="73"/>
      <c r="OZK36" s="73"/>
      <c r="OZL36" s="73"/>
      <c r="OZM36" s="73"/>
      <c r="OZN36" s="73"/>
      <c r="OZO36" s="73"/>
      <c r="OZP36" s="73"/>
      <c r="OZQ36" s="73"/>
      <c r="OZR36" s="73"/>
      <c r="OZS36" s="73"/>
      <c r="OZT36" s="73"/>
      <c r="OZU36" s="73"/>
      <c r="OZV36" s="73"/>
      <c r="OZW36" s="73"/>
      <c r="OZX36" s="73"/>
      <c r="OZY36" s="73"/>
      <c r="OZZ36" s="73"/>
      <c r="PAA36" s="73"/>
      <c r="PAB36" s="73"/>
      <c r="PAC36" s="73"/>
      <c r="PAD36" s="73"/>
      <c r="PAE36" s="73"/>
      <c r="PAF36" s="73"/>
      <c r="PAG36" s="73"/>
      <c r="PAH36" s="73"/>
      <c r="PAI36" s="73"/>
      <c r="PAJ36" s="73"/>
      <c r="PAK36" s="73"/>
      <c r="PAL36" s="73"/>
      <c r="PAM36" s="73"/>
      <c r="PAN36" s="73"/>
      <c r="PAO36" s="73"/>
      <c r="PAP36" s="73"/>
      <c r="PAQ36" s="73"/>
      <c r="PAR36" s="73"/>
      <c r="PAS36" s="73"/>
      <c r="PAT36" s="73"/>
      <c r="PAU36" s="73"/>
      <c r="PAV36" s="73"/>
      <c r="PAW36" s="73"/>
      <c r="PAX36" s="73"/>
      <c r="PAY36" s="73"/>
      <c r="PAZ36" s="73"/>
      <c r="PBA36" s="73"/>
      <c r="PBB36" s="73"/>
      <c r="PBC36" s="73"/>
      <c r="PBD36" s="73"/>
      <c r="PBE36" s="73"/>
      <c r="PBF36" s="73"/>
      <c r="PBG36" s="73"/>
      <c r="PBH36" s="73"/>
      <c r="PBI36" s="73"/>
      <c r="PBJ36" s="73"/>
      <c r="PBK36" s="73"/>
      <c r="PBL36" s="73"/>
      <c r="PBM36" s="73"/>
      <c r="PBN36" s="73"/>
      <c r="PBO36" s="73"/>
      <c r="PBP36" s="73"/>
      <c r="PBQ36" s="73"/>
      <c r="PBR36" s="73"/>
      <c r="PBS36" s="73"/>
      <c r="PBT36" s="73"/>
      <c r="PBU36" s="73"/>
      <c r="PBV36" s="73"/>
      <c r="PBW36" s="73"/>
      <c r="PBX36" s="73"/>
      <c r="PBY36" s="73"/>
      <c r="PBZ36" s="73"/>
      <c r="PCA36" s="73"/>
      <c r="PCB36" s="73"/>
      <c r="PCC36" s="73"/>
      <c r="PCD36" s="73"/>
      <c r="PCE36" s="73"/>
      <c r="PCF36" s="73"/>
      <c r="PCG36" s="73"/>
      <c r="PCH36" s="73"/>
      <c r="PCI36" s="73"/>
      <c r="PCJ36" s="73"/>
      <c r="PCK36" s="73"/>
      <c r="PCL36" s="73"/>
      <c r="PCM36" s="73"/>
      <c r="PCN36" s="73"/>
      <c r="PCO36" s="73"/>
      <c r="PCP36" s="73"/>
      <c r="PCQ36" s="73"/>
      <c r="PCR36" s="73"/>
      <c r="PCS36" s="73"/>
      <c r="PCT36" s="73"/>
      <c r="PCU36" s="73"/>
      <c r="PCV36" s="73"/>
      <c r="PCW36" s="73"/>
      <c r="PCX36" s="73"/>
      <c r="PCY36" s="73"/>
      <c r="PCZ36" s="73"/>
      <c r="PDA36" s="73"/>
      <c r="PDB36" s="73"/>
      <c r="PDC36" s="73"/>
      <c r="PDD36" s="73"/>
      <c r="PDE36" s="73"/>
      <c r="PDF36" s="73"/>
      <c r="PDG36" s="73"/>
      <c r="PDH36" s="73"/>
      <c r="PDI36" s="73"/>
      <c r="PDJ36" s="73"/>
      <c r="PDK36" s="73"/>
      <c r="PDL36" s="73"/>
      <c r="PDM36" s="73"/>
      <c r="PDN36" s="73"/>
      <c r="PDO36" s="73"/>
      <c r="PDP36" s="73"/>
      <c r="PDQ36" s="73"/>
      <c r="PDR36" s="73"/>
      <c r="PDS36" s="73"/>
      <c r="PDT36" s="73"/>
      <c r="PDU36" s="73"/>
      <c r="PDV36" s="73"/>
      <c r="PDW36" s="73"/>
      <c r="PDX36" s="73"/>
      <c r="PDY36" s="73"/>
      <c r="PDZ36" s="73"/>
      <c r="PEA36" s="73"/>
      <c r="PEB36" s="73"/>
      <c r="PEC36" s="73"/>
      <c r="PED36" s="73"/>
      <c r="PEE36" s="73"/>
      <c r="PEF36" s="73"/>
      <c r="PEG36" s="73"/>
      <c r="PEH36" s="73"/>
      <c r="PEI36" s="73"/>
      <c r="PEJ36" s="73"/>
      <c r="PEK36" s="73"/>
      <c r="PEL36" s="73"/>
      <c r="PEM36" s="73"/>
      <c r="PEN36" s="73"/>
      <c r="PEO36" s="73"/>
      <c r="PEP36" s="73"/>
      <c r="PEQ36" s="73"/>
      <c r="PER36" s="73"/>
      <c r="PES36" s="73"/>
      <c r="PET36" s="73"/>
      <c r="PEU36" s="73"/>
      <c r="PEV36" s="73"/>
      <c r="PEW36" s="73"/>
      <c r="PEX36" s="73"/>
      <c r="PEY36" s="73"/>
      <c r="PEZ36" s="73"/>
      <c r="PFA36" s="73"/>
      <c r="PFB36" s="73"/>
      <c r="PFC36" s="73"/>
      <c r="PFD36" s="73"/>
      <c r="PFE36" s="73"/>
      <c r="PFF36" s="73"/>
      <c r="PFG36" s="73"/>
      <c r="PFH36" s="73"/>
      <c r="PFI36" s="73"/>
      <c r="PFJ36" s="73"/>
      <c r="PFK36" s="73"/>
      <c r="PFL36" s="73"/>
      <c r="PFM36" s="73"/>
      <c r="PFN36" s="73"/>
      <c r="PFO36" s="73"/>
      <c r="PFP36" s="73"/>
      <c r="PFQ36" s="73"/>
      <c r="PFR36" s="73"/>
      <c r="PFS36" s="73"/>
      <c r="PFT36" s="73"/>
      <c r="PFU36" s="73"/>
      <c r="PFV36" s="73"/>
      <c r="PFW36" s="73"/>
      <c r="PFX36" s="73"/>
      <c r="PFY36" s="73"/>
      <c r="PFZ36" s="73"/>
      <c r="PGA36" s="73"/>
      <c r="PGB36" s="73"/>
      <c r="PGC36" s="73"/>
      <c r="PGD36" s="73"/>
      <c r="PGE36" s="73"/>
      <c r="PGF36" s="73"/>
      <c r="PGG36" s="73"/>
      <c r="PGH36" s="73"/>
      <c r="PGI36" s="73"/>
      <c r="PGJ36" s="73"/>
      <c r="PGK36" s="73"/>
      <c r="PGL36" s="73"/>
      <c r="PGM36" s="73"/>
      <c r="PGN36" s="73"/>
      <c r="PGO36" s="73"/>
      <c r="PGP36" s="73"/>
      <c r="PGQ36" s="73"/>
      <c r="PGR36" s="73"/>
      <c r="PGS36" s="73"/>
      <c r="PGT36" s="73"/>
      <c r="PGU36" s="73"/>
      <c r="PGV36" s="73"/>
      <c r="PGW36" s="73"/>
      <c r="PGX36" s="73"/>
      <c r="PGY36" s="73"/>
      <c r="PGZ36" s="73"/>
      <c r="PHA36" s="73"/>
      <c r="PHB36" s="73"/>
      <c r="PHC36" s="73"/>
      <c r="PHD36" s="73"/>
      <c r="PHE36" s="73"/>
      <c r="PHF36" s="73"/>
      <c r="PHG36" s="73"/>
      <c r="PHH36" s="73"/>
      <c r="PHI36" s="73"/>
      <c r="PHJ36" s="73"/>
      <c r="PHK36" s="73"/>
      <c r="PHL36" s="73"/>
      <c r="PHM36" s="73"/>
      <c r="PHN36" s="73"/>
      <c r="PHO36" s="73"/>
      <c r="PHP36" s="73"/>
      <c r="PHQ36" s="73"/>
      <c r="PHR36" s="73"/>
      <c r="PHS36" s="73"/>
      <c r="PHT36" s="73"/>
      <c r="PHU36" s="73"/>
      <c r="PHV36" s="73"/>
      <c r="PHW36" s="73"/>
      <c r="PHX36" s="73"/>
      <c r="PHY36" s="73"/>
      <c r="PHZ36" s="73"/>
      <c r="PIA36" s="73"/>
      <c r="PIB36" s="73"/>
      <c r="PIC36" s="73"/>
      <c r="PID36" s="73"/>
      <c r="PIE36" s="73"/>
      <c r="PIF36" s="73"/>
      <c r="PIG36" s="73"/>
      <c r="PIH36" s="73"/>
      <c r="PII36" s="73"/>
      <c r="PIJ36" s="73"/>
      <c r="PIK36" s="73"/>
      <c r="PIL36" s="73"/>
      <c r="PIM36" s="73"/>
      <c r="PIN36" s="73"/>
      <c r="PIO36" s="73"/>
      <c r="PIP36" s="73"/>
      <c r="PIQ36" s="73"/>
      <c r="PIR36" s="73"/>
      <c r="PIS36" s="73"/>
      <c r="PIT36" s="73"/>
      <c r="PIU36" s="73"/>
      <c r="PIV36" s="73"/>
      <c r="PIW36" s="73"/>
      <c r="PIX36" s="73"/>
      <c r="PIY36" s="73"/>
      <c r="PIZ36" s="73"/>
      <c r="PJA36" s="73"/>
      <c r="PJB36" s="73"/>
      <c r="PJC36" s="73"/>
      <c r="PJD36" s="73"/>
      <c r="PJE36" s="73"/>
      <c r="PJF36" s="73"/>
      <c r="PJG36" s="73"/>
      <c r="PJH36" s="73"/>
      <c r="PJI36" s="73"/>
      <c r="PJJ36" s="73"/>
      <c r="PJK36" s="73"/>
      <c r="PJL36" s="73"/>
      <c r="PJM36" s="73"/>
      <c r="PJN36" s="73"/>
      <c r="PJO36" s="73"/>
      <c r="PJP36" s="73"/>
      <c r="PJQ36" s="73"/>
      <c r="PJR36" s="73"/>
      <c r="PJS36" s="73"/>
      <c r="PJT36" s="73"/>
      <c r="PJU36" s="73"/>
      <c r="PJV36" s="73"/>
      <c r="PJW36" s="73"/>
      <c r="PJX36" s="73"/>
      <c r="PJY36" s="73"/>
      <c r="PJZ36" s="73"/>
      <c r="PKA36" s="73"/>
      <c r="PKB36" s="73"/>
      <c r="PKC36" s="73"/>
      <c r="PKD36" s="73"/>
      <c r="PKE36" s="73"/>
      <c r="PKF36" s="73"/>
      <c r="PKG36" s="73"/>
      <c r="PKH36" s="73"/>
      <c r="PKI36" s="73"/>
      <c r="PKJ36" s="73"/>
      <c r="PKK36" s="73"/>
      <c r="PKL36" s="73"/>
      <c r="PKM36" s="73"/>
      <c r="PKN36" s="73"/>
      <c r="PKO36" s="73"/>
      <c r="PKP36" s="73"/>
      <c r="PKQ36" s="73"/>
      <c r="PKR36" s="73"/>
      <c r="PKS36" s="73"/>
      <c r="PKT36" s="73"/>
      <c r="PKU36" s="73"/>
      <c r="PKV36" s="73"/>
      <c r="PKW36" s="73"/>
      <c r="PKX36" s="73"/>
      <c r="PKY36" s="73"/>
      <c r="PKZ36" s="73"/>
      <c r="PLA36" s="73"/>
      <c r="PLB36" s="73"/>
      <c r="PLC36" s="73"/>
      <c r="PLD36" s="73"/>
      <c r="PLE36" s="73"/>
      <c r="PLF36" s="73"/>
      <c r="PLG36" s="73"/>
      <c r="PLH36" s="73"/>
      <c r="PLI36" s="73"/>
      <c r="PLJ36" s="73"/>
      <c r="PLK36" s="73"/>
      <c r="PLL36" s="73"/>
      <c r="PLM36" s="73"/>
      <c r="PLN36" s="73"/>
      <c r="PLO36" s="73"/>
      <c r="PLP36" s="73"/>
      <c r="PLQ36" s="73"/>
      <c r="PLR36" s="73"/>
      <c r="PLS36" s="73"/>
      <c r="PLT36" s="73"/>
      <c r="PLU36" s="73"/>
      <c r="PLV36" s="73"/>
      <c r="PLW36" s="73"/>
      <c r="PLX36" s="73"/>
      <c r="PLY36" s="73"/>
      <c r="PLZ36" s="73"/>
      <c r="PMA36" s="73"/>
      <c r="PMB36" s="73"/>
      <c r="PMC36" s="73"/>
      <c r="PMD36" s="73"/>
      <c r="PME36" s="73"/>
      <c r="PMF36" s="73"/>
      <c r="PMG36" s="73"/>
      <c r="PMH36" s="73"/>
      <c r="PMI36" s="73"/>
      <c r="PMJ36" s="73"/>
      <c r="PMK36" s="73"/>
      <c r="PML36" s="73"/>
      <c r="PMM36" s="73"/>
      <c r="PMN36" s="73"/>
      <c r="PMO36" s="73"/>
      <c r="PMP36" s="73"/>
      <c r="PMQ36" s="73"/>
      <c r="PMR36" s="73"/>
      <c r="PMS36" s="73"/>
      <c r="PMT36" s="73"/>
      <c r="PMU36" s="73"/>
      <c r="PMV36" s="73"/>
      <c r="PMW36" s="73"/>
      <c r="PMX36" s="73"/>
      <c r="PMY36" s="73"/>
      <c r="PMZ36" s="73"/>
      <c r="PNA36" s="73"/>
      <c r="PNB36" s="73"/>
      <c r="PNC36" s="73"/>
      <c r="PND36" s="73"/>
      <c r="PNE36" s="73"/>
      <c r="PNF36" s="73"/>
      <c r="PNG36" s="73"/>
      <c r="PNH36" s="73"/>
      <c r="PNI36" s="73"/>
      <c r="PNJ36" s="73"/>
      <c r="PNK36" s="73"/>
      <c r="PNL36" s="73"/>
      <c r="PNM36" s="73"/>
      <c r="PNN36" s="73"/>
      <c r="PNO36" s="73"/>
      <c r="PNP36" s="73"/>
      <c r="PNQ36" s="73"/>
      <c r="PNR36" s="73"/>
      <c r="PNS36" s="73"/>
      <c r="PNT36" s="73"/>
      <c r="PNU36" s="73"/>
      <c r="PNV36" s="73"/>
      <c r="PNW36" s="73"/>
      <c r="PNX36" s="73"/>
      <c r="PNY36" s="73"/>
      <c r="PNZ36" s="73"/>
      <c r="POA36" s="73"/>
      <c r="POB36" s="73"/>
      <c r="POC36" s="73"/>
      <c r="POD36" s="73"/>
      <c r="POE36" s="73"/>
      <c r="POF36" s="73"/>
      <c r="POG36" s="73"/>
      <c r="POH36" s="73"/>
      <c r="POI36" s="73"/>
      <c r="POJ36" s="73"/>
      <c r="POK36" s="73"/>
      <c r="POL36" s="73"/>
      <c r="POM36" s="73"/>
      <c r="PON36" s="73"/>
      <c r="POO36" s="73"/>
      <c r="POP36" s="73"/>
      <c r="POQ36" s="73"/>
      <c r="POR36" s="73"/>
      <c r="POS36" s="73"/>
      <c r="POT36" s="73"/>
      <c r="POU36" s="73"/>
      <c r="POV36" s="73"/>
      <c r="POW36" s="73"/>
      <c r="POX36" s="73"/>
      <c r="POY36" s="73"/>
      <c r="POZ36" s="73"/>
      <c r="PPA36" s="73"/>
      <c r="PPB36" s="73"/>
      <c r="PPC36" s="73"/>
      <c r="PPD36" s="73"/>
      <c r="PPE36" s="73"/>
      <c r="PPF36" s="73"/>
      <c r="PPG36" s="73"/>
      <c r="PPH36" s="73"/>
      <c r="PPI36" s="73"/>
      <c r="PPJ36" s="73"/>
      <c r="PPK36" s="73"/>
      <c r="PPL36" s="73"/>
      <c r="PPM36" s="73"/>
      <c r="PPN36" s="73"/>
      <c r="PPO36" s="73"/>
      <c r="PPP36" s="73"/>
      <c r="PPQ36" s="73"/>
      <c r="PPR36" s="73"/>
      <c r="PPS36" s="73"/>
      <c r="PPT36" s="73"/>
      <c r="PPU36" s="73"/>
      <c r="PPV36" s="73"/>
      <c r="PPW36" s="73"/>
      <c r="PPX36" s="73"/>
      <c r="PPY36" s="73"/>
      <c r="PPZ36" s="73"/>
      <c r="PQA36" s="73"/>
      <c r="PQB36" s="73"/>
      <c r="PQC36" s="73"/>
      <c r="PQD36" s="73"/>
      <c r="PQE36" s="73"/>
      <c r="PQF36" s="73"/>
      <c r="PQG36" s="73"/>
      <c r="PQH36" s="73"/>
      <c r="PQI36" s="73"/>
      <c r="PQJ36" s="73"/>
      <c r="PQK36" s="73"/>
      <c r="PQL36" s="73"/>
      <c r="PQM36" s="73"/>
      <c r="PQN36" s="73"/>
      <c r="PQO36" s="73"/>
      <c r="PQP36" s="73"/>
      <c r="PQQ36" s="73"/>
      <c r="PQR36" s="73"/>
      <c r="PQS36" s="73"/>
      <c r="PQT36" s="73"/>
      <c r="PQU36" s="73"/>
      <c r="PQV36" s="73"/>
      <c r="PQW36" s="73"/>
      <c r="PQX36" s="73"/>
      <c r="PQY36" s="73"/>
      <c r="PQZ36" s="73"/>
      <c r="PRA36" s="73"/>
      <c r="PRB36" s="73"/>
      <c r="PRC36" s="73"/>
      <c r="PRD36" s="73"/>
      <c r="PRE36" s="73"/>
      <c r="PRF36" s="73"/>
      <c r="PRG36" s="73"/>
      <c r="PRH36" s="73"/>
      <c r="PRI36" s="73"/>
      <c r="PRJ36" s="73"/>
      <c r="PRK36" s="73"/>
      <c r="PRL36" s="73"/>
      <c r="PRM36" s="73"/>
      <c r="PRN36" s="73"/>
      <c r="PRO36" s="73"/>
      <c r="PRP36" s="73"/>
      <c r="PRQ36" s="73"/>
      <c r="PRR36" s="73"/>
      <c r="PRS36" s="73"/>
      <c r="PRT36" s="73"/>
      <c r="PRU36" s="73"/>
      <c r="PRV36" s="73"/>
      <c r="PRW36" s="73"/>
      <c r="PRX36" s="73"/>
      <c r="PRY36" s="73"/>
      <c r="PRZ36" s="73"/>
      <c r="PSA36" s="73"/>
      <c r="PSB36" s="73"/>
      <c r="PSC36" s="73"/>
      <c r="PSD36" s="73"/>
      <c r="PSE36" s="73"/>
      <c r="PSF36" s="73"/>
      <c r="PSG36" s="73"/>
      <c r="PSH36" s="73"/>
      <c r="PSI36" s="73"/>
      <c r="PSJ36" s="73"/>
      <c r="PSK36" s="73"/>
      <c r="PSL36" s="73"/>
      <c r="PSM36" s="73"/>
      <c r="PSN36" s="73"/>
      <c r="PSO36" s="73"/>
      <c r="PSP36" s="73"/>
      <c r="PSQ36" s="73"/>
      <c r="PSR36" s="73"/>
      <c r="PSS36" s="73"/>
      <c r="PST36" s="73"/>
      <c r="PSU36" s="73"/>
      <c r="PSV36" s="73"/>
      <c r="PSW36" s="73"/>
      <c r="PSX36" s="73"/>
      <c r="PSY36" s="73"/>
      <c r="PSZ36" s="73"/>
      <c r="PTA36" s="73"/>
      <c r="PTB36" s="73"/>
      <c r="PTC36" s="73"/>
      <c r="PTD36" s="73"/>
      <c r="PTE36" s="73"/>
      <c r="PTF36" s="73"/>
      <c r="PTG36" s="73"/>
      <c r="PTH36" s="73"/>
      <c r="PTI36" s="73"/>
      <c r="PTJ36" s="73"/>
      <c r="PTK36" s="73"/>
      <c r="PTL36" s="73"/>
      <c r="PTM36" s="73"/>
      <c r="PTN36" s="73"/>
      <c r="PTO36" s="73"/>
      <c r="PTP36" s="73"/>
      <c r="PTQ36" s="73"/>
      <c r="PTR36" s="73"/>
      <c r="PTS36" s="73"/>
      <c r="PTT36" s="73"/>
      <c r="PTU36" s="73"/>
      <c r="PTV36" s="73"/>
      <c r="PTW36" s="73"/>
      <c r="PTX36" s="73"/>
      <c r="PTY36" s="73"/>
      <c r="PTZ36" s="73"/>
      <c r="PUA36" s="73"/>
      <c r="PUB36" s="73"/>
      <c r="PUC36" s="73"/>
      <c r="PUD36" s="73"/>
      <c r="PUE36" s="73"/>
      <c r="PUF36" s="73"/>
      <c r="PUG36" s="73"/>
      <c r="PUH36" s="73"/>
      <c r="PUI36" s="73"/>
      <c r="PUJ36" s="73"/>
      <c r="PUK36" s="73"/>
      <c r="PUL36" s="73"/>
      <c r="PUM36" s="73"/>
      <c r="PUN36" s="73"/>
      <c r="PUO36" s="73"/>
      <c r="PUP36" s="73"/>
      <c r="PUQ36" s="73"/>
      <c r="PUR36" s="73"/>
      <c r="PUS36" s="73"/>
      <c r="PUT36" s="73"/>
      <c r="PUU36" s="73"/>
      <c r="PUV36" s="73"/>
      <c r="PUW36" s="73"/>
      <c r="PUX36" s="73"/>
      <c r="PUY36" s="73"/>
      <c r="PUZ36" s="73"/>
      <c r="PVA36" s="73"/>
      <c r="PVB36" s="73"/>
      <c r="PVC36" s="73"/>
      <c r="PVD36" s="73"/>
      <c r="PVE36" s="73"/>
      <c r="PVF36" s="73"/>
      <c r="PVG36" s="73"/>
      <c r="PVH36" s="73"/>
      <c r="PVI36" s="73"/>
      <c r="PVJ36" s="73"/>
      <c r="PVK36" s="73"/>
      <c r="PVL36" s="73"/>
      <c r="PVM36" s="73"/>
      <c r="PVN36" s="73"/>
      <c r="PVO36" s="73"/>
      <c r="PVP36" s="73"/>
      <c r="PVQ36" s="73"/>
      <c r="PVR36" s="73"/>
      <c r="PVS36" s="73"/>
      <c r="PVT36" s="73"/>
      <c r="PVU36" s="73"/>
      <c r="PVV36" s="73"/>
      <c r="PVW36" s="73"/>
      <c r="PVX36" s="73"/>
      <c r="PVY36" s="73"/>
      <c r="PVZ36" s="73"/>
      <c r="PWA36" s="73"/>
      <c r="PWB36" s="73"/>
      <c r="PWC36" s="73"/>
      <c r="PWD36" s="73"/>
      <c r="PWE36" s="73"/>
      <c r="PWF36" s="73"/>
      <c r="PWG36" s="73"/>
      <c r="PWH36" s="73"/>
      <c r="PWI36" s="73"/>
      <c r="PWJ36" s="73"/>
      <c r="PWK36" s="73"/>
      <c r="PWL36" s="73"/>
      <c r="PWM36" s="73"/>
      <c r="PWN36" s="73"/>
      <c r="PWO36" s="73"/>
      <c r="PWP36" s="73"/>
      <c r="PWQ36" s="73"/>
      <c r="PWR36" s="73"/>
      <c r="PWS36" s="73"/>
      <c r="PWT36" s="73"/>
      <c r="PWU36" s="73"/>
      <c r="PWV36" s="73"/>
      <c r="PWW36" s="73"/>
      <c r="PWX36" s="73"/>
      <c r="PWY36" s="73"/>
      <c r="PWZ36" s="73"/>
      <c r="PXA36" s="73"/>
      <c r="PXB36" s="73"/>
      <c r="PXC36" s="73"/>
      <c r="PXD36" s="73"/>
      <c r="PXE36" s="73"/>
      <c r="PXF36" s="73"/>
      <c r="PXG36" s="73"/>
      <c r="PXH36" s="73"/>
      <c r="PXI36" s="73"/>
      <c r="PXJ36" s="73"/>
      <c r="PXK36" s="73"/>
      <c r="PXL36" s="73"/>
      <c r="PXM36" s="73"/>
      <c r="PXN36" s="73"/>
      <c r="PXO36" s="73"/>
      <c r="PXP36" s="73"/>
      <c r="PXQ36" s="73"/>
      <c r="PXR36" s="73"/>
      <c r="PXS36" s="73"/>
      <c r="PXT36" s="73"/>
      <c r="PXU36" s="73"/>
      <c r="PXV36" s="73"/>
      <c r="PXW36" s="73"/>
      <c r="PXX36" s="73"/>
      <c r="PXY36" s="73"/>
      <c r="PXZ36" s="73"/>
      <c r="PYA36" s="73"/>
      <c r="PYB36" s="73"/>
      <c r="PYC36" s="73"/>
      <c r="PYD36" s="73"/>
      <c r="PYE36" s="73"/>
      <c r="PYF36" s="73"/>
      <c r="PYG36" s="73"/>
      <c r="PYH36" s="73"/>
      <c r="PYI36" s="73"/>
      <c r="PYJ36" s="73"/>
      <c r="PYK36" s="73"/>
      <c r="PYL36" s="73"/>
      <c r="PYM36" s="73"/>
      <c r="PYN36" s="73"/>
      <c r="PYO36" s="73"/>
      <c r="PYP36" s="73"/>
      <c r="PYQ36" s="73"/>
      <c r="PYR36" s="73"/>
      <c r="PYS36" s="73"/>
      <c r="PYT36" s="73"/>
      <c r="PYU36" s="73"/>
      <c r="PYV36" s="73"/>
      <c r="PYW36" s="73"/>
      <c r="PYX36" s="73"/>
      <c r="PYY36" s="73"/>
      <c r="PYZ36" s="73"/>
      <c r="PZA36" s="73"/>
      <c r="PZB36" s="73"/>
      <c r="PZC36" s="73"/>
      <c r="PZD36" s="73"/>
      <c r="PZE36" s="73"/>
      <c r="PZF36" s="73"/>
      <c r="PZG36" s="73"/>
      <c r="PZH36" s="73"/>
      <c r="PZI36" s="73"/>
      <c r="PZJ36" s="73"/>
      <c r="PZK36" s="73"/>
      <c r="PZL36" s="73"/>
      <c r="PZM36" s="73"/>
      <c r="PZN36" s="73"/>
      <c r="PZO36" s="73"/>
      <c r="PZP36" s="73"/>
      <c r="PZQ36" s="73"/>
      <c r="PZR36" s="73"/>
      <c r="PZS36" s="73"/>
      <c r="PZT36" s="73"/>
      <c r="PZU36" s="73"/>
      <c r="PZV36" s="73"/>
      <c r="PZW36" s="73"/>
      <c r="PZX36" s="73"/>
      <c r="PZY36" s="73"/>
      <c r="PZZ36" s="73"/>
      <c r="QAA36" s="73"/>
      <c r="QAB36" s="73"/>
      <c r="QAC36" s="73"/>
      <c r="QAD36" s="73"/>
      <c r="QAE36" s="73"/>
      <c r="QAF36" s="73"/>
      <c r="QAG36" s="73"/>
      <c r="QAH36" s="73"/>
      <c r="QAI36" s="73"/>
      <c r="QAJ36" s="73"/>
      <c r="QAK36" s="73"/>
      <c r="QAL36" s="73"/>
      <c r="QAM36" s="73"/>
      <c r="QAN36" s="73"/>
      <c r="QAO36" s="73"/>
      <c r="QAP36" s="73"/>
      <c r="QAQ36" s="73"/>
      <c r="QAR36" s="73"/>
      <c r="QAS36" s="73"/>
      <c r="QAT36" s="73"/>
      <c r="QAU36" s="73"/>
      <c r="QAV36" s="73"/>
      <c r="QAW36" s="73"/>
      <c r="QAX36" s="73"/>
      <c r="QAY36" s="73"/>
      <c r="QAZ36" s="73"/>
      <c r="QBA36" s="73"/>
      <c r="QBB36" s="73"/>
      <c r="QBC36" s="73"/>
      <c r="QBD36" s="73"/>
      <c r="QBE36" s="73"/>
      <c r="QBF36" s="73"/>
      <c r="QBG36" s="73"/>
      <c r="QBH36" s="73"/>
      <c r="QBI36" s="73"/>
      <c r="QBJ36" s="73"/>
      <c r="QBK36" s="73"/>
      <c r="QBL36" s="73"/>
      <c r="QBM36" s="73"/>
      <c r="QBN36" s="73"/>
      <c r="QBO36" s="73"/>
      <c r="QBP36" s="73"/>
      <c r="QBQ36" s="73"/>
      <c r="QBR36" s="73"/>
      <c r="QBS36" s="73"/>
      <c r="QBT36" s="73"/>
      <c r="QBU36" s="73"/>
      <c r="QBV36" s="73"/>
      <c r="QBW36" s="73"/>
      <c r="QBX36" s="73"/>
      <c r="QBY36" s="73"/>
      <c r="QBZ36" s="73"/>
      <c r="QCA36" s="73"/>
      <c r="QCB36" s="73"/>
      <c r="QCC36" s="73"/>
      <c r="QCD36" s="73"/>
      <c r="QCE36" s="73"/>
      <c r="QCF36" s="73"/>
      <c r="QCG36" s="73"/>
      <c r="QCH36" s="73"/>
      <c r="QCI36" s="73"/>
      <c r="QCJ36" s="73"/>
      <c r="QCK36" s="73"/>
      <c r="QCL36" s="73"/>
      <c r="QCM36" s="73"/>
      <c r="QCN36" s="73"/>
      <c r="QCO36" s="73"/>
      <c r="QCP36" s="73"/>
      <c r="QCQ36" s="73"/>
      <c r="QCR36" s="73"/>
      <c r="QCS36" s="73"/>
      <c r="QCT36" s="73"/>
      <c r="QCU36" s="73"/>
      <c r="QCV36" s="73"/>
      <c r="QCW36" s="73"/>
      <c r="QCX36" s="73"/>
      <c r="QCY36" s="73"/>
      <c r="QCZ36" s="73"/>
      <c r="QDA36" s="73"/>
      <c r="QDB36" s="73"/>
      <c r="QDC36" s="73"/>
      <c r="QDD36" s="73"/>
      <c r="QDE36" s="73"/>
      <c r="QDF36" s="73"/>
      <c r="QDG36" s="73"/>
      <c r="QDH36" s="73"/>
      <c r="QDI36" s="73"/>
      <c r="QDJ36" s="73"/>
      <c r="QDK36" s="73"/>
      <c r="QDL36" s="73"/>
      <c r="QDM36" s="73"/>
      <c r="QDN36" s="73"/>
      <c r="QDO36" s="73"/>
      <c r="QDP36" s="73"/>
      <c r="QDQ36" s="73"/>
      <c r="QDR36" s="73"/>
      <c r="QDS36" s="73"/>
      <c r="QDT36" s="73"/>
      <c r="QDU36" s="73"/>
      <c r="QDV36" s="73"/>
      <c r="QDW36" s="73"/>
      <c r="QDX36" s="73"/>
      <c r="QDY36" s="73"/>
      <c r="QDZ36" s="73"/>
      <c r="QEA36" s="73"/>
      <c r="QEB36" s="73"/>
      <c r="QEC36" s="73"/>
      <c r="QED36" s="73"/>
      <c r="QEE36" s="73"/>
      <c r="QEF36" s="73"/>
      <c r="QEG36" s="73"/>
      <c r="QEH36" s="73"/>
      <c r="QEI36" s="73"/>
      <c r="QEJ36" s="73"/>
      <c r="QEK36" s="73"/>
      <c r="QEL36" s="73"/>
      <c r="QEM36" s="73"/>
      <c r="QEN36" s="73"/>
      <c r="QEO36" s="73"/>
      <c r="QEP36" s="73"/>
      <c r="QEQ36" s="73"/>
      <c r="QER36" s="73"/>
      <c r="QES36" s="73"/>
      <c r="QET36" s="73"/>
      <c r="QEU36" s="73"/>
      <c r="QEV36" s="73"/>
      <c r="QEW36" s="73"/>
      <c r="QEX36" s="73"/>
      <c r="QEY36" s="73"/>
      <c r="QEZ36" s="73"/>
      <c r="QFA36" s="73"/>
      <c r="QFB36" s="73"/>
      <c r="QFC36" s="73"/>
      <c r="QFD36" s="73"/>
      <c r="QFE36" s="73"/>
      <c r="QFF36" s="73"/>
      <c r="QFG36" s="73"/>
      <c r="QFH36" s="73"/>
      <c r="QFI36" s="73"/>
      <c r="QFJ36" s="73"/>
      <c r="QFK36" s="73"/>
      <c r="QFL36" s="73"/>
      <c r="QFM36" s="73"/>
      <c r="QFN36" s="73"/>
      <c r="QFO36" s="73"/>
      <c r="QFP36" s="73"/>
      <c r="QFQ36" s="73"/>
      <c r="QFR36" s="73"/>
      <c r="QFS36" s="73"/>
      <c r="QFT36" s="73"/>
      <c r="QFU36" s="73"/>
      <c r="QFV36" s="73"/>
      <c r="QFW36" s="73"/>
      <c r="QFX36" s="73"/>
      <c r="QFY36" s="73"/>
      <c r="QFZ36" s="73"/>
      <c r="QGA36" s="73"/>
      <c r="QGB36" s="73"/>
      <c r="QGC36" s="73"/>
      <c r="QGD36" s="73"/>
      <c r="QGE36" s="73"/>
      <c r="QGF36" s="73"/>
      <c r="QGG36" s="73"/>
      <c r="QGH36" s="73"/>
      <c r="QGI36" s="73"/>
      <c r="QGJ36" s="73"/>
      <c r="QGK36" s="73"/>
      <c r="QGL36" s="73"/>
      <c r="QGM36" s="73"/>
      <c r="QGN36" s="73"/>
      <c r="QGO36" s="73"/>
      <c r="QGP36" s="73"/>
      <c r="QGQ36" s="73"/>
      <c r="QGR36" s="73"/>
      <c r="QGS36" s="73"/>
      <c r="QGT36" s="73"/>
      <c r="QGU36" s="73"/>
      <c r="QGV36" s="73"/>
      <c r="QGW36" s="73"/>
      <c r="QGX36" s="73"/>
      <c r="QGY36" s="73"/>
      <c r="QGZ36" s="73"/>
      <c r="QHA36" s="73"/>
      <c r="QHB36" s="73"/>
      <c r="QHC36" s="73"/>
      <c r="QHD36" s="73"/>
      <c r="QHE36" s="73"/>
      <c r="QHF36" s="73"/>
      <c r="QHG36" s="73"/>
      <c r="QHH36" s="73"/>
      <c r="QHI36" s="73"/>
      <c r="QHJ36" s="73"/>
      <c r="QHK36" s="73"/>
      <c r="QHL36" s="73"/>
      <c r="QHM36" s="73"/>
      <c r="QHN36" s="73"/>
      <c r="QHO36" s="73"/>
      <c r="QHP36" s="73"/>
      <c r="QHQ36" s="73"/>
      <c r="QHR36" s="73"/>
      <c r="QHS36" s="73"/>
      <c r="QHT36" s="73"/>
      <c r="QHU36" s="73"/>
      <c r="QHV36" s="73"/>
      <c r="QHW36" s="73"/>
      <c r="QHX36" s="73"/>
      <c r="QHY36" s="73"/>
      <c r="QHZ36" s="73"/>
      <c r="QIA36" s="73"/>
      <c r="QIB36" s="73"/>
      <c r="QIC36" s="73"/>
      <c r="QID36" s="73"/>
      <c r="QIE36" s="73"/>
      <c r="QIF36" s="73"/>
      <c r="QIG36" s="73"/>
      <c r="QIH36" s="73"/>
      <c r="QII36" s="73"/>
      <c r="QIJ36" s="73"/>
      <c r="QIK36" s="73"/>
      <c r="QIL36" s="73"/>
      <c r="QIM36" s="73"/>
      <c r="QIN36" s="73"/>
      <c r="QIO36" s="73"/>
      <c r="QIP36" s="73"/>
      <c r="QIQ36" s="73"/>
      <c r="QIR36" s="73"/>
      <c r="QIS36" s="73"/>
      <c r="QIT36" s="73"/>
      <c r="QIU36" s="73"/>
      <c r="QIV36" s="73"/>
      <c r="QIW36" s="73"/>
      <c r="QIX36" s="73"/>
      <c r="QIY36" s="73"/>
      <c r="QIZ36" s="73"/>
      <c r="QJA36" s="73"/>
      <c r="QJB36" s="73"/>
      <c r="QJC36" s="73"/>
      <c r="QJD36" s="73"/>
      <c r="QJE36" s="73"/>
      <c r="QJF36" s="73"/>
      <c r="QJG36" s="73"/>
      <c r="QJH36" s="73"/>
      <c r="QJI36" s="73"/>
      <c r="QJJ36" s="73"/>
      <c r="QJK36" s="73"/>
      <c r="QJL36" s="73"/>
      <c r="QJM36" s="73"/>
      <c r="QJN36" s="73"/>
      <c r="QJO36" s="73"/>
      <c r="QJP36" s="73"/>
      <c r="QJQ36" s="73"/>
      <c r="QJR36" s="73"/>
      <c r="QJS36" s="73"/>
      <c r="QJT36" s="73"/>
      <c r="QJU36" s="73"/>
      <c r="QJV36" s="73"/>
      <c r="QJW36" s="73"/>
      <c r="QJX36" s="73"/>
      <c r="QJY36" s="73"/>
      <c r="QJZ36" s="73"/>
      <c r="QKA36" s="73"/>
      <c r="QKB36" s="73"/>
      <c r="QKC36" s="73"/>
      <c r="QKD36" s="73"/>
      <c r="QKE36" s="73"/>
      <c r="QKF36" s="73"/>
      <c r="QKG36" s="73"/>
      <c r="QKH36" s="73"/>
      <c r="QKI36" s="73"/>
      <c r="QKJ36" s="73"/>
      <c r="QKK36" s="73"/>
      <c r="QKL36" s="73"/>
      <c r="QKM36" s="73"/>
      <c r="QKN36" s="73"/>
      <c r="QKO36" s="73"/>
      <c r="QKP36" s="73"/>
      <c r="QKQ36" s="73"/>
      <c r="QKR36" s="73"/>
      <c r="QKS36" s="73"/>
      <c r="QKT36" s="73"/>
      <c r="QKU36" s="73"/>
      <c r="QKV36" s="73"/>
      <c r="QKW36" s="73"/>
      <c r="QKX36" s="73"/>
      <c r="QKY36" s="73"/>
      <c r="QKZ36" s="73"/>
      <c r="QLA36" s="73"/>
      <c r="QLB36" s="73"/>
      <c r="QLC36" s="73"/>
      <c r="QLD36" s="73"/>
      <c r="QLE36" s="73"/>
      <c r="QLF36" s="73"/>
      <c r="QLG36" s="73"/>
      <c r="QLH36" s="73"/>
      <c r="QLI36" s="73"/>
      <c r="QLJ36" s="73"/>
      <c r="QLK36" s="73"/>
      <c r="QLL36" s="73"/>
      <c r="QLM36" s="73"/>
      <c r="QLN36" s="73"/>
      <c r="QLO36" s="73"/>
      <c r="QLP36" s="73"/>
      <c r="QLQ36" s="73"/>
      <c r="QLR36" s="73"/>
      <c r="QLS36" s="73"/>
      <c r="QLT36" s="73"/>
      <c r="QLU36" s="73"/>
      <c r="QLV36" s="73"/>
      <c r="QLW36" s="73"/>
      <c r="QLX36" s="73"/>
      <c r="QLY36" s="73"/>
      <c r="QLZ36" s="73"/>
      <c r="QMA36" s="73"/>
      <c r="QMB36" s="73"/>
      <c r="QMC36" s="73"/>
      <c r="QMD36" s="73"/>
      <c r="QME36" s="73"/>
      <c r="QMF36" s="73"/>
      <c r="QMG36" s="73"/>
      <c r="QMH36" s="73"/>
      <c r="QMI36" s="73"/>
      <c r="QMJ36" s="73"/>
      <c r="QMK36" s="73"/>
      <c r="QML36" s="73"/>
      <c r="QMM36" s="73"/>
      <c r="QMN36" s="73"/>
      <c r="QMO36" s="73"/>
      <c r="QMP36" s="73"/>
      <c r="QMQ36" s="73"/>
      <c r="QMR36" s="73"/>
      <c r="QMS36" s="73"/>
      <c r="QMT36" s="73"/>
      <c r="QMU36" s="73"/>
      <c r="QMV36" s="73"/>
      <c r="QMW36" s="73"/>
      <c r="QMX36" s="73"/>
      <c r="QMY36" s="73"/>
      <c r="QMZ36" s="73"/>
      <c r="QNA36" s="73"/>
      <c r="QNB36" s="73"/>
      <c r="QNC36" s="73"/>
      <c r="QND36" s="73"/>
      <c r="QNE36" s="73"/>
      <c r="QNF36" s="73"/>
      <c r="QNG36" s="73"/>
      <c r="QNH36" s="73"/>
      <c r="QNI36" s="73"/>
      <c r="QNJ36" s="73"/>
      <c r="QNK36" s="73"/>
      <c r="QNL36" s="73"/>
      <c r="QNM36" s="73"/>
      <c r="QNN36" s="73"/>
      <c r="QNO36" s="73"/>
      <c r="QNP36" s="73"/>
      <c r="QNQ36" s="73"/>
      <c r="QNR36" s="73"/>
      <c r="QNS36" s="73"/>
      <c r="QNT36" s="73"/>
      <c r="QNU36" s="73"/>
      <c r="QNV36" s="73"/>
      <c r="QNW36" s="73"/>
      <c r="QNX36" s="73"/>
      <c r="QNY36" s="73"/>
      <c r="QNZ36" s="73"/>
      <c r="QOA36" s="73"/>
      <c r="QOB36" s="73"/>
      <c r="QOC36" s="73"/>
      <c r="QOD36" s="73"/>
      <c r="QOE36" s="73"/>
      <c r="QOF36" s="73"/>
      <c r="QOG36" s="73"/>
      <c r="QOH36" s="73"/>
      <c r="QOI36" s="73"/>
      <c r="QOJ36" s="73"/>
      <c r="QOK36" s="73"/>
      <c r="QOL36" s="73"/>
      <c r="QOM36" s="73"/>
      <c r="QON36" s="73"/>
      <c r="QOO36" s="73"/>
      <c r="QOP36" s="73"/>
      <c r="QOQ36" s="73"/>
      <c r="QOR36" s="73"/>
      <c r="QOS36" s="73"/>
      <c r="QOT36" s="73"/>
      <c r="QOU36" s="73"/>
      <c r="QOV36" s="73"/>
      <c r="QOW36" s="73"/>
      <c r="QOX36" s="73"/>
      <c r="QOY36" s="73"/>
      <c r="QOZ36" s="73"/>
      <c r="QPA36" s="73"/>
      <c r="QPB36" s="73"/>
      <c r="QPC36" s="73"/>
      <c r="QPD36" s="73"/>
      <c r="QPE36" s="73"/>
      <c r="QPF36" s="73"/>
      <c r="QPG36" s="73"/>
      <c r="QPH36" s="73"/>
      <c r="QPI36" s="73"/>
      <c r="QPJ36" s="73"/>
      <c r="QPK36" s="73"/>
      <c r="QPL36" s="73"/>
      <c r="QPM36" s="73"/>
      <c r="QPN36" s="73"/>
      <c r="QPO36" s="73"/>
      <c r="QPP36" s="73"/>
      <c r="QPQ36" s="73"/>
      <c r="QPR36" s="73"/>
      <c r="QPS36" s="73"/>
      <c r="QPT36" s="73"/>
      <c r="QPU36" s="73"/>
      <c r="QPV36" s="73"/>
      <c r="QPW36" s="73"/>
      <c r="QPX36" s="73"/>
      <c r="QPY36" s="73"/>
      <c r="QPZ36" s="73"/>
      <c r="QQA36" s="73"/>
      <c r="QQB36" s="73"/>
      <c r="QQC36" s="73"/>
      <c r="QQD36" s="73"/>
      <c r="QQE36" s="73"/>
      <c r="QQF36" s="73"/>
      <c r="QQG36" s="73"/>
      <c r="QQH36" s="73"/>
      <c r="QQI36" s="73"/>
      <c r="QQJ36" s="73"/>
      <c r="QQK36" s="73"/>
      <c r="QQL36" s="73"/>
      <c r="QQM36" s="73"/>
      <c r="QQN36" s="73"/>
      <c r="QQO36" s="73"/>
      <c r="QQP36" s="73"/>
      <c r="QQQ36" s="73"/>
      <c r="QQR36" s="73"/>
      <c r="QQS36" s="73"/>
      <c r="QQT36" s="73"/>
      <c r="QQU36" s="73"/>
      <c r="QQV36" s="73"/>
      <c r="QQW36" s="73"/>
      <c r="QQX36" s="73"/>
      <c r="QQY36" s="73"/>
      <c r="QQZ36" s="73"/>
      <c r="QRA36" s="73"/>
      <c r="QRB36" s="73"/>
      <c r="QRC36" s="73"/>
      <c r="QRD36" s="73"/>
      <c r="QRE36" s="73"/>
      <c r="QRF36" s="73"/>
      <c r="QRG36" s="73"/>
      <c r="QRH36" s="73"/>
      <c r="QRI36" s="73"/>
      <c r="QRJ36" s="73"/>
      <c r="QRK36" s="73"/>
      <c r="QRL36" s="73"/>
      <c r="QRM36" s="73"/>
      <c r="QRN36" s="73"/>
      <c r="QRO36" s="73"/>
      <c r="QRP36" s="73"/>
      <c r="QRQ36" s="73"/>
      <c r="QRR36" s="73"/>
      <c r="QRS36" s="73"/>
      <c r="QRT36" s="73"/>
      <c r="QRU36" s="73"/>
      <c r="QRV36" s="73"/>
      <c r="QRW36" s="73"/>
      <c r="QRX36" s="73"/>
      <c r="QRY36" s="73"/>
      <c r="QRZ36" s="73"/>
      <c r="QSA36" s="73"/>
      <c r="QSB36" s="73"/>
      <c r="QSC36" s="73"/>
      <c r="QSD36" s="73"/>
      <c r="QSE36" s="73"/>
      <c r="QSF36" s="73"/>
      <c r="QSG36" s="73"/>
      <c r="QSH36" s="73"/>
      <c r="QSI36" s="73"/>
      <c r="QSJ36" s="73"/>
      <c r="QSK36" s="73"/>
      <c r="QSL36" s="73"/>
      <c r="QSM36" s="73"/>
      <c r="QSN36" s="73"/>
      <c r="QSO36" s="73"/>
      <c r="QSP36" s="73"/>
      <c r="QSQ36" s="73"/>
      <c r="QSR36" s="73"/>
      <c r="QSS36" s="73"/>
      <c r="QST36" s="73"/>
      <c r="QSU36" s="73"/>
      <c r="QSV36" s="73"/>
      <c r="QSW36" s="73"/>
      <c r="QSX36" s="73"/>
      <c r="QSY36" s="73"/>
      <c r="QSZ36" s="73"/>
      <c r="QTA36" s="73"/>
      <c r="QTB36" s="73"/>
      <c r="QTC36" s="73"/>
      <c r="QTD36" s="73"/>
      <c r="QTE36" s="73"/>
      <c r="QTF36" s="73"/>
      <c r="QTG36" s="73"/>
      <c r="QTH36" s="73"/>
      <c r="QTI36" s="73"/>
      <c r="QTJ36" s="73"/>
      <c r="QTK36" s="73"/>
      <c r="QTL36" s="73"/>
      <c r="QTM36" s="73"/>
      <c r="QTN36" s="73"/>
      <c r="QTO36" s="73"/>
      <c r="QTP36" s="73"/>
      <c r="QTQ36" s="73"/>
      <c r="QTR36" s="73"/>
      <c r="QTS36" s="73"/>
      <c r="QTT36" s="73"/>
      <c r="QTU36" s="73"/>
      <c r="QTV36" s="73"/>
      <c r="QTW36" s="73"/>
      <c r="QTX36" s="73"/>
      <c r="QTY36" s="73"/>
      <c r="QTZ36" s="73"/>
      <c r="QUA36" s="73"/>
      <c r="QUB36" s="73"/>
      <c r="QUC36" s="73"/>
      <c r="QUD36" s="73"/>
      <c r="QUE36" s="73"/>
      <c r="QUF36" s="73"/>
      <c r="QUG36" s="73"/>
      <c r="QUH36" s="73"/>
      <c r="QUI36" s="73"/>
      <c r="QUJ36" s="73"/>
      <c r="QUK36" s="73"/>
      <c r="QUL36" s="73"/>
      <c r="QUM36" s="73"/>
      <c r="QUN36" s="73"/>
      <c r="QUO36" s="73"/>
      <c r="QUP36" s="73"/>
      <c r="QUQ36" s="73"/>
      <c r="QUR36" s="73"/>
      <c r="QUS36" s="73"/>
      <c r="QUT36" s="73"/>
      <c r="QUU36" s="73"/>
      <c r="QUV36" s="73"/>
      <c r="QUW36" s="73"/>
      <c r="QUX36" s="73"/>
      <c r="QUY36" s="73"/>
      <c r="QUZ36" s="73"/>
      <c r="QVA36" s="73"/>
      <c r="QVB36" s="73"/>
      <c r="QVC36" s="73"/>
      <c r="QVD36" s="73"/>
      <c r="QVE36" s="73"/>
      <c r="QVF36" s="73"/>
      <c r="QVG36" s="73"/>
      <c r="QVH36" s="73"/>
      <c r="QVI36" s="73"/>
      <c r="QVJ36" s="73"/>
      <c r="QVK36" s="73"/>
      <c r="QVL36" s="73"/>
      <c r="QVM36" s="73"/>
      <c r="QVN36" s="73"/>
      <c r="QVO36" s="73"/>
      <c r="QVP36" s="73"/>
      <c r="QVQ36" s="73"/>
      <c r="QVR36" s="73"/>
      <c r="QVS36" s="73"/>
      <c r="QVT36" s="73"/>
      <c r="QVU36" s="73"/>
      <c r="QVV36" s="73"/>
      <c r="QVW36" s="73"/>
      <c r="QVX36" s="73"/>
      <c r="QVY36" s="73"/>
      <c r="QVZ36" s="73"/>
      <c r="QWA36" s="73"/>
      <c r="QWB36" s="73"/>
      <c r="QWC36" s="73"/>
      <c r="QWD36" s="73"/>
      <c r="QWE36" s="73"/>
      <c r="QWF36" s="73"/>
      <c r="QWG36" s="73"/>
      <c r="QWH36" s="73"/>
      <c r="QWI36" s="73"/>
      <c r="QWJ36" s="73"/>
      <c r="QWK36" s="73"/>
      <c r="QWL36" s="73"/>
      <c r="QWM36" s="73"/>
      <c r="QWN36" s="73"/>
      <c r="QWO36" s="73"/>
      <c r="QWP36" s="73"/>
      <c r="QWQ36" s="73"/>
      <c r="QWR36" s="73"/>
      <c r="QWS36" s="73"/>
      <c r="QWT36" s="73"/>
      <c r="QWU36" s="73"/>
      <c r="QWV36" s="73"/>
      <c r="QWW36" s="73"/>
      <c r="QWX36" s="73"/>
      <c r="QWY36" s="73"/>
      <c r="QWZ36" s="73"/>
      <c r="QXA36" s="73"/>
      <c r="QXB36" s="73"/>
      <c r="QXC36" s="73"/>
      <c r="QXD36" s="73"/>
      <c r="QXE36" s="73"/>
      <c r="QXF36" s="73"/>
      <c r="QXG36" s="73"/>
      <c r="QXH36" s="73"/>
      <c r="QXI36" s="73"/>
      <c r="QXJ36" s="73"/>
      <c r="QXK36" s="73"/>
      <c r="QXL36" s="73"/>
      <c r="QXM36" s="73"/>
      <c r="QXN36" s="73"/>
      <c r="QXO36" s="73"/>
      <c r="QXP36" s="73"/>
      <c r="QXQ36" s="73"/>
      <c r="QXR36" s="73"/>
      <c r="QXS36" s="73"/>
      <c r="QXT36" s="73"/>
      <c r="QXU36" s="73"/>
      <c r="QXV36" s="73"/>
      <c r="QXW36" s="73"/>
      <c r="QXX36" s="73"/>
      <c r="QXY36" s="73"/>
      <c r="QXZ36" s="73"/>
      <c r="QYA36" s="73"/>
      <c r="QYB36" s="73"/>
      <c r="QYC36" s="73"/>
      <c r="QYD36" s="73"/>
      <c r="QYE36" s="73"/>
      <c r="QYF36" s="73"/>
      <c r="QYG36" s="73"/>
      <c r="QYH36" s="73"/>
      <c r="QYI36" s="73"/>
      <c r="QYJ36" s="73"/>
      <c r="QYK36" s="73"/>
      <c r="QYL36" s="73"/>
      <c r="QYM36" s="73"/>
      <c r="QYN36" s="73"/>
      <c r="QYO36" s="73"/>
      <c r="QYP36" s="73"/>
      <c r="QYQ36" s="73"/>
      <c r="QYR36" s="73"/>
      <c r="QYS36" s="73"/>
      <c r="QYT36" s="73"/>
      <c r="QYU36" s="73"/>
      <c r="QYV36" s="73"/>
      <c r="QYW36" s="73"/>
      <c r="QYX36" s="73"/>
      <c r="QYY36" s="73"/>
      <c r="QYZ36" s="73"/>
      <c r="QZA36" s="73"/>
      <c r="QZB36" s="73"/>
      <c r="QZC36" s="73"/>
      <c r="QZD36" s="73"/>
      <c r="QZE36" s="73"/>
      <c r="QZF36" s="73"/>
      <c r="QZG36" s="73"/>
      <c r="QZH36" s="73"/>
      <c r="QZI36" s="73"/>
      <c r="QZJ36" s="73"/>
      <c r="QZK36" s="73"/>
      <c r="QZL36" s="73"/>
      <c r="QZM36" s="73"/>
      <c r="QZN36" s="73"/>
      <c r="QZO36" s="73"/>
      <c r="QZP36" s="73"/>
      <c r="QZQ36" s="73"/>
      <c r="QZR36" s="73"/>
      <c r="QZS36" s="73"/>
      <c r="QZT36" s="73"/>
      <c r="QZU36" s="73"/>
      <c r="QZV36" s="73"/>
      <c r="QZW36" s="73"/>
      <c r="QZX36" s="73"/>
      <c r="QZY36" s="73"/>
      <c r="QZZ36" s="73"/>
      <c r="RAA36" s="73"/>
      <c r="RAB36" s="73"/>
      <c r="RAC36" s="73"/>
      <c r="RAD36" s="73"/>
      <c r="RAE36" s="73"/>
      <c r="RAF36" s="73"/>
      <c r="RAG36" s="73"/>
      <c r="RAH36" s="73"/>
      <c r="RAI36" s="73"/>
      <c r="RAJ36" s="73"/>
      <c r="RAK36" s="73"/>
      <c r="RAL36" s="73"/>
      <c r="RAM36" s="73"/>
      <c r="RAN36" s="73"/>
      <c r="RAO36" s="73"/>
      <c r="RAP36" s="73"/>
      <c r="RAQ36" s="73"/>
      <c r="RAR36" s="73"/>
      <c r="RAS36" s="73"/>
      <c r="RAT36" s="73"/>
      <c r="RAU36" s="73"/>
      <c r="RAV36" s="73"/>
      <c r="RAW36" s="73"/>
      <c r="RAX36" s="73"/>
      <c r="RAY36" s="73"/>
      <c r="RAZ36" s="73"/>
      <c r="RBA36" s="73"/>
      <c r="RBB36" s="73"/>
      <c r="RBC36" s="73"/>
      <c r="RBD36" s="73"/>
      <c r="RBE36" s="73"/>
      <c r="RBF36" s="73"/>
      <c r="RBG36" s="73"/>
      <c r="RBH36" s="73"/>
      <c r="RBI36" s="73"/>
      <c r="RBJ36" s="73"/>
      <c r="RBK36" s="73"/>
      <c r="RBL36" s="73"/>
      <c r="RBM36" s="73"/>
      <c r="RBN36" s="73"/>
      <c r="RBO36" s="73"/>
      <c r="RBP36" s="73"/>
      <c r="RBQ36" s="73"/>
      <c r="RBR36" s="73"/>
      <c r="RBS36" s="73"/>
      <c r="RBT36" s="73"/>
      <c r="RBU36" s="73"/>
      <c r="RBV36" s="73"/>
      <c r="RBW36" s="73"/>
      <c r="RBX36" s="73"/>
      <c r="RBY36" s="73"/>
      <c r="RBZ36" s="73"/>
      <c r="RCA36" s="73"/>
      <c r="RCB36" s="73"/>
      <c r="RCC36" s="73"/>
      <c r="RCD36" s="73"/>
      <c r="RCE36" s="73"/>
      <c r="RCF36" s="73"/>
      <c r="RCG36" s="73"/>
      <c r="RCH36" s="73"/>
      <c r="RCI36" s="73"/>
      <c r="RCJ36" s="73"/>
      <c r="RCK36" s="73"/>
      <c r="RCL36" s="73"/>
      <c r="RCM36" s="73"/>
      <c r="RCN36" s="73"/>
      <c r="RCO36" s="73"/>
      <c r="RCP36" s="73"/>
      <c r="RCQ36" s="73"/>
      <c r="RCR36" s="73"/>
      <c r="RCS36" s="73"/>
      <c r="RCT36" s="73"/>
      <c r="RCU36" s="73"/>
      <c r="RCV36" s="73"/>
      <c r="RCW36" s="73"/>
      <c r="RCX36" s="73"/>
      <c r="RCY36" s="73"/>
      <c r="RCZ36" s="73"/>
      <c r="RDA36" s="73"/>
      <c r="RDB36" s="73"/>
      <c r="RDC36" s="73"/>
      <c r="RDD36" s="73"/>
      <c r="RDE36" s="73"/>
      <c r="RDF36" s="73"/>
      <c r="RDG36" s="73"/>
      <c r="RDH36" s="73"/>
      <c r="RDI36" s="73"/>
      <c r="RDJ36" s="73"/>
      <c r="RDK36" s="73"/>
      <c r="RDL36" s="73"/>
      <c r="RDM36" s="73"/>
      <c r="RDN36" s="73"/>
      <c r="RDO36" s="73"/>
      <c r="RDP36" s="73"/>
      <c r="RDQ36" s="73"/>
      <c r="RDR36" s="73"/>
      <c r="RDS36" s="73"/>
      <c r="RDT36" s="73"/>
      <c r="RDU36" s="73"/>
      <c r="RDV36" s="73"/>
      <c r="RDW36" s="73"/>
      <c r="RDX36" s="73"/>
      <c r="RDY36" s="73"/>
      <c r="RDZ36" s="73"/>
      <c r="REA36" s="73"/>
      <c r="REB36" s="73"/>
      <c r="REC36" s="73"/>
      <c r="RED36" s="73"/>
      <c r="REE36" s="73"/>
      <c r="REF36" s="73"/>
      <c r="REG36" s="73"/>
      <c r="REH36" s="73"/>
      <c r="REI36" s="73"/>
      <c r="REJ36" s="73"/>
      <c r="REK36" s="73"/>
      <c r="REL36" s="73"/>
      <c r="REM36" s="73"/>
      <c r="REN36" s="73"/>
      <c r="REO36" s="73"/>
      <c r="REP36" s="73"/>
      <c r="REQ36" s="73"/>
      <c r="RER36" s="73"/>
      <c r="RES36" s="73"/>
      <c r="RET36" s="73"/>
      <c r="REU36" s="73"/>
      <c r="REV36" s="73"/>
      <c r="REW36" s="73"/>
      <c r="REX36" s="73"/>
      <c r="REY36" s="73"/>
      <c r="REZ36" s="73"/>
      <c r="RFA36" s="73"/>
      <c r="RFB36" s="73"/>
      <c r="RFC36" s="73"/>
      <c r="RFD36" s="73"/>
      <c r="RFE36" s="73"/>
      <c r="RFF36" s="73"/>
      <c r="RFG36" s="73"/>
      <c r="RFH36" s="73"/>
      <c r="RFI36" s="73"/>
      <c r="RFJ36" s="73"/>
      <c r="RFK36" s="73"/>
      <c r="RFL36" s="73"/>
      <c r="RFM36" s="73"/>
      <c r="RFN36" s="73"/>
      <c r="RFO36" s="73"/>
      <c r="RFP36" s="73"/>
      <c r="RFQ36" s="73"/>
      <c r="RFR36" s="73"/>
      <c r="RFS36" s="73"/>
      <c r="RFT36" s="73"/>
      <c r="RFU36" s="73"/>
      <c r="RFV36" s="73"/>
      <c r="RFW36" s="73"/>
      <c r="RFX36" s="73"/>
      <c r="RFY36" s="73"/>
      <c r="RFZ36" s="73"/>
      <c r="RGA36" s="73"/>
      <c r="RGB36" s="73"/>
      <c r="RGC36" s="73"/>
      <c r="RGD36" s="73"/>
      <c r="RGE36" s="73"/>
      <c r="RGF36" s="73"/>
      <c r="RGG36" s="73"/>
      <c r="RGH36" s="73"/>
      <c r="RGI36" s="73"/>
      <c r="RGJ36" s="73"/>
      <c r="RGK36" s="73"/>
      <c r="RGL36" s="73"/>
      <c r="RGM36" s="73"/>
      <c r="RGN36" s="73"/>
      <c r="RGO36" s="73"/>
      <c r="RGP36" s="73"/>
      <c r="RGQ36" s="73"/>
      <c r="RGR36" s="73"/>
      <c r="RGS36" s="73"/>
      <c r="RGT36" s="73"/>
      <c r="RGU36" s="73"/>
      <c r="RGV36" s="73"/>
      <c r="RGW36" s="73"/>
      <c r="RGX36" s="73"/>
      <c r="RGY36" s="73"/>
      <c r="RGZ36" s="73"/>
      <c r="RHA36" s="73"/>
      <c r="RHB36" s="73"/>
      <c r="RHC36" s="73"/>
      <c r="RHD36" s="73"/>
      <c r="RHE36" s="73"/>
      <c r="RHF36" s="73"/>
      <c r="RHG36" s="73"/>
      <c r="RHH36" s="73"/>
      <c r="RHI36" s="73"/>
      <c r="RHJ36" s="73"/>
      <c r="RHK36" s="73"/>
      <c r="RHL36" s="73"/>
      <c r="RHM36" s="73"/>
      <c r="RHN36" s="73"/>
      <c r="RHO36" s="73"/>
      <c r="RHP36" s="73"/>
      <c r="RHQ36" s="73"/>
      <c r="RHR36" s="73"/>
      <c r="RHS36" s="73"/>
      <c r="RHT36" s="73"/>
      <c r="RHU36" s="73"/>
      <c r="RHV36" s="73"/>
      <c r="RHW36" s="73"/>
      <c r="RHX36" s="73"/>
      <c r="RHY36" s="73"/>
      <c r="RHZ36" s="73"/>
      <c r="RIA36" s="73"/>
      <c r="RIB36" s="73"/>
      <c r="RIC36" s="73"/>
      <c r="RID36" s="73"/>
      <c r="RIE36" s="73"/>
      <c r="RIF36" s="73"/>
      <c r="RIG36" s="73"/>
      <c r="RIH36" s="73"/>
      <c r="RII36" s="73"/>
      <c r="RIJ36" s="73"/>
      <c r="RIK36" s="73"/>
      <c r="RIL36" s="73"/>
      <c r="RIM36" s="73"/>
      <c r="RIN36" s="73"/>
      <c r="RIO36" s="73"/>
      <c r="RIP36" s="73"/>
      <c r="RIQ36" s="73"/>
      <c r="RIR36" s="73"/>
      <c r="RIS36" s="73"/>
      <c r="RIT36" s="73"/>
      <c r="RIU36" s="73"/>
      <c r="RIV36" s="73"/>
      <c r="RIW36" s="73"/>
      <c r="RIX36" s="73"/>
      <c r="RIY36" s="73"/>
      <c r="RIZ36" s="73"/>
      <c r="RJA36" s="73"/>
      <c r="RJB36" s="73"/>
      <c r="RJC36" s="73"/>
      <c r="RJD36" s="73"/>
      <c r="RJE36" s="73"/>
      <c r="RJF36" s="73"/>
      <c r="RJG36" s="73"/>
      <c r="RJH36" s="73"/>
      <c r="RJI36" s="73"/>
      <c r="RJJ36" s="73"/>
      <c r="RJK36" s="73"/>
      <c r="RJL36" s="73"/>
      <c r="RJM36" s="73"/>
      <c r="RJN36" s="73"/>
      <c r="RJO36" s="73"/>
      <c r="RJP36" s="73"/>
      <c r="RJQ36" s="73"/>
      <c r="RJR36" s="73"/>
      <c r="RJS36" s="73"/>
      <c r="RJT36" s="73"/>
      <c r="RJU36" s="73"/>
      <c r="RJV36" s="73"/>
      <c r="RJW36" s="73"/>
      <c r="RJX36" s="73"/>
      <c r="RJY36" s="73"/>
      <c r="RJZ36" s="73"/>
      <c r="RKA36" s="73"/>
      <c r="RKB36" s="73"/>
      <c r="RKC36" s="73"/>
      <c r="RKD36" s="73"/>
      <c r="RKE36" s="73"/>
      <c r="RKF36" s="73"/>
      <c r="RKG36" s="73"/>
      <c r="RKH36" s="73"/>
      <c r="RKI36" s="73"/>
      <c r="RKJ36" s="73"/>
      <c r="RKK36" s="73"/>
      <c r="RKL36" s="73"/>
      <c r="RKM36" s="73"/>
      <c r="RKN36" s="73"/>
      <c r="RKO36" s="73"/>
      <c r="RKP36" s="73"/>
      <c r="RKQ36" s="73"/>
      <c r="RKR36" s="73"/>
      <c r="RKS36" s="73"/>
      <c r="RKT36" s="73"/>
      <c r="RKU36" s="73"/>
      <c r="RKV36" s="73"/>
      <c r="RKW36" s="73"/>
      <c r="RKX36" s="73"/>
      <c r="RKY36" s="73"/>
      <c r="RKZ36" s="73"/>
      <c r="RLA36" s="73"/>
      <c r="RLB36" s="73"/>
      <c r="RLC36" s="73"/>
      <c r="RLD36" s="73"/>
      <c r="RLE36" s="73"/>
      <c r="RLF36" s="73"/>
      <c r="RLG36" s="73"/>
      <c r="RLH36" s="73"/>
      <c r="RLI36" s="73"/>
      <c r="RLJ36" s="73"/>
      <c r="RLK36" s="73"/>
      <c r="RLL36" s="73"/>
      <c r="RLM36" s="73"/>
      <c r="RLN36" s="73"/>
      <c r="RLO36" s="73"/>
      <c r="RLP36" s="73"/>
      <c r="RLQ36" s="73"/>
      <c r="RLR36" s="73"/>
      <c r="RLS36" s="73"/>
      <c r="RLT36" s="73"/>
      <c r="RLU36" s="73"/>
      <c r="RLV36" s="73"/>
      <c r="RLW36" s="73"/>
      <c r="RLX36" s="73"/>
      <c r="RLY36" s="73"/>
      <c r="RLZ36" s="73"/>
      <c r="RMA36" s="73"/>
      <c r="RMB36" s="73"/>
      <c r="RMC36" s="73"/>
      <c r="RMD36" s="73"/>
      <c r="RME36" s="73"/>
      <c r="RMF36" s="73"/>
      <c r="RMG36" s="73"/>
      <c r="RMH36" s="73"/>
      <c r="RMI36" s="73"/>
      <c r="RMJ36" s="73"/>
      <c r="RMK36" s="73"/>
      <c r="RML36" s="73"/>
      <c r="RMM36" s="73"/>
      <c r="RMN36" s="73"/>
      <c r="RMO36" s="73"/>
      <c r="RMP36" s="73"/>
      <c r="RMQ36" s="73"/>
      <c r="RMR36" s="73"/>
      <c r="RMS36" s="73"/>
      <c r="RMT36" s="73"/>
      <c r="RMU36" s="73"/>
      <c r="RMV36" s="73"/>
      <c r="RMW36" s="73"/>
      <c r="RMX36" s="73"/>
      <c r="RMY36" s="73"/>
      <c r="RMZ36" s="73"/>
      <c r="RNA36" s="73"/>
      <c r="RNB36" s="73"/>
      <c r="RNC36" s="73"/>
      <c r="RND36" s="73"/>
      <c r="RNE36" s="73"/>
      <c r="RNF36" s="73"/>
      <c r="RNG36" s="73"/>
      <c r="RNH36" s="73"/>
      <c r="RNI36" s="73"/>
      <c r="RNJ36" s="73"/>
      <c r="RNK36" s="73"/>
      <c r="RNL36" s="73"/>
      <c r="RNM36" s="73"/>
      <c r="RNN36" s="73"/>
      <c r="RNO36" s="73"/>
      <c r="RNP36" s="73"/>
      <c r="RNQ36" s="73"/>
      <c r="RNR36" s="73"/>
      <c r="RNS36" s="73"/>
      <c r="RNT36" s="73"/>
      <c r="RNU36" s="73"/>
      <c r="RNV36" s="73"/>
      <c r="RNW36" s="73"/>
      <c r="RNX36" s="73"/>
      <c r="RNY36" s="73"/>
      <c r="RNZ36" s="73"/>
      <c r="ROA36" s="73"/>
      <c r="ROB36" s="73"/>
      <c r="ROC36" s="73"/>
      <c r="ROD36" s="73"/>
      <c r="ROE36" s="73"/>
      <c r="ROF36" s="73"/>
      <c r="ROG36" s="73"/>
      <c r="ROH36" s="73"/>
      <c r="ROI36" s="73"/>
      <c r="ROJ36" s="73"/>
      <c r="ROK36" s="73"/>
      <c r="ROL36" s="73"/>
      <c r="ROM36" s="73"/>
      <c r="RON36" s="73"/>
      <c r="ROO36" s="73"/>
      <c r="ROP36" s="73"/>
      <c r="ROQ36" s="73"/>
      <c r="ROR36" s="73"/>
      <c r="ROS36" s="73"/>
      <c r="ROT36" s="73"/>
      <c r="ROU36" s="73"/>
      <c r="ROV36" s="73"/>
      <c r="ROW36" s="73"/>
      <c r="ROX36" s="73"/>
      <c r="ROY36" s="73"/>
      <c r="ROZ36" s="73"/>
      <c r="RPA36" s="73"/>
      <c r="RPB36" s="73"/>
      <c r="RPC36" s="73"/>
      <c r="RPD36" s="73"/>
      <c r="RPE36" s="73"/>
      <c r="RPF36" s="73"/>
      <c r="RPG36" s="73"/>
      <c r="RPH36" s="73"/>
      <c r="RPI36" s="73"/>
      <c r="RPJ36" s="73"/>
      <c r="RPK36" s="73"/>
      <c r="RPL36" s="73"/>
      <c r="RPM36" s="73"/>
      <c r="RPN36" s="73"/>
      <c r="RPO36" s="73"/>
      <c r="RPP36" s="73"/>
      <c r="RPQ36" s="73"/>
      <c r="RPR36" s="73"/>
      <c r="RPS36" s="73"/>
      <c r="RPT36" s="73"/>
      <c r="RPU36" s="73"/>
      <c r="RPV36" s="73"/>
      <c r="RPW36" s="73"/>
      <c r="RPX36" s="73"/>
      <c r="RPY36" s="73"/>
      <c r="RPZ36" s="73"/>
      <c r="RQA36" s="73"/>
      <c r="RQB36" s="73"/>
      <c r="RQC36" s="73"/>
      <c r="RQD36" s="73"/>
      <c r="RQE36" s="73"/>
      <c r="RQF36" s="73"/>
      <c r="RQG36" s="73"/>
      <c r="RQH36" s="73"/>
      <c r="RQI36" s="73"/>
      <c r="RQJ36" s="73"/>
      <c r="RQK36" s="73"/>
      <c r="RQL36" s="73"/>
      <c r="RQM36" s="73"/>
      <c r="RQN36" s="73"/>
      <c r="RQO36" s="73"/>
      <c r="RQP36" s="73"/>
      <c r="RQQ36" s="73"/>
      <c r="RQR36" s="73"/>
      <c r="RQS36" s="73"/>
      <c r="RQT36" s="73"/>
      <c r="RQU36" s="73"/>
      <c r="RQV36" s="73"/>
      <c r="RQW36" s="73"/>
      <c r="RQX36" s="73"/>
      <c r="RQY36" s="73"/>
      <c r="RQZ36" s="73"/>
      <c r="RRA36" s="73"/>
      <c r="RRB36" s="73"/>
      <c r="RRC36" s="73"/>
      <c r="RRD36" s="73"/>
      <c r="RRE36" s="73"/>
      <c r="RRF36" s="73"/>
      <c r="RRG36" s="73"/>
      <c r="RRH36" s="73"/>
      <c r="RRI36" s="73"/>
      <c r="RRJ36" s="73"/>
      <c r="RRK36" s="73"/>
      <c r="RRL36" s="73"/>
      <c r="RRM36" s="73"/>
      <c r="RRN36" s="73"/>
      <c r="RRO36" s="73"/>
      <c r="RRP36" s="73"/>
      <c r="RRQ36" s="73"/>
      <c r="RRR36" s="73"/>
      <c r="RRS36" s="73"/>
      <c r="RRT36" s="73"/>
      <c r="RRU36" s="73"/>
      <c r="RRV36" s="73"/>
      <c r="RRW36" s="73"/>
      <c r="RRX36" s="73"/>
      <c r="RRY36" s="73"/>
      <c r="RRZ36" s="73"/>
      <c r="RSA36" s="73"/>
      <c r="RSB36" s="73"/>
      <c r="RSC36" s="73"/>
      <c r="RSD36" s="73"/>
      <c r="RSE36" s="73"/>
      <c r="RSF36" s="73"/>
      <c r="RSG36" s="73"/>
      <c r="RSH36" s="73"/>
      <c r="RSI36" s="73"/>
      <c r="RSJ36" s="73"/>
      <c r="RSK36" s="73"/>
      <c r="RSL36" s="73"/>
      <c r="RSM36" s="73"/>
      <c r="RSN36" s="73"/>
      <c r="RSO36" s="73"/>
      <c r="RSP36" s="73"/>
      <c r="RSQ36" s="73"/>
      <c r="RSR36" s="73"/>
      <c r="RSS36" s="73"/>
      <c r="RST36" s="73"/>
      <c r="RSU36" s="73"/>
      <c r="RSV36" s="73"/>
      <c r="RSW36" s="73"/>
      <c r="RSX36" s="73"/>
      <c r="RSY36" s="73"/>
      <c r="RSZ36" s="73"/>
      <c r="RTA36" s="73"/>
      <c r="RTB36" s="73"/>
      <c r="RTC36" s="73"/>
      <c r="RTD36" s="73"/>
      <c r="RTE36" s="73"/>
      <c r="RTF36" s="73"/>
      <c r="RTG36" s="73"/>
      <c r="RTH36" s="73"/>
      <c r="RTI36" s="73"/>
      <c r="RTJ36" s="73"/>
      <c r="RTK36" s="73"/>
      <c r="RTL36" s="73"/>
      <c r="RTM36" s="73"/>
      <c r="RTN36" s="73"/>
      <c r="RTO36" s="73"/>
      <c r="RTP36" s="73"/>
      <c r="RTQ36" s="73"/>
      <c r="RTR36" s="73"/>
      <c r="RTS36" s="73"/>
      <c r="RTT36" s="73"/>
      <c r="RTU36" s="73"/>
      <c r="RTV36" s="73"/>
      <c r="RTW36" s="73"/>
      <c r="RTX36" s="73"/>
      <c r="RTY36" s="73"/>
      <c r="RTZ36" s="73"/>
      <c r="RUA36" s="73"/>
      <c r="RUB36" s="73"/>
      <c r="RUC36" s="73"/>
      <c r="RUD36" s="73"/>
      <c r="RUE36" s="73"/>
      <c r="RUF36" s="73"/>
      <c r="RUG36" s="73"/>
      <c r="RUH36" s="73"/>
      <c r="RUI36" s="73"/>
      <c r="RUJ36" s="73"/>
      <c r="RUK36" s="73"/>
      <c r="RUL36" s="73"/>
      <c r="RUM36" s="73"/>
      <c r="RUN36" s="73"/>
      <c r="RUO36" s="73"/>
      <c r="RUP36" s="73"/>
      <c r="RUQ36" s="73"/>
      <c r="RUR36" s="73"/>
      <c r="RUS36" s="73"/>
      <c r="RUT36" s="73"/>
      <c r="RUU36" s="73"/>
      <c r="RUV36" s="73"/>
      <c r="RUW36" s="73"/>
      <c r="RUX36" s="73"/>
      <c r="RUY36" s="73"/>
      <c r="RUZ36" s="73"/>
      <c r="RVA36" s="73"/>
      <c r="RVB36" s="73"/>
      <c r="RVC36" s="73"/>
      <c r="RVD36" s="73"/>
      <c r="RVE36" s="73"/>
      <c r="RVF36" s="73"/>
      <c r="RVG36" s="73"/>
      <c r="RVH36" s="73"/>
      <c r="RVI36" s="73"/>
      <c r="RVJ36" s="73"/>
      <c r="RVK36" s="73"/>
      <c r="RVL36" s="73"/>
      <c r="RVM36" s="73"/>
      <c r="RVN36" s="73"/>
      <c r="RVO36" s="73"/>
      <c r="RVP36" s="73"/>
      <c r="RVQ36" s="73"/>
      <c r="RVR36" s="73"/>
      <c r="RVS36" s="73"/>
      <c r="RVT36" s="73"/>
      <c r="RVU36" s="73"/>
      <c r="RVV36" s="73"/>
      <c r="RVW36" s="73"/>
      <c r="RVX36" s="73"/>
      <c r="RVY36" s="73"/>
      <c r="RVZ36" s="73"/>
      <c r="RWA36" s="73"/>
      <c r="RWB36" s="73"/>
      <c r="RWC36" s="73"/>
      <c r="RWD36" s="73"/>
      <c r="RWE36" s="73"/>
      <c r="RWF36" s="73"/>
      <c r="RWG36" s="73"/>
      <c r="RWH36" s="73"/>
      <c r="RWI36" s="73"/>
      <c r="RWJ36" s="73"/>
      <c r="RWK36" s="73"/>
      <c r="RWL36" s="73"/>
      <c r="RWM36" s="73"/>
      <c r="RWN36" s="73"/>
      <c r="RWO36" s="73"/>
      <c r="RWP36" s="73"/>
      <c r="RWQ36" s="73"/>
      <c r="RWR36" s="73"/>
      <c r="RWS36" s="73"/>
      <c r="RWT36" s="73"/>
      <c r="RWU36" s="73"/>
      <c r="RWV36" s="73"/>
      <c r="RWW36" s="73"/>
      <c r="RWX36" s="73"/>
      <c r="RWY36" s="73"/>
      <c r="RWZ36" s="73"/>
      <c r="RXA36" s="73"/>
      <c r="RXB36" s="73"/>
      <c r="RXC36" s="73"/>
      <c r="RXD36" s="73"/>
      <c r="RXE36" s="73"/>
      <c r="RXF36" s="73"/>
      <c r="RXG36" s="73"/>
      <c r="RXH36" s="73"/>
      <c r="RXI36" s="73"/>
      <c r="RXJ36" s="73"/>
      <c r="RXK36" s="73"/>
      <c r="RXL36" s="73"/>
      <c r="RXM36" s="73"/>
      <c r="RXN36" s="73"/>
      <c r="RXO36" s="73"/>
      <c r="RXP36" s="73"/>
      <c r="RXQ36" s="73"/>
      <c r="RXR36" s="73"/>
      <c r="RXS36" s="73"/>
      <c r="RXT36" s="73"/>
      <c r="RXU36" s="73"/>
      <c r="RXV36" s="73"/>
      <c r="RXW36" s="73"/>
      <c r="RXX36" s="73"/>
      <c r="RXY36" s="73"/>
      <c r="RXZ36" s="73"/>
      <c r="RYA36" s="73"/>
      <c r="RYB36" s="73"/>
      <c r="RYC36" s="73"/>
      <c r="RYD36" s="73"/>
      <c r="RYE36" s="73"/>
      <c r="RYF36" s="73"/>
      <c r="RYG36" s="73"/>
      <c r="RYH36" s="73"/>
      <c r="RYI36" s="73"/>
      <c r="RYJ36" s="73"/>
      <c r="RYK36" s="73"/>
      <c r="RYL36" s="73"/>
      <c r="RYM36" s="73"/>
      <c r="RYN36" s="73"/>
      <c r="RYO36" s="73"/>
      <c r="RYP36" s="73"/>
      <c r="RYQ36" s="73"/>
      <c r="RYR36" s="73"/>
      <c r="RYS36" s="73"/>
      <c r="RYT36" s="73"/>
      <c r="RYU36" s="73"/>
      <c r="RYV36" s="73"/>
      <c r="RYW36" s="73"/>
      <c r="RYX36" s="73"/>
      <c r="RYY36" s="73"/>
      <c r="RYZ36" s="73"/>
      <c r="RZA36" s="73"/>
      <c r="RZB36" s="73"/>
      <c r="RZC36" s="73"/>
      <c r="RZD36" s="73"/>
      <c r="RZE36" s="73"/>
      <c r="RZF36" s="73"/>
      <c r="RZG36" s="73"/>
      <c r="RZH36" s="73"/>
      <c r="RZI36" s="73"/>
      <c r="RZJ36" s="73"/>
      <c r="RZK36" s="73"/>
      <c r="RZL36" s="73"/>
      <c r="RZM36" s="73"/>
      <c r="RZN36" s="73"/>
      <c r="RZO36" s="73"/>
      <c r="RZP36" s="73"/>
      <c r="RZQ36" s="73"/>
      <c r="RZR36" s="73"/>
      <c r="RZS36" s="73"/>
      <c r="RZT36" s="73"/>
      <c r="RZU36" s="73"/>
      <c r="RZV36" s="73"/>
      <c r="RZW36" s="73"/>
      <c r="RZX36" s="73"/>
      <c r="RZY36" s="73"/>
      <c r="RZZ36" s="73"/>
      <c r="SAA36" s="73"/>
      <c r="SAB36" s="73"/>
      <c r="SAC36" s="73"/>
      <c r="SAD36" s="73"/>
      <c r="SAE36" s="73"/>
      <c r="SAF36" s="73"/>
      <c r="SAG36" s="73"/>
      <c r="SAH36" s="73"/>
      <c r="SAI36" s="73"/>
      <c r="SAJ36" s="73"/>
      <c r="SAK36" s="73"/>
      <c r="SAL36" s="73"/>
      <c r="SAM36" s="73"/>
      <c r="SAN36" s="73"/>
      <c r="SAO36" s="73"/>
      <c r="SAP36" s="73"/>
      <c r="SAQ36" s="73"/>
      <c r="SAR36" s="73"/>
      <c r="SAS36" s="73"/>
      <c r="SAT36" s="73"/>
      <c r="SAU36" s="73"/>
      <c r="SAV36" s="73"/>
      <c r="SAW36" s="73"/>
      <c r="SAX36" s="73"/>
      <c r="SAY36" s="73"/>
      <c r="SAZ36" s="73"/>
      <c r="SBA36" s="73"/>
      <c r="SBB36" s="73"/>
      <c r="SBC36" s="73"/>
      <c r="SBD36" s="73"/>
      <c r="SBE36" s="73"/>
      <c r="SBF36" s="73"/>
      <c r="SBG36" s="73"/>
      <c r="SBH36" s="73"/>
      <c r="SBI36" s="73"/>
      <c r="SBJ36" s="73"/>
      <c r="SBK36" s="73"/>
      <c r="SBL36" s="73"/>
      <c r="SBM36" s="73"/>
      <c r="SBN36" s="73"/>
      <c r="SBO36" s="73"/>
      <c r="SBP36" s="73"/>
      <c r="SBQ36" s="73"/>
      <c r="SBR36" s="73"/>
      <c r="SBS36" s="73"/>
      <c r="SBT36" s="73"/>
      <c r="SBU36" s="73"/>
      <c r="SBV36" s="73"/>
      <c r="SBW36" s="73"/>
      <c r="SBX36" s="73"/>
      <c r="SBY36" s="73"/>
      <c r="SBZ36" s="73"/>
      <c r="SCA36" s="73"/>
      <c r="SCB36" s="73"/>
      <c r="SCC36" s="73"/>
      <c r="SCD36" s="73"/>
      <c r="SCE36" s="73"/>
      <c r="SCF36" s="73"/>
      <c r="SCG36" s="73"/>
      <c r="SCH36" s="73"/>
      <c r="SCI36" s="73"/>
      <c r="SCJ36" s="73"/>
      <c r="SCK36" s="73"/>
      <c r="SCL36" s="73"/>
      <c r="SCM36" s="73"/>
      <c r="SCN36" s="73"/>
      <c r="SCO36" s="73"/>
      <c r="SCP36" s="73"/>
      <c r="SCQ36" s="73"/>
      <c r="SCR36" s="73"/>
      <c r="SCS36" s="73"/>
      <c r="SCT36" s="73"/>
      <c r="SCU36" s="73"/>
      <c r="SCV36" s="73"/>
      <c r="SCW36" s="73"/>
      <c r="SCX36" s="73"/>
      <c r="SCY36" s="73"/>
      <c r="SCZ36" s="73"/>
      <c r="SDA36" s="73"/>
      <c r="SDB36" s="73"/>
      <c r="SDC36" s="73"/>
      <c r="SDD36" s="73"/>
      <c r="SDE36" s="73"/>
      <c r="SDF36" s="73"/>
      <c r="SDG36" s="73"/>
      <c r="SDH36" s="73"/>
      <c r="SDI36" s="73"/>
      <c r="SDJ36" s="73"/>
      <c r="SDK36" s="73"/>
      <c r="SDL36" s="73"/>
      <c r="SDM36" s="73"/>
      <c r="SDN36" s="73"/>
      <c r="SDO36" s="73"/>
      <c r="SDP36" s="73"/>
      <c r="SDQ36" s="73"/>
      <c r="SDR36" s="73"/>
      <c r="SDS36" s="73"/>
      <c r="SDT36" s="73"/>
      <c r="SDU36" s="73"/>
      <c r="SDV36" s="73"/>
      <c r="SDW36" s="73"/>
      <c r="SDX36" s="73"/>
      <c r="SDY36" s="73"/>
      <c r="SDZ36" s="73"/>
      <c r="SEA36" s="73"/>
      <c r="SEB36" s="73"/>
      <c r="SEC36" s="73"/>
      <c r="SED36" s="73"/>
      <c r="SEE36" s="73"/>
      <c r="SEF36" s="73"/>
      <c r="SEG36" s="73"/>
      <c r="SEH36" s="73"/>
      <c r="SEI36" s="73"/>
      <c r="SEJ36" s="73"/>
      <c r="SEK36" s="73"/>
      <c r="SEL36" s="73"/>
      <c r="SEM36" s="73"/>
      <c r="SEN36" s="73"/>
      <c r="SEO36" s="73"/>
      <c r="SEP36" s="73"/>
      <c r="SEQ36" s="73"/>
      <c r="SER36" s="73"/>
      <c r="SES36" s="73"/>
      <c r="SET36" s="73"/>
      <c r="SEU36" s="73"/>
      <c r="SEV36" s="73"/>
      <c r="SEW36" s="73"/>
      <c r="SEX36" s="73"/>
      <c r="SEY36" s="73"/>
      <c r="SEZ36" s="73"/>
      <c r="SFA36" s="73"/>
      <c r="SFB36" s="73"/>
      <c r="SFC36" s="73"/>
      <c r="SFD36" s="73"/>
      <c r="SFE36" s="73"/>
      <c r="SFF36" s="73"/>
      <c r="SFG36" s="73"/>
      <c r="SFH36" s="73"/>
      <c r="SFI36" s="73"/>
      <c r="SFJ36" s="73"/>
      <c r="SFK36" s="73"/>
      <c r="SFL36" s="73"/>
      <c r="SFM36" s="73"/>
      <c r="SFN36" s="73"/>
      <c r="SFO36" s="73"/>
      <c r="SFP36" s="73"/>
      <c r="SFQ36" s="73"/>
      <c r="SFR36" s="73"/>
      <c r="SFS36" s="73"/>
      <c r="SFT36" s="73"/>
      <c r="SFU36" s="73"/>
      <c r="SFV36" s="73"/>
      <c r="SFW36" s="73"/>
      <c r="SFX36" s="73"/>
      <c r="SFY36" s="73"/>
      <c r="SFZ36" s="73"/>
      <c r="SGA36" s="73"/>
      <c r="SGB36" s="73"/>
      <c r="SGC36" s="73"/>
      <c r="SGD36" s="73"/>
      <c r="SGE36" s="73"/>
      <c r="SGF36" s="73"/>
      <c r="SGG36" s="73"/>
      <c r="SGH36" s="73"/>
      <c r="SGI36" s="73"/>
      <c r="SGJ36" s="73"/>
      <c r="SGK36" s="73"/>
      <c r="SGL36" s="73"/>
      <c r="SGM36" s="73"/>
      <c r="SGN36" s="73"/>
      <c r="SGO36" s="73"/>
      <c r="SGP36" s="73"/>
      <c r="SGQ36" s="73"/>
      <c r="SGR36" s="73"/>
      <c r="SGS36" s="73"/>
      <c r="SGT36" s="73"/>
      <c r="SGU36" s="73"/>
      <c r="SGV36" s="73"/>
      <c r="SGW36" s="73"/>
      <c r="SGX36" s="73"/>
      <c r="SGY36" s="73"/>
      <c r="SGZ36" s="73"/>
      <c r="SHA36" s="73"/>
      <c r="SHB36" s="73"/>
      <c r="SHC36" s="73"/>
      <c r="SHD36" s="73"/>
      <c r="SHE36" s="73"/>
      <c r="SHF36" s="73"/>
      <c r="SHG36" s="73"/>
      <c r="SHH36" s="73"/>
      <c r="SHI36" s="73"/>
      <c r="SHJ36" s="73"/>
      <c r="SHK36" s="73"/>
      <c r="SHL36" s="73"/>
      <c r="SHM36" s="73"/>
      <c r="SHN36" s="73"/>
      <c r="SHO36" s="73"/>
      <c r="SHP36" s="73"/>
      <c r="SHQ36" s="73"/>
      <c r="SHR36" s="73"/>
      <c r="SHS36" s="73"/>
      <c r="SHT36" s="73"/>
      <c r="SHU36" s="73"/>
      <c r="SHV36" s="73"/>
      <c r="SHW36" s="73"/>
      <c r="SHX36" s="73"/>
      <c r="SHY36" s="73"/>
      <c r="SHZ36" s="73"/>
      <c r="SIA36" s="73"/>
      <c r="SIB36" s="73"/>
      <c r="SIC36" s="73"/>
      <c r="SID36" s="73"/>
      <c r="SIE36" s="73"/>
      <c r="SIF36" s="73"/>
      <c r="SIG36" s="73"/>
      <c r="SIH36" s="73"/>
      <c r="SII36" s="73"/>
      <c r="SIJ36" s="73"/>
      <c r="SIK36" s="73"/>
      <c r="SIL36" s="73"/>
      <c r="SIM36" s="73"/>
      <c r="SIN36" s="73"/>
      <c r="SIO36" s="73"/>
      <c r="SIP36" s="73"/>
      <c r="SIQ36" s="73"/>
      <c r="SIR36" s="73"/>
      <c r="SIS36" s="73"/>
      <c r="SIT36" s="73"/>
      <c r="SIU36" s="73"/>
      <c r="SIV36" s="73"/>
      <c r="SIW36" s="73"/>
      <c r="SIX36" s="73"/>
      <c r="SIY36" s="73"/>
      <c r="SIZ36" s="73"/>
      <c r="SJA36" s="73"/>
      <c r="SJB36" s="73"/>
      <c r="SJC36" s="73"/>
      <c r="SJD36" s="73"/>
      <c r="SJE36" s="73"/>
      <c r="SJF36" s="73"/>
      <c r="SJG36" s="73"/>
      <c r="SJH36" s="73"/>
      <c r="SJI36" s="73"/>
      <c r="SJJ36" s="73"/>
      <c r="SJK36" s="73"/>
      <c r="SJL36" s="73"/>
      <c r="SJM36" s="73"/>
      <c r="SJN36" s="73"/>
      <c r="SJO36" s="73"/>
      <c r="SJP36" s="73"/>
      <c r="SJQ36" s="73"/>
      <c r="SJR36" s="73"/>
      <c r="SJS36" s="73"/>
      <c r="SJT36" s="73"/>
      <c r="SJU36" s="73"/>
      <c r="SJV36" s="73"/>
      <c r="SJW36" s="73"/>
      <c r="SJX36" s="73"/>
      <c r="SJY36" s="73"/>
      <c r="SJZ36" s="73"/>
      <c r="SKA36" s="73"/>
      <c r="SKB36" s="73"/>
      <c r="SKC36" s="73"/>
      <c r="SKD36" s="73"/>
      <c r="SKE36" s="73"/>
      <c r="SKF36" s="73"/>
      <c r="SKG36" s="73"/>
      <c r="SKH36" s="73"/>
      <c r="SKI36" s="73"/>
      <c r="SKJ36" s="73"/>
      <c r="SKK36" s="73"/>
      <c r="SKL36" s="73"/>
      <c r="SKM36" s="73"/>
      <c r="SKN36" s="73"/>
      <c r="SKO36" s="73"/>
      <c r="SKP36" s="73"/>
      <c r="SKQ36" s="73"/>
      <c r="SKR36" s="73"/>
      <c r="SKS36" s="73"/>
      <c r="SKT36" s="73"/>
      <c r="SKU36" s="73"/>
      <c r="SKV36" s="73"/>
      <c r="SKW36" s="73"/>
      <c r="SKX36" s="73"/>
      <c r="SKY36" s="73"/>
      <c r="SKZ36" s="73"/>
      <c r="SLA36" s="73"/>
      <c r="SLB36" s="73"/>
      <c r="SLC36" s="73"/>
      <c r="SLD36" s="73"/>
      <c r="SLE36" s="73"/>
      <c r="SLF36" s="73"/>
      <c r="SLG36" s="73"/>
      <c r="SLH36" s="73"/>
      <c r="SLI36" s="73"/>
      <c r="SLJ36" s="73"/>
      <c r="SLK36" s="73"/>
      <c r="SLL36" s="73"/>
      <c r="SLM36" s="73"/>
      <c r="SLN36" s="73"/>
      <c r="SLO36" s="73"/>
      <c r="SLP36" s="73"/>
      <c r="SLQ36" s="73"/>
      <c r="SLR36" s="73"/>
      <c r="SLS36" s="73"/>
      <c r="SLT36" s="73"/>
      <c r="SLU36" s="73"/>
      <c r="SLV36" s="73"/>
      <c r="SLW36" s="73"/>
      <c r="SLX36" s="73"/>
      <c r="SLY36" s="73"/>
      <c r="SLZ36" s="73"/>
      <c r="SMA36" s="73"/>
      <c r="SMB36" s="73"/>
      <c r="SMC36" s="73"/>
      <c r="SMD36" s="73"/>
      <c r="SME36" s="73"/>
      <c r="SMF36" s="73"/>
      <c r="SMG36" s="73"/>
      <c r="SMH36" s="73"/>
      <c r="SMI36" s="73"/>
      <c r="SMJ36" s="73"/>
      <c r="SMK36" s="73"/>
      <c r="SML36" s="73"/>
      <c r="SMM36" s="73"/>
      <c r="SMN36" s="73"/>
      <c r="SMO36" s="73"/>
      <c r="SMP36" s="73"/>
      <c r="SMQ36" s="73"/>
      <c r="SMR36" s="73"/>
      <c r="SMS36" s="73"/>
      <c r="SMT36" s="73"/>
      <c r="SMU36" s="73"/>
      <c r="SMV36" s="73"/>
      <c r="SMW36" s="73"/>
      <c r="SMX36" s="73"/>
      <c r="SMY36" s="73"/>
      <c r="SMZ36" s="73"/>
      <c r="SNA36" s="73"/>
      <c r="SNB36" s="73"/>
      <c r="SNC36" s="73"/>
      <c r="SND36" s="73"/>
      <c r="SNE36" s="73"/>
      <c r="SNF36" s="73"/>
      <c r="SNG36" s="73"/>
      <c r="SNH36" s="73"/>
      <c r="SNI36" s="73"/>
      <c r="SNJ36" s="73"/>
      <c r="SNK36" s="73"/>
      <c r="SNL36" s="73"/>
      <c r="SNM36" s="73"/>
      <c r="SNN36" s="73"/>
      <c r="SNO36" s="73"/>
      <c r="SNP36" s="73"/>
      <c r="SNQ36" s="73"/>
      <c r="SNR36" s="73"/>
      <c r="SNS36" s="73"/>
      <c r="SNT36" s="73"/>
      <c r="SNU36" s="73"/>
      <c r="SNV36" s="73"/>
      <c r="SNW36" s="73"/>
      <c r="SNX36" s="73"/>
      <c r="SNY36" s="73"/>
      <c r="SNZ36" s="73"/>
      <c r="SOA36" s="73"/>
      <c r="SOB36" s="73"/>
      <c r="SOC36" s="73"/>
      <c r="SOD36" s="73"/>
      <c r="SOE36" s="73"/>
      <c r="SOF36" s="73"/>
      <c r="SOG36" s="73"/>
      <c r="SOH36" s="73"/>
      <c r="SOI36" s="73"/>
      <c r="SOJ36" s="73"/>
      <c r="SOK36" s="73"/>
      <c r="SOL36" s="73"/>
      <c r="SOM36" s="73"/>
      <c r="SON36" s="73"/>
      <c r="SOO36" s="73"/>
      <c r="SOP36" s="73"/>
      <c r="SOQ36" s="73"/>
      <c r="SOR36" s="73"/>
      <c r="SOS36" s="73"/>
      <c r="SOT36" s="73"/>
      <c r="SOU36" s="73"/>
      <c r="SOV36" s="73"/>
      <c r="SOW36" s="73"/>
      <c r="SOX36" s="73"/>
      <c r="SOY36" s="73"/>
      <c r="SOZ36" s="73"/>
      <c r="SPA36" s="73"/>
      <c r="SPB36" s="73"/>
      <c r="SPC36" s="73"/>
      <c r="SPD36" s="73"/>
      <c r="SPE36" s="73"/>
      <c r="SPF36" s="73"/>
      <c r="SPG36" s="73"/>
      <c r="SPH36" s="73"/>
      <c r="SPI36" s="73"/>
      <c r="SPJ36" s="73"/>
      <c r="SPK36" s="73"/>
      <c r="SPL36" s="73"/>
      <c r="SPM36" s="73"/>
      <c r="SPN36" s="73"/>
      <c r="SPO36" s="73"/>
      <c r="SPP36" s="73"/>
      <c r="SPQ36" s="73"/>
      <c r="SPR36" s="73"/>
      <c r="SPS36" s="73"/>
      <c r="SPT36" s="73"/>
      <c r="SPU36" s="73"/>
      <c r="SPV36" s="73"/>
      <c r="SPW36" s="73"/>
      <c r="SPX36" s="73"/>
      <c r="SPY36" s="73"/>
      <c r="SPZ36" s="73"/>
      <c r="SQA36" s="73"/>
      <c r="SQB36" s="73"/>
      <c r="SQC36" s="73"/>
      <c r="SQD36" s="73"/>
      <c r="SQE36" s="73"/>
      <c r="SQF36" s="73"/>
      <c r="SQG36" s="73"/>
      <c r="SQH36" s="73"/>
      <c r="SQI36" s="73"/>
      <c r="SQJ36" s="73"/>
      <c r="SQK36" s="73"/>
      <c r="SQL36" s="73"/>
      <c r="SQM36" s="73"/>
      <c r="SQN36" s="73"/>
      <c r="SQO36" s="73"/>
      <c r="SQP36" s="73"/>
      <c r="SQQ36" s="73"/>
      <c r="SQR36" s="73"/>
      <c r="SQS36" s="73"/>
      <c r="SQT36" s="73"/>
      <c r="SQU36" s="73"/>
      <c r="SQV36" s="73"/>
      <c r="SQW36" s="73"/>
      <c r="SQX36" s="73"/>
      <c r="SQY36" s="73"/>
      <c r="SQZ36" s="73"/>
      <c r="SRA36" s="73"/>
      <c r="SRB36" s="73"/>
      <c r="SRC36" s="73"/>
      <c r="SRD36" s="73"/>
      <c r="SRE36" s="73"/>
      <c r="SRF36" s="73"/>
      <c r="SRG36" s="73"/>
      <c r="SRH36" s="73"/>
      <c r="SRI36" s="73"/>
      <c r="SRJ36" s="73"/>
      <c r="SRK36" s="73"/>
      <c r="SRL36" s="73"/>
      <c r="SRM36" s="73"/>
      <c r="SRN36" s="73"/>
      <c r="SRO36" s="73"/>
      <c r="SRP36" s="73"/>
      <c r="SRQ36" s="73"/>
      <c r="SRR36" s="73"/>
      <c r="SRS36" s="73"/>
      <c r="SRT36" s="73"/>
      <c r="SRU36" s="73"/>
      <c r="SRV36" s="73"/>
      <c r="SRW36" s="73"/>
      <c r="SRX36" s="73"/>
      <c r="SRY36" s="73"/>
      <c r="SRZ36" s="73"/>
      <c r="SSA36" s="73"/>
      <c r="SSB36" s="73"/>
      <c r="SSC36" s="73"/>
      <c r="SSD36" s="73"/>
      <c r="SSE36" s="73"/>
      <c r="SSF36" s="73"/>
      <c r="SSG36" s="73"/>
      <c r="SSH36" s="73"/>
      <c r="SSI36" s="73"/>
      <c r="SSJ36" s="73"/>
      <c r="SSK36" s="73"/>
      <c r="SSL36" s="73"/>
      <c r="SSM36" s="73"/>
      <c r="SSN36" s="73"/>
      <c r="SSO36" s="73"/>
      <c r="SSP36" s="73"/>
      <c r="SSQ36" s="73"/>
      <c r="SSR36" s="73"/>
      <c r="SSS36" s="73"/>
      <c r="SST36" s="73"/>
      <c r="SSU36" s="73"/>
      <c r="SSV36" s="73"/>
      <c r="SSW36" s="73"/>
      <c r="SSX36" s="73"/>
      <c r="SSY36" s="73"/>
      <c r="SSZ36" s="73"/>
      <c r="STA36" s="73"/>
      <c r="STB36" s="73"/>
      <c r="STC36" s="73"/>
      <c r="STD36" s="73"/>
      <c r="STE36" s="73"/>
      <c r="STF36" s="73"/>
      <c r="STG36" s="73"/>
      <c r="STH36" s="73"/>
      <c r="STI36" s="73"/>
      <c r="STJ36" s="73"/>
      <c r="STK36" s="73"/>
      <c r="STL36" s="73"/>
      <c r="STM36" s="73"/>
      <c r="STN36" s="73"/>
      <c r="STO36" s="73"/>
      <c r="STP36" s="73"/>
      <c r="STQ36" s="73"/>
      <c r="STR36" s="73"/>
      <c r="STS36" s="73"/>
      <c r="STT36" s="73"/>
      <c r="STU36" s="73"/>
      <c r="STV36" s="73"/>
      <c r="STW36" s="73"/>
      <c r="STX36" s="73"/>
      <c r="STY36" s="73"/>
      <c r="STZ36" s="73"/>
      <c r="SUA36" s="73"/>
      <c r="SUB36" s="73"/>
      <c r="SUC36" s="73"/>
      <c r="SUD36" s="73"/>
      <c r="SUE36" s="73"/>
      <c r="SUF36" s="73"/>
      <c r="SUG36" s="73"/>
      <c r="SUH36" s="73"/>
      <c r="SUI36" s="73"/>
      <c r="SUJ36" s="73"/>
      <c r="SUK36" s="73"/>
      <c r="SUL36" s="73"/>
      <c r="SUM36" s="73"/>
      <c r="SUN36" s="73"/>
      <c r="SUO36" s="73"/>
      <c r="SUP36" s="73"/>
      <c r="SUQ36" s="73"/>
      <c r="SUR36" s="73"/>
      <c r="SUS36" s="73"/>
      <c r="SUT36" s="73"/>
      <c r="SUU36" s="73"/>
      <c r="SUV36" s="73"/>
      <c r="SUW36" s="73"/>
      <c r="SUX36" s="73"/>
      <c r="SUY36" s="73"/>
      <c r="SUZ36" s="73"/>
      <c r="SVA36" s="73"/>
      <c r="SVB36" s="73"/>
      <c r="SVC36" s="73"/>
      <c r="SVD36" s="73"/>
      <c r="SVE36" s="73"/>
      <c r="SVF36" s="73"/>
      <c r="SVG36" s="73"/>
      <c r="SVH36" s="73"/>
      <c r="SVI36" s="73"/>
      <c r="SVJ36" s="73"/>
      <c r="SVK36" s="73"/>
      <c r="SVL36" s="73"/>
      <c r="SVM36" s="73"/>
      <c r="SVN36" s="73"/>
      <c r="SVO36" s="73"/>
      <c r="SVP36" s="73"/>
      <c r="SVQ36" s="73"/>
      <c r="SVR36" s="73"/>
      <c r="SVS36" s="73"/>
      <c r="SVT36" s="73"/>
      <c r="SVU36" s="73"/>
      <c r="SVV36" s="73"/>
      <c r="SVW36" s="73"/>
      <c r="SVX36" s="73"/>
      <c r="SVY36" s="73"/>
      <c r="SVZ36" s="73"/>
      <c r="SWA36" s="73"/>
      <c r="SWB36" s="73"/>
      <c r="SWC36" s="73"/>
      <c r="SWD36" s="73"/>
      <c r="SWE36" s="73"/>
      <c r="SWF36" s="73"/>
      <c r="SWG36" s="73"/>
      <c r="SWH36" s="73"/>
      <c r="SWI36" s="73"/>
      <c r="SWJ36" s="73"/>
      <c r="SWK36" s="73"/>
      <c r="SWL36" s="73"/>
      <c r="SWM36" s="73"/>
      <c r="SWN36" s="73"/>
      <c r="SWO36" s="73"/>
      <c r="SWP36" s="73"/>
      <c r="SWQ36" s="73"/>
      <c r="SWR36" s="73"/>
      <c r="SWS36" s="73"/>
      <c r="SWT36" s="73"/>
      <c r="SWU36" s="73"/>
      <c r="SWV36" s="73"/>
      <c r="SWW36" s="73"/>
      <c r="SWX36" s="73"/>
      <c r="SWY36" s="73"/>
      <c r="SWZ36" s="73"/>
      <c r="SXA36" s="73"/>
      <c r="SXB36" s="73"/>
      <c r="SXC36" s="73"/>
      <c r="SXD36" s="73"/>
      <c r="SXE36" s="73"/>
      <c r="SXF36" s="73"/>
      <c r="SXG36" s="73"/>
      <c r="SXH36" s="73"/>
      <c r="SXI36" s="73"/>
      <c r="SXJ36" s="73"/>
      <c r="SXK36" s="73"/>
      <c r="SXL36" s="73"/>
      <c r="SXM36" s="73"/>
      <c r="SXN36" s="73"/>
      <c r="SXO36" s="73"/>
      <c r="SXP36" s="73"/>
      <c r="SXQ36" s="73"/>
      <c r="SXR36" s="73"/>
      <c r="SXS36" s="73"/>
      <c r="SXT36" s="73"/>
      <c r="SXU36" s="73"/>
      <c r="SXV36" s="73"/>
      <c r="SXW36" s="73"/>
      <c r="SXX36" s="73"/>
      <c r="SXY36" s="73"/>
      <c r="SXZ36" s="73"/>
      <c r="SYA36" s="73"/>
      <c r="SYB36" s="73"/>
      <c r="SYC36" s="73"/>
      <c r="SYD36" s="73"/>
      <c r="SYE36" s="73"/>
      <c r="SYF36" s="73"/>
      <c r="SYG36" s="73"/>
      <c r="SYH36" s="73"/>
      <c r="SYI36" s="73"/>
      <c r="SYJ36" s="73"/>
      <c r="SYK36" s="73"/>
      <c r="SYL36" s="73"/>
      <c r="SYM36" s="73"/>
      <c r="SYN36" s="73"/>
      <c r="SYO36" s="73"/>
      <c r="SYP36" s="73"/>
      <c r="SYQ36" s="73"/>
      <c r="SYR36" s="73"/>
      <c r="SYS36" s="73"/>
      <c r="SYT36" s="73"/>
      <c r="SYU36" s="73"/>
      <c r="SYV36" s="73"/>
      <c r="SYW36" s="73"/>
      <c r="SYX36" s="73"/>
      <c r="SYY36" s="73"/>
      <c r="SYZ36" s="73"/>
      <c r="SZA36" s="73"/>
      <c r="SZB36" s="73"/>
      <c r="SZC36" s="73"/>
      <c r="SZD36" s="73"/>
      <c r="SZE36" s="73"/>
      <c r="SZF36" s="73"/>
      <c r="SZG36" s="73"/>
      <c r="SZH36" s="73"/>
      <c r="SZI36" s="73"/>
      <c r="SZJ36" s="73"/>
      <c r="SZK36" s="73"/>
      <c r="SZL36" s="73"/>
      <c r="SZM36" s="73"/>
      <c r="SZN36" s="73"/>
      <c r="SZO36" s="73"/>
      <c r="SZP36" s="73"/>
      <c r="SZQ36" s="73"/>
      <c r="SZR36" s="73"/>
      <c r="SZS36" s="73"/>
      <c r="SZT36" s="73"/>
      <c r="SZU36" s="73"/>
      <c r="SZV36" s="73"/>
      <c r="SZW36" s="73"/>
      <c r="SZX36" s="73"/>
      <c r="SZY36" s="73"/>
      <c r="SZZ36" s="73"/>
      <c r="TAA36" s="73"/>
      <c r="TAB36" s="73"/>
      <c r="TAC36" s="73"/>
      <c r="TAD36" s="73"/>
      <c r="TAE36" s="73"/>
      <c r="TAF36" s="73"/>
      <c r="TAG36" s="73"/>
      <c r="TAH36" s="73"/>
      <c r="TAI36" s="73"/>
      <c r="TAJ36" s="73"/>
      <c r="TAK36" s="73"/>
      <c r="TAL36" s="73"/>
      <c r="TAM36" s="73"/>
      <c r="TAN36" s="73"/>
      <c r="TAO36" s="73"/>
      <c r="TAP36" s="73"/>
      <c r="TAQ36" s="73"/>
      <c r="TAR36" s="73"/>
      <c r="TAS36" s="73"/>
      <c r="TAT36" s="73"/>
      <c r="TAU36" s="73"/>
      <c r="TAV36" s="73"/>
      <c r="TAW36" s="73"/>
      <c r="TAX36" s="73"/>
      <c r="TAY36" s="73"/>
      <c r="TAZ36" s="73"/>
      <c r="TBA36" s="73"/>
      <c r="TBB36" s="73"/>
      <c r="TBC36" s="73"/>
      <c r="TBD36" s="73"/>
      <c r="TBE36" s="73"/>
      <c r="TBF36" s="73"/>
      <c r="TBG36" s="73"/>
      <c r="TBH36" s="73"/>
      <c r="TBI36" s="73"/>
      <c r="TBJ36" s="73"/>
      <c r="TBK36" s="73"/>
      <c r="TBL36" s="73"/>
      <c r="TBM36" s="73"/>
      <c r="TBN36" s="73"/>
      <c r="TBO36" s="73"/>
      <c r="TBP36" s="73"/>
      <c r="TBQ36" s="73"/>
      <c r="TBR36" s="73"/>
      <c r="TBS36" s="73"/>
      <c r="TBT36" s="73"/>
      <c r="TBU36" s="73"/>
      <c r="TBV36" s="73"/>
      <c r="TBW36" s="73"/>
      <c r="TBX36" s="73"/>
      <c r="TBY36" s="73"/>
      <c r="TBZ36" s="73"/>
      <c r="TCA36" s="73"/>
      <c r="TCB36" s="73"/>
      <c r="TCC36" s="73"/>
      <c r="TCD36" s="73"/>
      <c r="TCE36" s="73"/>
      <c r="TCF36" s="73"/>
      <c r="TCG36" s="73"/>
      <c r="TCH36" s="73"/>
      <c r="TCI36" s="73"/>
      <c r="TCJ36" s="73"/>
      <c r="TCK36" s="73"/>
      <c r="TCL36" s="73"/>
      <c r="TCM36" s="73"/>
      <c r="TCN36" s="73"/>
      <c r="TCO36" s="73"/>
      <c r="TCP36" s="73"/>
      <c r="TCQ36" s="73"/>
      <c r="TCR36" s="73"/>
      <c r="TCS36" s="73"/>
      <c r="TCT36" s="73"/>
      <c r="TCU36" s="73"/>
      <c r="TCV36" s="73"/>
      <c r="TCW36" s="73"/>
      <c r="TCX36" s="73"/>
      <c r="TCY36" s="73"/>
      <c r="TCZ36" s="73"/>
      <c r="TDA36" s="73"/>
      <c r="TDB36" s="73"/>
      <c r="TDC36" s="73"/>
      <c r="TDD36" s="73"/>
      <c r="TDE36" s="73"/>
      <c r="TDF36" s="73"/>
      <c r="TDG36" s="73"/>
      <c r="TDH36" s="73"/>
      <c r="TDI36" s="73"/>
      <c r="TDJ36" s="73"/>
      <c r="TDK36" s="73"/>
      <c r="TDL36" s="73"/>
      <c r="TDM36" s="73"/>
      <c r="TDN36" s="73"/>
      <c r="TDO36" s="73"/>
      <c r="TDP36" s="73"/>
      <c r="TDQ36" s="73"/>
      <c r="TDR36" s="73"/>
      <c r="TDS36" s="73"/>
      <c r="TDT36" s="73"/>
      <c r="TDU36" s="73"/>
      <c r="TDV36" s="73"/>
      <c r="TDW36" s="73"/>
      <c r="TDX36" s="73"/>
      <c r="TDY36" s="73"/>
      <c r="TDZ36" s="73"/>
      <c r="TEA36" s="73"/>
      <c r="TEB36" s="73"/>
      <c r="TEC36" s="73"/>
      <c r="TED36" s="73"/>
      <c r="TEE36" s="73"/>
      <c r="TEF36" s="73"/>
      <c r="TEG36" s="73"/>
      <c r="TEH36" s="73"/>
      <c r="TEI36" s="73"/>
      <c r="TEJ36" s="73"/>
      <c r="TEK36" s="73"/>
      <c r="TEL36" s="73"/>
      <c r="TEM36" s="73"/>
      <c r="TEN36" s="73"/>
      <c r="TEO36" s="73"/>
      <c r="TEP36" s="73"/>
      <c r="TEQ36" s="73"/>
      <c r="TER36" s="73"/>
      <c r="TES36" s="73"/>
      <c r="TET36" s="73"/>
      <c r="TEU36" s="73"/>
      <c r="TEV36" s="73"/>
      <c r="TEW36" s="73"/>
      <c r="TEX36" s="73"/>
      <c r="TEY36" s="73"/>
      <c r="TEZ36" s="73"/>
      <c r="TFA36" s="73"/>
      <c r="TFB36" s="73"/>
      <c r="TFC36" s="73"/>
      <c r="TFD36" s="73"/>
      <c r="TFE36" s="73"/>
      <c r="TFF36" s="73"/>
      <c r="TFG36" s="73"/>
      <c r="TFH36" s="73"/>
      <c r="TFI36" s="73"/>
      <c r="TFJ36" s="73"/>
      <c r="TFK36" s="73"/>
      <c r="TFL36" s="73"/>
      <c r="TFM36" s="73"/>
      <c r="TFN36" s="73"/>
      <c r="TFO36" s="73"/>
      <c r="TFP36" s="73"/>
      <c r="TFQ36" s="73"/>
      <c r="TFR36" s="73"/>
      <c r="TFS36" s="73"/>
      <c r="TFT36" s="73"/>
      <c r="TFU36" s="73"/>
      <c r="TFV36" s="73"/>
      <c r="TFW36" s="73"/>
      <c r="TFX36" s="73"/>
      <c r="TFY36" s="73"/>
      <c r="TFZ36" s="73"/>
      <c r="TGA36" s="73"/>
      <c r="TGB36" s="73"/>
      <c r="TGC36" s="73"/>
      <c r="TGD36" s="73"/>
      <c r="TGE36" s="73"/>
      <c r="TGF36" s="73"/>
      <c r="TGG36" s="73"/>
      <c r="TGH36" s="73"/>
      <c r="TGI36" s="73"/>
      <c r="TGJ36" s="73"/>
      <c r="TGK36" s="73"/>
      <c r="TGL36" s="73"/>
      <c r="TGM36" s="73"/>
      <c r="TGN36" s="73"/>
      <c r="TGO36" s="73"/>
      <c r="TGP36" s="73"/>
      <c r="TGQ36" s="73"/>
      <c r="TGR36" s="73"/>
      <c r="TGS36" s="73"/>
      <c r="TGT36" s="73"/>
      <c r="TGU36" s="73"/>
      <c r="TGV36" s="73"/>
      <c r="TGW36" s="73"/>
      <c r="TGX36" s="73"/>
      <c r="TGY36" s="73"/>
      <c r="TGZ36" s="73"/>
      <c r="THA36" s="73"/>
      <c r="THB36" s="73"/>
      <c r="THC36" s="73"/>
      <c r="THD36" s="73"/>
      <c r="THE36" s="73"/>
      <c r="THF36" s="73"/>
      <c r="THG36" s="73"/>
      <c r="THH36" s="73"/>
      <c r="THI36" s="73"/>
      <c r="THJ36" s="73"/>
      <c r="THK36" s="73"/>
      <c r="THL36" s="73"/>
      <c r="THM36" s="73"/>
      <c r="THN36" s="73"/>
      <c r="THO36" s="73"/>
      <c r="THP36" s="73"/>
      <c r="THQ36" s="73"/>
      <c r="THR36" s="73"/>
      <c r="THS36" s="73"/>
      <c r="THT36" s="73"/>
      <c r="THU36" s="73"/>
      <c r="THV36" s="73"/>
      <c r="THW36" s="73"/>
      <c r="THX36" s="73"/>
      <c r="THY36" s="73"/>
      <c r="THZ36" s="73"/>
      <c r="TIA36" s="73"/>
      <c r="TIB36" s="73"/>
      <c r="TIC36" s="73"/>
      <c r="TID36" s="73"/>
      <c r="TIE36" s="73"/>
      <c r="TIF36" s="73"/>
      <c r="TIG36" s="73"/>
      <c r="TIH36" s="73"/>
      <c r="TII36" s="73"/>
      <c r="TIJ36" s="73"/>
      <c r="TIK36" s="73"/>
      <c r="TIL36" s="73"/>
      <c r="TIM36" s="73"/>
      <c r="TIN36" s="73"/>
      <c r="TIO36" s="73"/>
      <c r="TIP36" s="73"/>
      <c r="TIQ36" s="73"/>
      <c r="TIR36" s="73"/>
      <c r="TIS36" s="73"/>
      <c r="TIT36" s="73"/>
      <c r="TIU36" s="73"/>
      <c r="TIV36" s="73"/>
      <c r="TIW36" s="73"/>
      <c r="TIX36" s="73"/>
      <c r="TIY36" s="73"/>
      <c r="TIZ36" s="73"/>
      <c r="TJA36" s="73"/>
      <c r="TJB36" s="73"/>
      <c r="TJC36" s="73"/>
      <c r="TJD36" s="73"/>
      <c r="TJE36" s="73"/>
      <c r="TJF36" s="73"/>
      <c r="TJG36" s="73"/>
      <c r="TJH36" s="73"/>
      <c r="TJI36" s="73"/>
      <c r="TJJ36" s="73"/>
      <c r="TJK36" s="73"/>
      <c r="TJL36" s="73"/>
      <c r="TJM36" s="73"/>
      <c r="TJN36" s="73"/>
      <c r="TJO36" s="73"/>
      <c r="TJP36" s="73"/>
      <c r="TJQ36" s="73"/>
      <c r="TJR36" s="73"/>
      <c r="TJS36" s="73"/>
      <c r="TJT36" s="73"/>
      <c r="TJU36" s="73"/>
      <c r="TJV36" s="73"/>
      <c r="TJW36" s="73"/>
      <c r="TJX36" s="73"/>
      <c r="TJY36" s="73"/>
      <c r="TJZ36" s="73"/>
      <c r="TKA36" s="73"/>
      <c r="TKB36" s="73"/>
      <c r="TKC36" s="73"/>
      <c r="TKD36" s="73"/>
      <c r="TKE36" s="73"/>
      <c r="TKF36" s="73"/>
      <c r="TKG36" s="73"/>
      <c r="TKH36" s="73"/>
      <c r="TKI36" s="73"/>
      <c r="TKJ36" s="73"/>
      <c r="TKK36" s="73"/>
      <c r="TKL36" s="73"/>
      <c r="TKM36" s="73"/>
      <c r="TKN36" s="73"/>
      <c r="TKO36" s="73"/>
      <c r="TKP36" s="73"/>
      <c r="TKQ36" s="73"/>
      <c r="TKR36" s="73"/>
      <c r="TKS36" s="73"/>
      <c r="TKT36" s="73"/>
      <c r="TKU36" s="73"/>
      <c r="TKV36" s="73"/>
      <c r="TKW36" s="73"/>
      <c r="TKX36" s="73"/>
      <c r="TKY36" s="73"/>
      <c r="TKZ36" s="73"/>
      <c r="TLA36" s="73"/>
      <c r="TLB36" s="73"/>
      <c r="TLC36" s="73"/>
      <c r="TLD36" s="73"/>
      <c r="TLE36" s="73"/>
      <c r="TLF36" s="73"/>
      <c r="TLG36" s="73"/>
      <c r="TLH36" s="73"/>
      <c r="TLI36" s="73"/>
      <c r="TLJ36" s="73"/>
      <c r="TLK36" s="73"/>
      <c r="TLL36" s="73"/>
      <c r="TLM36" s="73"/>
      <c r="TLN36" s="73"/>
      <c r="TLO36" s="73"/>
      <c r="TLP36" s="73"/>
      <c r="TLQ36" s="73"/>
      <c r="TLR36" s="73"/>
      <c r="TLS36" s="73"/>
      <c r="TLT36" s="73"/>
      <c r="TLU36" s="73"/>
      <c r="TLV36" s="73"/>
      <c r="TLW36" s="73"/>
      <c r="TLX36" s="73"/>
      <c r="TLY36" s="73"/>
      <c r="TLZ36" s="73"/>
      <c r="TMA36" s="73"/>
      <c r="TMB36" s="73"/>
      <c r="TMC36" s="73"/>
      <c r="TMD36" s="73"/>
      <c r="TME36" s="73"/>
      <c r="TMF36" s="73"/>
      <c r="TMG36" s="73"/>
      <c r="TMH36" s="73"/>
      <c r="TMI36" s="73"/>
      <c r="TMJ36" s="73"/>
      <c r="TMK36" s="73"/>
      <c r="TML36" s="73"/>
      <c r="TMM36" s="73"/>
      <c r="TMN36" s="73"/>
      <c r="TMO36" s="73"/>
      <c r="TMP36" s="73"/>
      <c r="TMQ36" s="73"/>
      <c r="TMR36" s="73"/>
      <c r="TMS36" s="73"/>
      <c r="TMT36" s="73"/>
      <c r="TMU36" s="73"/>
      <c r="TMV36" s="73"/>
      <c r="TMW36" s="73"/>
      <c r="TMX36" s="73"/>
      <c r="TMY36" s="73"/>
      <c r="TMZ36" s="73"/>
      <c r="TNA36" s="73"/>
      <c r="TNB36" s="73"/>
      <c r="TNC36" s="73"/>
      <c r="TND36" s="73"/>
      <c r="TNE36" s="73"/>
      <c r="TNF36" s="73"/>
      <c r="TNG36" s="73"/>
      <c r="TNH36" s="73"/>
      <c r="TNI36" s="73"/>
      <c r="TNJ36" s="73"/>
      <c r="TNK36" s="73"/>
      <c r="TNL36" s="73"/>
      <c r="TNM36" s="73"/>
      <c r="TNN36" s="73"/>
      <c r="TNO36" s="73"/>
      <c r="TNP36" s="73"/>
      <c r="TNQ36" s="73"/>
      <c r="TNR36" s="73"/>
      <c r="TNS36" s="73"/>
      <c r="TNT36" s="73"/>
      <c r="TNU36" s="73"/>
      <c r="TNV36" s="73"/>
      <c r="TNW36" s="73"/>
      <c r="TNX36" s="73"/>
      <c r="TNY36" s="73"/>
      <c r="TNZ36" s="73"/>
      <c r="TOA36" s="73"/>
      <c r="TOB36" s="73"/>
      <c r="TOC36" s="73"/>
      <c r="TOD36" s="73"/>
      <c r="TOE36" s="73"/>
      <c r="TOF36" s="73"/>
      <c r="TOG36" s="73"/>
      <c r="TOH36" s="73"/>
      <c r="TOI36" s="73"/>
      <c r="TOJ36" s="73"/>
      <c r="TOK36" s="73"/>
      <c r="TOL36" s="73"/>
      <c r="TOM36" s="73"/>
      <c r="TON36" s="73"/>
      <c r="TOO36" s="73"/>
      <c r="TOP36" s="73"/>
      <c r="TOQ36" s="73"/>
      <c r="TOR36" s="73"/>
      <c r="TOS36" s="73"/>
      <c r="TOT36" s="73"/>
      <c r="TOU36" s="73"/>
      <c r="TOV36" s="73"/>
      <c r="TOW36" s="73"/>
      <c r="TOX36" s="73"/>
      <c r="TOY36" s="73"/>
      <c r="TOZ36" s="73"/>
      <c r="TPA36" s="73"/>
      <c r="TPB36" s="73"/>
      <c r="TPC36" s="73"/>
      <c r="TPD36" s="73"/>
      <c r="TPE36" s="73"/>
      <c r="TPF36" s="73"/>
      <c r="TPG36" s="73"/>
      <c r="TPH36" s="73"/>
      <c r="TPI36" s="73"/>
      <c r="TPJ36" s="73"/>
      <c r="TPK36" s="73"/>
      <c r="TPL36" s="73"/>
      <c r="TPM36" s="73"/>
      <c r="TPN36" s="73"/>
      <c r="TPO36" s="73"/>
      <c r="TPP36" s="73"/>
      <c r="TPQ36" s="73"/>
      <c r="TPR36" s="73"/>
      <c r="TPS36" s="73"/>
      <c r="TPT36" s="73"/>
      <c r="TPU36" s="73"/>
      <c r="TPV36" s="73"/>
      <c r="TPW36" s="73"/>
      <c r="TPX36" s="73"/>
      <c r="TPY36" s="73"/>
      <c r="TPZ36" s="73"/>
      <c r="TQA36" s="73"/>
      <c r="TQB36" s="73"/>
      <c r="TQC36" s="73"/>
      <c r="TQD36" s="73"/>
      <c r="TQE36" s="73"/>
      <c r="TQF36" s="73"/>
      <c r="TQG36" s="73"/>
      <c r="TQH36" s="73"/>
      <c r="TQI36" s="73"/>
      <c r="TQJ36" s="73"/>
      <c r="TQK36" s="73"/>
      <c r="TQL36" s="73"/>
      <c r="TQM36" s="73"/>
      <c r="TQN36" s="73"/>
      <c r="TQO36" s="73"/>
      <c r="TQP36" s="73"/>
      <c r="TQQ36" s="73"/>
      <c r="TQR36" s="73"/>
      <c r="TQS36" s="73"/>
      <c r="TQT36" s="73"/>
      <c r="TQU36" s="73"/>
      <c r="TQV36" s="73"/>
      <c r="TQW36" s="73"/>
      <c r="TQX36" s="73"/>
      <c r="TQY36" s="73"/>
      <c r="TQZ36" s="73"/>
      <c r="TRA36" s="73"/>
      <c r="TRB36" s="73"/>
      <c r="TRC36" s="73"/>
      <c r="TRD36" s="73"/>
      <c r="TRE36" s="73"/>
      <c r="TRF36" s="73"/>
      <c r="TRG36" s="73"/>
      <c r="TRH36" s="73"/>
      <c r="TRI36" s="73"/>
      <c r="TRJ36" s="73"/>
      <c r="TRK36" s="73"/>
      <c r="TRL36" s="73"/>
      <c r="TRM36" s="73"/>
      <c r="TRN36" s="73"/>
      <c r="TRO36" s="73"/>
      <c r="TRP36" s="73"/>
      <c r="TRQ36" s="73"/>
      <c r="TRR36" s="73"/>
      <c r="TRS36" s="73"/>
      <c r="TRT36" s="73"/>
      <c r="TRU36" s="73"/>
      <c r="TRV36" s="73"/>
      <c r="TRW36" s="73"/>
      <c r="TRX36" s="73"/>
      <c r="TRY36" s="73"/>
      <c r="TRZ36" s="73"/>
      <c r="TSA36" s="73"/>
      <c r="TSB36" s="73"/>
      <c r="TSC36" s="73"/>
      <c r="TSD36" s="73"/>
      <c r="TSE36" s="73"/>
      <c r="TSF36" s="73"/>
      <c r="TSG36" s="73"/>
      <c r="TSH36" s="73"/>
      <c r="TSI36" s="73"/>
      <c r="TSJ36" s="73"/>
      <c r="TSK36" s="73"/>
      <c r="TSL36" s="73"/>
      <c r="TSM36" s="73"/>
      <c r="TSN36" s="73"/>
      <c r="TSO36" s="73"/>
      <c r="TSP36" s="73"/>
      <c r="TSQ36" s="73"/>
      <c r="TSR36" s="73"/>
      <c r="TSS36" s="73"/>
      <c r="TST36" s="73"/>
      <c r="TSU36" s="73"/>
      <c r="TSV36" s="73"/>
      <c r="TSW36" s="73"/>
      <c r="TSX36" s="73"/>
      <c r="TSY36" s="73"/>
      <c r="TSZ36" s="73"/>
      <c r="TTA36" s="73"/>
      <c r="TTB36" s="73"/>
      <c r="TTC36" s="73"/>
      <c r="TTD36" s="73"/>
      <c r="TTE36" s="73"/>
      <c r="TTF36" s="73"/>
      <c r="TTG36" s="73"/>
      <c r="TTH36" s="73"/>
      <c r="TTI36" s="73"/>
      <c r="TTJ36" s="73"/>
      <c r="TTK36" s="73"/>
      <c r="TTL36" s="73"/>
      <c r="TTM36" s="73"/>
      <c r="TTN36" s="73"/>
      <c r="TTO36" s="73"/>
      <c r="TTP36" s="73"/>
      <c r="TTQ36" s="73"/>
      <c r="TTR36" s="73"/>
      <c r="TTS36" s="73"/>
      <c r="TTT36" s="73"/>
      <c r="TTU36" s="73"/>
      <c r="TTV36" s="73"/>
      <c r="TTW36" s="73"/>
      <c r="TTX36" s="73"/>
      <c r="TTY36" s="73"/>
      <c r="TTZ36" s="73"/>
      <c r="TUA36" s="73"/>
      <c r="TUB36" s="73"/>
      <c r="TUC36" s="73"/>
      <c r="TUD36" s="73"/>
      <c r="TUE36" s="73"/>
      <c r="TUF36" s="73"/>
      <c r="TUG36" s="73"/>
      <c r="TUH36" s="73"/>
      <c r="TUI36" s="73"/>
      <c r="TUJ36" s="73"/>
      <c r="TUK36" s="73"/>
      <c r="TUL36" s="73"/>
      <c r="TUM36" s="73"/>
      <c r="TUN36" s="73"/>
      <c r="TUO36" s="73"/>
      <c r="TUP36" s="73"/>
      <c r="TUQ36" s="73"/>
      <c r="TUR36" s="73"/>
      <c r="TUS36" s="73"/>
      <c r="TUT36" s="73"/>
      <c r="TUU36" s="73"/>
      <c r="TUV36" s="73"/>
      <c r="TUW36" s="73"/>
      <c r="TUX36" s="73"/>
      <c r="TUY36" s="73"/>
      <c r="TUZ36" s="73"/>
      <c r="TVA36" s="73"/>
      <c r="TVB36" s="73"/>
      <c r="TVC36" s="73"/>
      <c r="TVD36" s="73"/>
      <c r="TVE36" s="73"/>
      <c r="TVF36" s="73"/>
      <c r="TVG36" s="73"/>
      <c r="TVH36" s="73"/>
      <c r="TVI36" s="73"/>
      <c r="TVJ36" s="73"/>
      <c r="TVK36" s="73"/>
      <c r="TVL36" s="73"/>
      <c r="TVM36" s="73"/>
      <c r="TVN36" s="73"/>
      <c r="TVO36" s="73"/>
      <c r="TVP36" s="73"/>
      <c r="TVQ36" s="73"/>
      <c r="TVR36" s="73"/>
      <c r="TVS36" s="73"/>
      <c r="TVT36" s="73"/>
      <c r="TVU36" s="73"/>
      <c r="TVV36" s="73"/>
      <c r="TVW36" s="73"/>
      <c r="TVX36" s="73"/>
      <c r="TVY36" s="73"/>
      <c r="TVZ36" s="73"/>
      <c r="TWA36" s="73"/>
      <c r="TWB36" s="73"/>
      <c r="TWC36" s="73"/>
      <c r="TWD36" s="73"/>
      <c r="TWE36" s="73"/>
      <c r="TWF36" s="73"/>
      <c r="TWG36" s="73"/>
      <c r="TWH36" s="73"/>
      <c r="TWI36" s="73"/>
      <c r="TWJ36" s="73"/>
      <c r="TWK36" s="73"/>
      <c r="TWL36" s="73"/>
      <c r="TWM36" s="73"/>
      <c r="TWN36" s="73"/>
      <c r="TWO36" s="73"/>
      <c r="TWP36" s="73"/>
      <c r="TWQ36" s="73"/>
      <c r="TWR36" s="73"/>
      <c r="TWS36" s="73"/>
      <c r="TWT36" s="73"/>
      <c r="TWU36" s="73"/>
      <c r="TWV36" s="73"/>
      <c r="TWW36" s="73"/>
      <c r="TWX36" s="73"/>
      <c r="TWY36" s="73"/>
      <c r="TWZ36" s="73"/>
      <c r="TXA36" s="73"/>
      <c r="TXB36" s="73"/>
      <c r="TXC36" s="73"/>
      <c r="TXD36" s="73"/>
      <c r="TXE36" s="73"/>
      <c r="TXF36" s="73"/>
      <c r="TXG36" s="73"/>
      <c r="TXH36" s="73"/>
      <c r="TXI36" s="73"/>
      <c r="TXJ36" s="73"/>
      <c r="TXK36" s="73"/>
      <c r="TXL36" s="73"/>
      <c r="TXM36" s="73"/>
      <c r="TXN36" s="73"/>
      <c r="TXO36" s="73"/>
      <c r="TXP36" s="73"/>
      <c r="TXQ36" s="73"/>
      <c r="TXR36" s="73"/>
      <c r="TXS36" s="73"/>
      <c r="TXT36" s="73"/>
      <c r="TXU36" s="73"/>
      <c r="TXV36" s="73"/>
      <c r="TXW36" s="73"/>
      <c r="TXX36" s="73"/>
      <c r="TXY36" s="73"/>
      <c r="TXZ36" s="73"/>
      <c r="TYA36" s="73"/>
      <c r="TYB36" s="73"/>
      <c r="TYC36" s="73"/>
      <c r="TYD36" s="73"/>
      <c r="TYE36" s="73"/>
      <c r="TYF36" s="73"/>
      <c r="TYG36" s="73"/>
      <c r="TYH36" s="73"/>
      <c r="TYI36" s="73"/>
      <c r="TYJ36" s="73"/>
      <c r="TYK36" s="73"/>
      <c r="TYL36" s="73"/>
      <c r="TYM36" s="73"/>
      <c r="TYN36" s="73"/>
      <c r="TYO36" s="73"/>
      <c r="TYP36" s="73"/>
      <c r="TYQ36" s="73"/>
      <c r="TYR36" s="73"/>
      <c r="TYS36" s="73"/>
      <c r="TYT36" s="73"/>
      <c r="TYU36" s="73"/>
      <c r="TYV36" s="73"/>
      <c r="TYW36" s="73"/>
      <c r="TYX36" s="73"/>
      <c r="TYY36" s="73"/>
      <c r="TYZ36" s="73"/>
      <c r="TZA36" s="73"/>
      <c r="TZB36" s="73"/>
      <c r="TZC36" s="73"/>
      <c r="TZD36" s="73"/>
      <c r="TZE36" s="73"/>
      <c r="TZF36" s="73"/>
      <c r="TZG36" s="73"/>
      <c r="TZH36" s="73"/>
      <c r="TZI36" s="73"/>
      <c r="TZJ36" s="73"/>
      <c r="TZK36" s="73"/>
      <c r="TZL36" s="73"/>
      <c r="TZM36" s="73"/>
      <c r="TZN36" s="73"/>
      <c r="TZO36" s="73"/>
      <c r="TZP36" s="73"/>
      <c r="TZQ36" s="73"/>
      <c r="TZR36" s="73"/>
      <c r="TZS36" s="73"/>
      <c r="TZT36" s="73"/>
      <c r="TZU36" s="73"/>
      <c r="TZV36" s="73"/>
      <c r="TZW36" s="73"/>
      <c r="TZX36" s="73"/>
      <c r="TZY36" s="73"/>
      <c r="TZZ36" s="73"/>
      <c r="UAA36" s="73"/>
      <c r="UAB36" s="73"/>
      <c r="UAC36" s="73"/>
      <c r="UAD36" s="73"/>
      <c r="UAE36" s="73"/>
      <c r="UAF36" s="73"/>
      <c r="UAG36" s="73"/>
      <c r="UAH36" s="73"/>
      <c r="UAI36" s="73"/>
      <c r="UAJ36" s="73"/>
      <c r="UAK36" s="73"/>
      <c r="UAL36" s="73"/>
      <c r="UAM36" s="73"/>
      <c r="UAN36" s="73"/>
      <c r="UAO36" s="73"/>
      <c r="UAP36" s="73"/>
      <c r="UAQ36" s="73"/>
      <c r="UAR36" s="73"/>
      <c r="UAS36" s="73"/>
      <c r="UAT36" s="73"/>
      <c r="UAU36" s="73"/>
      <c r="UAV36" s="73"/>
      <c r="UAW36" s="73"/>
      <c r="UAX36" s="73"/>
      <c r="UAY36" s="73"/>
      <c r="UAZ36" s="73"/>
      <c r="UBA36" s="73"/>
      <c r="UBB36" s="73"/>
      <c r="UBC36" s="73"/>
      <c r="UBD36" s="73"/>
      <c r="UBE36" s="73"/>
      <c r="UBF36" s="73"/>
      <c r="UBG36" s="73"/>
      <c r="UBH36" s="73"/>
      <c r="UBI36" s="73"/>
      <c r="UBJ36" s="73"/>
      <c r="UBK36" s="73"/>
      <c r="UBL36" s="73"/>
      <c r="UBM36" s="73"/>
      <c r="UBN36" s="73"/>
      <c r="UBO36" s="73"/>
      <c r="UBP36" s="73"/>
      <c r="UBQ36" s="73"/>
      <c r="UBR36" s="73"/>
      <c r="UBS36" s="73"/>
      <c r="UBT36" s="73"/>
      <c r="UBU36" s="73"/>
      <c r="UBV36" s="73"/>
      <c r="UBW36" s="73"/>
      <c r="UBX36" s="73"/>
      <c r="UBY36" s="73"/>
      <c r="UBZ36" s="73"/>
      <c r="UCA36" s="73"/>
      <c r="UCB36" s="73"/>
      <c r="UCC36" s="73"/>
      <c r="UCD36" s="73"/>
      <c r="UCE36" s="73"/>
      <c r="UCF36" s="73"/>
      <c r="UCG36" s="73"/>
      <c r="UCH36" s="73"/>
      <c r="UCI36" s="73"/>
      <c r="UCJ36" s="73"/>
      <c r="UCK36" s="73"/>
      <c r="UCL36" s="73"/>
      <c r="UCM36" s="73"/>
      <c r="UCN36" s="73"/>
      <c r="UCO36" s="73"/>
      <c r="UCP36" s="73"/>
      <c r="UCQ36" s="73"/>
      <c r="UCR36" s="73"/>
      <c r="UCS36" s="73"/>
      <c r="UCT36" s="73"/>
      <c r="UCU36" s="73"/>
      <c r="UCV36" s="73"/>
      <c r="UCW36" s="73"/>
      <c r="UCX36" s="73"/>
      <c r="UCY36" s="73"/>
      <c r="UCZ36" s="73"/>
      <c r="UDA36" s="73"/>
      <c r="UDB36" s="73"/>
      <c r="UDC36" s="73"/>
      <c r="UDD36" s="73"/>
      <c r="UDE36" s="73"/>
      <c r="UDF36" s="73"/>
      <c r="UDG36" s="73"/>
      <c r="UDH36" s="73"/>
      <c r="UDI36" s="73"/>
      <c r="UDJ36" s="73"/>
      <c r="UDK36" s="73"/>
      <c r="UDL36" s="73"/>
      <c r="UDM36" s="73"/>
      <c r="UDN36" s="73"/>
      <c r="UDO36" s="73"/>
      <c r="UDP36" s="73"/>
      <c r="UDQ36" s="73"/>
      <c r="UDR36" s="73"/>
      <c r="UDS36" s="73"/>
      <c r="UDT36" s="73"/>
      <c r="UDU36" s="73"/>
      <c r="UDV36" s="73"/>
      <c r="UDW36" s="73"/>
      <c r="UDX36" s="73"/>
      <c r="UDY36" s="73"/>
      <c r="UDZ36" s="73"/>
      <c r="UEA36" s="73"/>
      <c r="UEB36" s="73"/>
      <c r="UEC36" s="73"/>
      <c r="UED36" s="73"/>
      <c r="UEE36" s="73"/>
      <c r="UEF36" s="73"/>
      <c r="UEG36" s="73"/>
      <c r="UEH36" s="73"/>
      <c r="UEI36" s="73"/>
      <c r="UEJ36" s="73"/>
      <c r="UEK36" s="73"/>
      <c r="UEL36" s="73"/>
      <c r="UEM36" s="73"/>
      <c r="UEN36" s="73"/>
      <c r="UEO36" s="73"/>
      <c r="UEP36" s="73"/>
      <c r="UEQ36" s="73"/>
      <c r="UER36" s="73"/>
      <c r="UES36" s="73"/>
      <c r="UET36" s="73"/>
      <c r="UEU36" s="73"/>
      <c r="UEV36" s="73"/>
      <c r="UEW36" s="73"/>
      <c r="UEX36" s="73"/>
      <c r="UEY36" s="73"/>
      <c r="UEZ36" s="73"/>
      <c r="UFA36" s="73"/>
      <c r="UFB36" s="73"/>
      <c r="UFC36" s="73"/>
      <c r="UFD36" s="73"/>
      <c r="UFE36" s="73"/>
      <c r="UFF36" s="73"/>
      <c r="UFG36" s="73"/>
      <c r="UFH36" s="73"/>
      <c r="UFI36" s="73"/>
      <c r="UFJ36" s="73"/>
      <c r="UFK36" s="73"/>
      <c r="UFL36" s="73"/>
      <c r="UFM36" s="73"/>
      <c r="UFN36" s="73"/>
      <c r="UFO36" s="73"/>
      <c r="UFP36" s="73"/>
      <c r="UFQ36" s="73"/>
      <c r="UFR36" s="73"/>
      <c r="UFS36" s="73"/>
      <c r="UFT36" s="73"/>
      <c r="UFU36" s="73"/>
      <c r="UFV36" s="73"/>
      <c r="UFW36" s="73"/>
      <c r="UFX36" s="73"/>
      <c r="UFY36" s="73"/>
      <c r="UFZ36" s="73"/>
      <c r="UGA36" s="73"/>
      <c r="UGB36" s="73"/>
      <c r="UGC36" s="73"/>
      <c r="UGD36" s="73"/>
      <c r="UGE36" s="73"/>
      <c r="UGF36" s="73"/>
      <c r="UGG36" s="73"/>
      <c r="UGH36" s="73"/>
      <c r="UGI36" s="73"/>
      <c r="UGJ36" s="73"/>
      <c r="UGK36" s="73"/>
      <c r="UGL36" s="73"/>
      <c r="UGM36" s="73"/>
      <c r="UGN36" s="73"/>
      <c r="UGO36" s="73"/>
      <c r="UGP36" s="73"/>
      <c r="UGQ36" s="73"/>
      <c r="UGR36" s="73"/>
      <c r="UGS36" s="73"/>
      <c r="UGT36" s="73"/>
      <c r="UGU36" s="73"/>
      <c r="UGV36" s="73"/>
      <c r="UGW36" s="73"/>
      <c r="UGX36" s="73"/>
      <c r="UGY36" s="73"/>
      <c r="UGZ36" s="73"/>
      <c r="UHA36" s="73"/>
      <c r="UHB36" s="73"/>
      <c r="UHC36" s="73"/>
      <c r="UHD36" s="73"/>
      <c r="UHE36" s="73"/>
      <c r="UHF36" s="73"/>
      <c r="UHG36" s="73"/>
      <c r="UHH36" s="73"/>
      <c r="UHI36" s="73"/>
      <c r="UHJ36" s="73"/>
      <c r="UHK36" s="73"/>
      <c r="UHL36" s="73"/>
      <c r="UHM36" s="73"/>
      <c r="UHN36" s="73"/>
      <c r="UHO36" s="73"/>
      <c r="UHP36" s="73"/>
      <c r="UHQ36" s="73"/>
      <c r="UHR36" s="73"/>
      <c r="UHS36" s="73"/>
      <c r="UHT36" s="73"/>
      <c r="UHU36" s="73"/>
      <c r="UHV36" s="73"/>
      <c r="UHW36" s="73"/>
      <c r="UHX36" s="73"/>
      <c r="UHY36" s="73"/>
      <c r="UHZ36" s="73"/>
      <c r="UIA36" s="73"/>
      <c r="UIB36" s="73"/>
      <c r="UIC36" s="73"/>
      <c r="UID36" s="73"/>
      <c r="UIE36" s="73"/>
      <c r="UIF36" s="73"/>
      <c r="UIG36" s="73"/>
      <c r="UIH36" s="73"/>
      <c r="UII36" s="73"/>
      <c r="UIJ36" s="73"/>
      <c r="UIK36" s="73"/>
      <c r="UIL36" s="73"/>
      <c r="UIM36" s="73"/>
      <c r="UIN36" s="73"/>
      <c r="UIO36" s="73"/>
      <c r="UIP36" s="73"/>
      <c r="UIQ36" s="73"/>
      <c r="UIR36" s="73"/>
      <c r="UIS36" s="73"/>
      <c r="UIT36" s="73"/>
      <c r="UIU36" s="73"/>
      <c r="UIV36" s="73"/>
      <c r="UIW36" s="73"/>
      <c r="UIX36" s="73"/>
      <c r="UIY36" s="73"/>
      <c r="UIZ36" s="73"/>
      <c r="UJA36" s="73"/>
      <c r="UJB36" s="73"/>
      <c r="UJC36" s="73"/>
      <c r="UJD36" s="73"/>
      <c r="UJE36" s="73"/>
      <c r="UJF36" s="73"/>
      <c r="UJG36" s="73"/>
      <c r="UJH36" s="73"/>
      <c r="UJI36" s="73"/>
      <c r="UJJ36" s="73"/>
      <c r="UJK36" s="73"/>
      <c r="UJL36" s="73"/>
      <c r="UJM36" s="73"/>
      <c r="UJN36" s="73"/>
      <c r="UJO36" s="73"/>
      <c r="UJP36" s="73"/>
      <c r="UJQ36" s="73"/>
      <c r="UJR36" s="73"/>
      <c r="UJS36" s="73"/>
      <c r="UJT36" s="73"/>
      <c r="UJU36" s="73"/>
      <c r="UJV36" s="73"/>
      <c r="UJW36" s="73"/>
      <c r="UJX36" s="73"/>
      <c r="UJY36" s="73"/>
      <c r="UJZ36" s="73"/>
      <c r="UKA36" s="73"/>
      <c r="UKB36" s="73"/>
      <c r="UKC36" s="73"/>
      <c r="UKD36" s="73"/>
      <c r="UKE36" s="73"/>
      <c r="UKF36" s="73"/>
      <c r="UKG36" s="73"/>
      <c r="UKH36" s="73"/>
      <c r="UKI36" s="73"/>
      <c r="UKJ36" s="73"/>
      <c r="UKK36" s="73"/>
      <c r="UKL36" s="73"/>
      <c r="UKM36" s="73"/>
      <c r="UKN36" s="73"/>
      <c r="UKO36" s="73"/>
      <c r="UKP36" s="73"/>
      <c r="UKQ36" s="73"/>
      <c r="UKR36" s="73"/>
      <c r="UKS36" s="73"/>
      <c r="UKT36" s="73"/>
      <c r="UKU36" s="73"/>
      <c r="UKV36" s="73"/>
      <c r="UKW36" s="73"/>
      <c r="UKX36" s="73"/>
      <c r="UKY36" s="73"/>
      <c r="UKZ36" s="73"/>
      <c r="ULA36" s="73"/>
      <c r="ULB36" s="73"/>
      <c r="ULC36" s="73"/>
      <c r="ULD36" s="73"/>
      <c r="ULE36" s="73"/>
      <c r="ULF36" s="73"/>
      <c r="ULG36" s="73"/>
      <c r="ULH36" s="73"/>
      <c r="ULI36" s="73"/>
      <c r="ULJ36" s="73"/>
      <c r="ULK36" s="73"/>
      <c r="ULL36" s="73"/>
      <c r="ULM36" s="73"/>
      <c r="ULN36" s="73"/>
      <c r="ULO36" s="73"/>
      <c r="ULP36" s="73"/>
      <c r="ULQ36" s="73"/>
      <c r="ULR36" s="73"/>
      <c r="ULS36" s="73"/>
      <c r="ULT36" s="73"/>
      <c r="ULU36" s="73"/>
      <c r="ULV36" s="73"/>
      <c r="ULW36" s="73"/>
      <c r="ULX36" s="73"/>
      <c r="ULY36" s="73"/>
      <c r="ULZ36" s="73"/>
      <c r="UMA36" s="73"/>
      <c r="UMB36" s="73"/>
      <c r="UMC36" s="73"/>
      <c r="UMD36" s="73"/>
      <c r="UME36" s="73"/>
      <c r="UMF36" s="73"/>
      <c r="UMG36" s="73"/>
      <c r="UMH36" s="73"/>
      <c r="UMI36" s="73"/>
      <c r="UMJ36" s="73"/>
      <c r="UMK36" s="73"/>
      <c r="UML36" s="73"/>
      <c r="UMM36" s="73"/>
      <c r="UMN36" s="73"/>
      <c r="UMO36" s="73"/>
      <c r="UMP36" s="73"/>
      <c r="UMQ36" s="73"/>
      <c r="UMR36" s="73"/>
      <c r="UMS36" s="73"/>
      <c r="UMT36" s="73"/>
      <c r="UMU36" s="73"/>
      <c r="UMV36" s="73"/>
      <c r="UMW36" s="73"/>
      <c r="UMX36" s="73"/>
      <c r="UMY36" s="73"/>
      <c r="UMZ36" s="73"/>
      <c r="UNA36" s="73"/>
      <c r="UNB36" s="73"/>
      <c r="UNC36" s="73"/>
      <c r="UND36" s="73"/>
      <c r="UNE36" s="73"/>
      <c r="UNF36" s="73"/>
      <c r="UNG36" s="73"/>
      <c r="UNH36" s="73"/>
      <c r="UNI36" s="73"/>
      <c r="UNJ36" s="73"/>
      <c r="UNK36" s="73"/>
      <c r="UNL36" s="73"/>
      <c r="UNM36" s="73"/>
      <c r="UNN36" s="73"/>
      <c r="UNO36" s="73"/>
      <c r="UNP36" s="73"/>
      <c r="UNQ36" s="73"/>
      <c r="UNR36" s="73"/>
      <c r="UNS36" s="73"/>
      <c r="UNT36" s="73"/>
      <c r="UNU36" s="73"/>
      <c r="UNV36" s="73"/>
      <c r="UNW36" s="73"/>
      <c r="UNX36" s="73"/>
      <c r="UNY36" s="73"/>
      <c r="UNZ36" s="73"/>
      <c r="UOA36" s="73"/>
      <c r="UOB36" s="73"/>
      <c r="UOC36" s="73"/>
      <c r="UOD36" s="73"/>
      <c r="UOE36" s="73"/>
      <c r="UOF36" s="73"/>
      <c r="UOG36" s="73"/>
      <c r="UOH36" s="73"/>
      <c r="UOI36" s="73"/>
      <c r="UOJ36" s="73"/>
      <c r="UOK36" s="73"/>
      <c r="UOL36" s="73"/>
      <c r="UOM36" s="73"/>
      <c r="UON36" s="73"/>
      <c r="UOO36" s="73"/>
      <c r="UOP36" s="73"/>
      <c r="UOQ36" s="73"/>
      <c r="UOR36" s="73"/>
      <c r="UOS36" s="73"/>
      <c r="UOT36" s="73"/>
      <c r="UOU36" s="73"/>
      <c r="UOV36" s="73"/>
      <c r="UOW36" s="73"/>
      <c r="UOX36" s="73"/>
      <c r="UOY36" s="73"/>
      <c r="UOZ36" s="73"/>
      <c r="UPA36" s="73"/>
      <c r="UPB36" s="73"/>
      <c r="UPC36" s="73"/>
      <c r="UPD36" s="73"/>
      <c r="UPE36" s="73"/>
      <c r="UPF36" s="73"/>
      <c r="UPG36" s="73"/>
      <c r="UPH36" s="73"/>
      <c r="UPI36" s="73"/>
      <c r="UPJ36" s="73"/>
      <c r="UPK36" s="73"/>
      <c r="UPL36" s="73"/>
      <c r="UPM36" s="73"/>
      <c r="UPN36" s="73"/>
      <c r="UPO36" s="73"/>
      <c r="UPP36" s="73"/>
      <c r="UPQ36" s="73"/>
      <c r="UPR36" s="73"/>
      <c r="UPS36" s="73"/>
      <c r="UPT36" s="73"/>
      <c r="UPU36" s="73"/>
      <c r="UPV36" s="73"/>
      <c r="UPW36" s="73"/>
      <c r="UPX36" s="73"/>
      <c r="UPY36" s="73"/>
      <c r="UPZ36" s="73"/>
      <c r="UQA36" s="73"/>
      <c r="UQB36" s="73"/>
      <c r="UQC36" s="73"/>
      <c r="UQD36" s="73"/>
      <c r="UQE36" s="73"/>
      <c r="UQF36" s="73"/>
      <c r="UQG36" s="73"/>
      <c r="UQH36" s="73"/>
      <c r="UQI36" s="73"/>
      <c r="UQJ36" s="73"/>
      <c r="UQK36" s="73"/>
      <c r="UQL36" s="73"/>
      <c r="UQM36" s="73"/>
      <c r="UQN36" s="73"/>
      <c r="UQO36" s="73"/>
      <c r="UQP36" s="73"/>
      <c r="UQQ36" s="73"/>
      <c r="UQR36" s="73"/>
      <c r="UQS36" s="73"/>
      <c r="UQT36" s="73"/>
      <c r="UQU36" s="73"/>
      <c r="UQV36" s="73"/>
      <c r="UQW36" s="73"/>
      <c r="UQX36" s="73"/>
      <c r="UQY36" s="73"/>
      <c r="UQZ36" s="73"/>
      <c r="URA36" s="73"/>
      <c r="URB36" s="73"/>
      <c r="URC36" s="73"/>
      <c r="URD36" s="73"/>
      <c r="URE36" s="73"/>
      <c r="URF36" s="73"/>
      <c r="URG36" s="73"/>
      <c r="URH36" s="73"/>
      <c r="URI36" s="73"/>
      <c r="URJ36" s="73"/>
      <c r="URK36" s="73"/>
      <c r="URL36" s="73"/>
      <c r="URM36" s="73"/>
      <c r="URN36" s="73"/>
      <c r="URO36" s="73"/>
      <c r="URP36" s="73"/>
      <c r="URQ36" s="73"/>
      <c r="URR36" s="73"/>
      <c r="URS36" s="73"/>
      <c r="URT36" s="73"/>
      <c r="URU36" s="73"/>
      <c r="URV36" s="73"/>
      <c r="URW36" s="73"/>
      <c r="URX36" s="73"/>
      <c r="URY36" s="73"/>
      <c r="URZ36" s="73"/>
      <c r="USA36" s="73"/>
      <c r="USB36" s="73"/>
      <c r="USC36" s="73"/>
      <c r="USD36" s="73"/>
      <c r="USE36" s="73"/>
      <c r="USF36" s="73"/>
      <c r="USG36" s="73"/>
      <c r="USH36" s="73"/>
      <c r="USI36" s="73"/>
      <c r="USJ36" s="73"/>
      <c r="USK36" s="73"/>
      <c r="USL36" s="73"/>
      <c r="USM36" s="73"/>
      <c r="USN36" s="73"/>
      <c r="USO36" s="73"/>
      <c r="USP36" s="73"/>
      <c r="USQ36" s="73"/>
      <c r="USR36" s="73"/>
      <c r="USS36" s="73"/>
      <c r="UST36" s="73"/>
      <c r="USU36" s="73"/>
      <c r="USV36" s="73"/>
      <c r="USW36" s="73"/>
      <c r="USX36" s="73"/>
      <c r="USY36" s="73"/>
      <c r="USZ36" s="73"/>
      <c r="UTA36" s="73"/>
      <c r="UTB36" s="73"/>
      <c r="UTC36" s="73"/>
      <c r="UTD36" s="73"/>
      <c r="UTE36" s="73"/>
      <c r="UTF36" s="73"/>
      <c r="UTG36" s="73"/>
      <c r="UTH36" s="73"/>
      <c r="UTI36" s="73"/>
      <c r="UTJ36" s="73"/>
      <c r="UTK36" s="73"/>
      <c r="UTL36" s="73"/>
      <c r="UTM36" s="73"/>
      <c r="UTN36" s="73"/>
      <c r="UTO36" s="73"/>
      <c r="UTP36" s="73"/>
      <c r="UTQ36" s="73"/>
      <c r="UTR36" s="73"/>
      <c r="UTS36" s="73"/>
      <c r="UTT36" s="73"/>
      <c r="UTU36" s="73"/>
      <c r="UTV36" s="73"/>
      <c r="UTW36" s="73"/>
      <c r="UTX36" s="73"/>
      <c r="UTY36" s="73"/>
      <c r="UTZ36" s="73"/>
      <c r="UUA36" s="73"/>
      <c r="UUB36" s="73"/>
      <c r="UUC36" s="73"/>
      <c r="UUD36" s="73"/>
      <c r="UUE36" s="73"/>
      <c r="UUF36" s="73"/>
      <c r="UUG36" s="73"/>
      <c r="UUH36" s="73"/>
      <c r="UUI36" s="73"/>
      <c r="UUJ36" s="73"/>
      <c r="UUK36" s="73"/>
      <c r="UUL36" s="73"/>
      <c r="UUM36" s="73"/>
      <c r="UUN36" s="73"/>
      <c r="UUO36" s="73"/>
      <c r="UUP36" s="73"/>
      <c r="UUQ36" s="73"/>
      <c r="UUR36" s="73"/>
      <c r="UUS36" s="73"/>
      <c r="UUT36" s="73"/>
      <c r="UUU36" s="73"/>
      <c r="UUV36" s="73"/>
      <c r="UUW36" s="73"/>
      <c r="UUX36" s="73"/>
      <c r="UUY36" s="73"/>
      <c r="UUZ36" s="73"/>
      <c r="UVA36" s="73"/>
      <c r="UVB36" s="73"/>
      <c r="UVC36" s="73"/>
      <c r="UVD36" s="73"/>
      <c r="UVE36" s="73"/>
      <c r="UVF36" s="73"/>
      <c r="UVG36" s="73"/>
      <c r="UVH36" s="73"/>
      <c r="UVI36" s="73"/>
      <c r="UVJ36" s="73"/>
      <c r="UVK36" s="73"/>
      <c r="UVL36" s="73"/>
      <c r="UVM36" s="73"/>
      <c r="UVN36" s="73"/>
      <c r="UVO36" s="73"/>
      <c r="UVP36" s="73"/>
      <c r="UVQ36" s="73"/>
      <c r="UVR36" s="73"/>
      <c r="UVS36" s="73"/>
      <c r="UVT36" s="73"/>
      <c r="UVU36" s="73"/>
      <c r="UVV36" s="73"/>
      <c r="UVW36" s="73"/>
      <c r="UVX36" s="73"/>
      <c r="UVY36" s="73"/>
      <c r="UVZ36" s="73"/>
      <c r="UWA36" s="73"/>
      <c r="UWB36" s="73"/>
      <c r="UWC36" s="73"/>
      <c r="UWD36" s="73"/>
      <c r="UWE36" s="73"/>
      <c r="UWF36" s="73"/>
      <c r="UWG36" s="73"/>
      <c r="UWH36" s="73"/>
      <c r="UWI36" s="73"/>
      <c r="UWJ36" s="73"/>
      <c r="UWK36" s="73"/>
      <c r="UWL36" s="73"/>
      <c r="UWM36" s="73"/>
      <c r="UWN36" s="73"/>
      <c r="UWO36" s="73"/>
      <c r="UWP36" s="73"/>
      <c r="UWQ36" s="73"/>
      <c r="UWR36" s="73"/>
      <c r="UWS36" s="73"/>
      <c r="UWT36" s="73"/>
      <c r="UWU36" s="73"/>
      <c r="UWV36" s="73"/>
      <c r="UWW36" s="73"/>
      <c r="UWX36" s="73"/>
      <c r="UWY36" s="73"/>
      <c r="UWZ36" s="73"/>
      <c r="UXA36" s="73"/>
      <c r="UXB36" s="73"/>
      <c r="UXC36" s="73"/>
      <c r="UXD36" s="73"/>
      <c r="UXE36" s="73"/>
      <c r="UXF36" s="73"/>
      <c r="UXG36" s="73"/>
      <c r="UXH36" s="73"/>
      <c r="UXI36" s="73"/>
      <c r="UXJ36" s="73"/>
      <c r="UXK36" s="73"/>
      <c r="UXL36" s="73"/>
      <c r="UXM36" s="73"/>
      <c r="UXN36" s="73"/>
      <c r="UXO36" s="73"/>
      <c r="UXP36" s="73"/>
      <c r="UXQ36" s="73"/>
      <c r="UXR36" s="73"/>
      <c r="UXS36" s="73"/>
      <c r="UXT36" s="73"/>
      <c r="UXU36" s="73"/>
      <c r="UXV36" s="73"/>
      <c r="UXW36" s="73"/>
      <c r="UXX36" s="73"/>
      <c r="UXY36" s="73"/>
      <c r="UXZ36" s="73"/>
      <c r="UYA36" s="73"/>
      <c r="UYB36" s="73"/>
      <c r="UYC36" s="73"/>
      <c r="UYD36" s="73"/>
      <c r="UYE36" s="73"/>
      <c r="UYF36" s="73"/>
      <c r="UYG36" s="73"/>
      <c r="UYH36" s="73"/>
      <c r="UYI36" s="73"/>
      <c r="UYJ36" s="73"/>
      <c r="UYK36" s="73"/>
      <c r="UYL36" s="73"/>
      <c r="UYM36" s="73"/>
      <c r="UYN36" s="73"/>
      <c r="UYO36" s="73"/>
      <c r="UYP36" s="73"/>
      <c r="UYQ36" s="73"/>
      <c r="UYR36" s="73"/>
      <c r="UYS36" s="73"/>
      <c r="UYT36" s="73"/>
      <c r="UYU36" s="73"/>
      <c r="UYV36" s="73"/>
      <c r="UYW36" s="73"/>
      <c r="UYX36" s="73"/>
      <c r="UYY36" s="73"/>
      <c r="UYZ36" s="73"/>
      <c r="UZA36" s="73"/>
      <c r="UZB36" s="73"/>
      <c r="UZC36" s="73"/>
      <c r="UZD36" s="73"/>
      <c r="UZE36" s="73"/>
      <c r="UZF36" s="73"/>
      <c r="UZG36" s="73"/>
      <c r="UZH36" s="73"/>
      <c r="UZI36" s="73"/>
      <c r="UZJ36" s="73"/>
      <c r="UZK36" s="73"/>
      <c r="UZL36" s="73"/>
      <c r="UZM36" s="73"/>
      <c r="UZN36" s="73"/>
      <c r="UZO36" s="73"/>
      <c r="UZP36" s="73"/>
      <c r="UZQ36" s="73"/>
      <c r="UZR36" s="73"/>
      <c r="UZS36" s="73"/>
      <c r="UZT36" s="73"/>
      <c r="UZU36" s="73"/>
      <c r="UZV36" s="73"/>
      <c r="UZW36" s="73"/>
      <c r="UZX36" s="73"/>
      <c r="UZY36" s="73"/>
      <c r="UZZ36" s="73"/>
      <c r="VAA36" s="73"/>
      <c r="VAB36" s="73"/>
      <c r="VAC36" s="73"/>
      <c r="VAD36" s="73"/>
      <c r="VAE36" s="73"/>
      <c r="VAF36" s="73"/>
      <c r="VAG36" s="73"/>
      <c r="VAH36" s="73"/>
      <c r="VAI36" s="73"/>
      <c r="VAJ36" s="73"/>
      <c r="VAK36" s="73"/>
      <c r="VAL36" s="73"/>
      <c r="VAM36" s="73"/>
      <c r="VAN36" s="73"/>
      <c r="VAO36" s="73"/>
      <c r="VAP36" s="73"/>
      <c r="VAQ36" s="73"/>
      <c r="VAR36" s="73"/>
      <c r="VAS36" s="73"/>
      <c r="VAT36" s="73"/>
      <c r="VAU36" s="73"/>
      <c r="VAV36" s="73"/>
      <c r="VAW36" s="73"/>
      <c r="VAX36" s="73"/>
      <c r="VAY36" s="73"/>
      <c r="VAZ36" s="73"/>
      <c r="VBA36" s="73"/>
      <c r="VBB36" s="73"/>
      <c r="VBC36" s="73"/>
      <c r="VBD36" s="73"/>
      <c r="VBE36" s="73"/>
      <c r="VBF36" s="73"/>
      <c r="VBG36" s="73"/>
      <c r="VBH36" s="73"/>
      <c r="VBI36" s="73"/>
      <c r="VBJ36" s="73"/>
      <c r="VBK36" s="73"/>
      <c r="VBL36" s="73"/>
      <c r="VBM36" s="73"/>
      <c r="VBN36" s="73"/>
      <c r="VBO36" s="73"/>
      <c r="VBP36" s="73"/>
      <c r="VBQ36" s="73"/>
      <c r="VBR36" s="73"/>
      <c r="VBS36" s="73"/>
      <c r="VBT36" s="73"/>
      <c r="VBU36" s="73"/>
      <c r="VBV36" s="73"/>
      <c r="VBW36" s="73"/>
      <c r="VBX36" s="73"/>
      <c r="VBY36" s="73"/>
      <c r="VBZ36" s="73"/>
      <c r="VCA36" s="73"/>
      <c r="VCB36" s="73"/>
      <c r="VCC36" s="73"/>
      <c r="VCD36" s="73"/>
      <c r="VCE36" s="73"/>
      <c r="VCF36" s="73"/>
      <c r="VCG36" s="73"/>
      <c r="VCH36" s="73"/>
      <c r="VCI36" s="73"/>
      <c r="VCJ36" s="73"/>
      <c r="VCK36" s="73"/>
      <c r="VCL36" s="73"/>
      <c r="VCM36" s="73"/>
      <c r="VCN36" s="73"/>
      <c r="VCO36" s="73"/>
      <c r="VCP36" s="73"/>
      <c r="VCQ36" s="73"/>
      <c r="VCR36" s="73"/>
      <c r="VCS36" s="73"/>
      <c r="VCT36" s="73"/>
      <c r="VCU36" s="73"/>
      <c r="VCV36" s="73"/>
      <c r="VCW36" s="73"/>
      <c r="VCX36" s="73"/>
      <c r="VCY36" s="73"/>
      <c r="VCZ36" s="73"/>
      <c r="VDA36" s="73"/>
      <c r="VDB36" s="73"/>
      <c r="VDC36" s="73"/>
      <c r="VDD36" s="73"/>
      <c r="VDE36" s="73"/>
      <c r="VDF36" s="73"/>
      <c r="VDG36" s="73"/>
      <c r="VDH36" s="73"/>
      <c r="VDI36" s="73"/>
      <c r="VDJ36" s="73"/>
      <c r="VDK36" s="73"/>
      <c r="VDL36" s="73"/>
      <c r="VDM36" s="73"/>
      <c r="VDN36" s="73"/>
      <c r="VDO36" s="73"/>
      <c r="VDP36" s="73"/>
      <c r="VDQ36" s="73"/>
      <c r="VDR36" s="73"/>
      <c r="VDS36" s="73"/>
      <c r="VDT36" s="73"/>
      <c r="VDU36" s="73"/>
      <c r="VDV36" s="73"/>
      <c r="VDW36" s="73"/>
      <c r="VDX36" s="73"/>
      <c r="VDY36" s="73"/>
      <c r="VDZ36" s="73"/>
      <c r="VEA36" s="73"/>
      <c r="VEB36" s="73"/>
      <c r="VEC36" s="73"/>
      <c r="VED36" s="73"/>
      <c r="VEE36" s="73"/>
      <c r="VEF36" s="73"/>
      <c r="VEG36" s="73"/>
      <c r="VEH36" s="73"/>
      <c r="VEI36" s="73"/>
      <c r="VEJ36" s="73"/>
      <c r="VEK36" s="73"/>
      <c r="VEL36" s="73"/>
      <c r="VEM36" s="73"/>
      <c r="VEN36" s="73"/>
      <c r="VEO36" s="73"/>
      <c r="VEP36" s="73"/>
      <c r="VEQ36" s="73"/>
      <c r="VER36" s="73"/>
      <c r="VES36" s="73"/>
      <c r="VET36" s="73"/>
      <c r="VEU36" s="73"/>
      <c r="VEV36" s="73"/>
      <c r="VEW36" s="73"/>
      <c r="VEX36" s="73"/>
      <c r="VEY36" s="73"/>
      <c r="VEZ36" s="73"/>
      <c r="VFA36" s="73"/>
      <c r="VFB36" s="73"/>
      <c r="VFC36" s="73"/>
      <c r="VFD36" s="73"/>
      <c r="VFE36" s="73"/>
      <c r="VFF36" s="73"/>
      <c r="VFG36" s="73"/>
      <c r="VFH36" s="73"/>
      <c r="VFI36" s="73"/>
      <c r="VFJ36" s="73"/>
      <c r="VFK36" s="73"/>
      <c r="VFL36" s="73"/>
      <c r="VFM36" s="73"/>
      <c r="VFN36" s="73"/>
      <c r="VFO36" s="73"/>
      <c r="VFP36" s="73"/>
      <c r="VFQ36" s="73"/>
      <c r="VFR36" s="73"/>
      <c r="VFS36" s="73"/>
      <c r="VFT36" s="73"/>
      <c r="VFU36" s="73"/>
      <c r="VFV36" s="73"/>
      <c r="VFW36" s="73"/>
      <c r="VFX36" s="73"/>
      <c r="VFY36" s="73"/>
      <c r="VFZ36" s="73"/>
      <c r="VGA36" s="73"/>
      <c r="VGB36" s="73"/>
      <c r="VGC36" s="73"/>
      <c r="VGD36" s="73"/>
      <c r="VGE36" s="73"/>
      <c r="VGF36" s="73"/>
      <c r="VGG36" s="73"/>
      <c r="VGH36" s="73"/>
      <c r="VGI36" s="73"/>
      <c r="VGJ36" s="73"/>
      <c r="VGK36" s="73"/>
      <c r="VGL36" s="73"/>
      <c r="VGM36" s="73"/>
      <c r="VGN36" s="73"/>
      <c r="VGO36" s="73"/>
      <c r="VGP36" s="73"/>
      <c r="VGQ36" s="73"/>
      <c r="VGR36" s="73"/>
      <c r="VGS36" s="73"/>
      <c r="VGT36" s="73"/>
      <c r="VGU36" s="73"/>
      <c r="VGV36" s="73"/>
      <c r="VGW36" s="73"/>
      <c r="VGX36" s="73"/>
      <c r="VGY36" s="73"/>
      <c r="VGZ36" s="73"/>
      <c r="VHA36" s="73"/>
      <c r="VHB36" s="73"/>
      <c r="VHC36" s="73"/>
      <c r="VHD36" s="73"/>
      <c r="VHE36" s="73"/>
      <c r="VHF36" s="73"/>
      <c r="VHG36" s="73"/>
      <c r="VHH36" s="73"/>
      <c r="VHI36" s="73"/>
      <c r="VHJ36" s="73"/>
      <c r="VHK36" s="73"/>
      <c r="VHL36" s="73"/>
      <c r="VHM36" s="73"/>
      <c r="VHN36" s="73"/>
      <c r="VHO36" s="73"/>
      <c r="VHP36" s="73"/>
      <c r="VHQ36" s="73"/>
      <c r="VHR36" s="73"/>
      <c r="VHS36" s="73"/>
      <c r="VHT36" s="73"/>
      <c r="VHU36" s="73"/>
      <c r="VHV36" s="73"/>
      <c r="VHW36" s="73"/>
      <c r="VHX36" s="73"/>
      <c r="VHY36" s="73"/>
      <c r="VHZ36" s="73"/>
      <c r="VIA36" s="73"/>
      <c r="VIB36" s="73"/>
      <c r="VIC36" s="73"/>
      <c r="VID36" s="73"/>
      <c r="VIE36" s="73"/>
      <c r="VIF36" s="73"/>
      <c r="VIG36" s="73"/>
      <c r="VIH36" s="73"/>
      <c r="VII36" s="73"/>
      <c r="VIJ36" s="73"/>
      <c r="VIK36" s="73"/>
      <c r="VIL36" s="73"/>
      <c r="VIM36" s="73"/>
      <c r="VIN36" s="73"/>
      <c r="VIO36" s="73"/>
      <c r="VIP36" s="73"/>
      <c r="VIQ36" s="73"/>
      <c r="VIR36" s="73"/>
      <c r="VIS36" s="73"/>
      <c r="VIT36" s="73"/>
      <c r="VIU36" s="73"/>
      <c r="VIV36" s="73"/>
      <c r="VIW36" s="73"/>
      <c r="VIX36" s="73"/>
      <c r="VIY36" s="73"/>
      <c r="VIZ36" s="73"/>
      <c r="VJA36" s="73"/>
      <c r="VJB36" s="73"/>
      <c r="VJC36" s="73"/>
      <c r="VJD36" s="73"/>
      <c r="VJE36" s="73"/>
      <c r="VJF36" s="73"/>
      <c r="VJG36" s="73"/>
      <c r="VJH36" s="73"/>
      <c r="VJI36" s="73"/>
      <c r="VJJ36" s="73"/>
      <c r="VJK36" s="73"/>
      <c r="VJL36" s="73"/>
      <c r="VJM36" s="73"/>
      <c r="VJN36" s="73"/>
      <c r="VJO36" s="73"/>
      <c r="VJP36" s="73"/>
      <c r="VJQ36" s="73"/>
      <c r="VJR36" s="73"/>
      <c r="VJS36" s="73"/>
      <c r="VJT36" s="73"/>
      <c r="VJU36" s="73"/>
      <c r="VJV36" s="73"/>
      <c r="VJW36" s="73"/>
      <c r="VJX36" s="73"/>
      <c r="VJY36" s="73"/>
      <c r="VJZ36" s="73"/>
      <c r="VKA36" s="73"/>
      <c r="VKB36" s="73"/>
      <c r="VKC36" s="73"/>
      <c r="VKD36" s="73"/>
      <c r="VKE36" s="73"/>
      <c r="VKF36" s="73"/>
      <c r="VKG36" s="73"/>
      <c r="VKH36" s="73"/>
      <c r="VKI36" s="73"/>
      <c r="VKJ36" s="73"/>
      <c r="VKK36" s="73"/>
      <c r="VKL36" s="73"/>
      <c r="VKM36" s="73"/>
      <c r="VKN36" s="73"/>
      <c r="VKO36" s="73"/>
      <c r="VKP36" s="73"/>
      <c r="VKQ36" s="73"/>
      <c r="VKR36" s="73"/>
      <c r="VKS36" s="73"/>
      <c r="VKT36" s="73"/>
      <c r="VKU36" s="73"/>
      <c r="VKV36" s="73"/>
      <c r="VKW36" s="73"/>
      <c r="VKX36" s="73"/>
      <c r="VKY36" s="73"/>
      <c r="VKZ36" s="73"/>
      <c r="VLA36" s="73"/>
      <c r="VLB36" s="73"/>
      <c r="VLC36" s="73"/>
      <c r="VLD36" s="73"/>
      <c r="VLE36" s="73"/>
      <c r="VLF36" s="73"/>
      <c r="VLG36" s="73"/>
      <c r="VLH36" s="73"/>
      <c r="VLI36" s="73"/>
      <c r="VLJ36" s="73"/>
      <c r="VLK36" s="73"/>
      <c r="VLL36" s="73"/>
      <c r="VLM36" s="73"/>
      <c r="VLN36" s="73"/>
      <c r="VLO36" s="73"/>
      <c r="VLP36" s="73"/>
      <c r="VLQ36" s="73"/>
      <c r="VLR36" s="73"/>
      <c r="VLS36" s="73"/>
      <c r="VLT36" s="73"/>
      <c r="VLU36" s="73"/>
      <c r="VLV36" s="73"/>
      <c r="VLW36" s="73"/>
      <c r="VLX36" s="73"/>
      <c r="VLY36" s="73"/>
      <c r="VLZ36" s="73"/>
      <c r="VMA36" s="73"/>
      <c r="VMB36" s="73"/>
      <c r="VMC36" s="73"/>
      <c r="VMD36" s="73"/>
      <c r="VME36" s="73"/>
      <c r="VMF36" s="73"/>
      <c r="VMG36" s="73"/>
      <c r="VMH36" s="73"/>
      <c r="VMI36" s="73"/>
      <c r="VMJ36" s="73"/>
      <c r="VMK36" s="73"/>
      <c r="VML36" s="73"/>
      <c r="VMM36" s="73"/>
      <c r="VMN36" s="73"/>
      <c r="VMO36" s="73"/>
      <c r="VMP36" s="73"/>
      <c r="VMQ36" s="73"/>
      <c r="VMR36" s="73"/>
      <c r="VMS36" s="73"/>
      <c r="VMT36" s="73"/>
      <c r="VMU36" s="73"/>
      <c r="VMV36" s="73"/>
      <c r="VMW36" s="73"/>
      <c r="VMX36" s="73"/>
      <c r="VMY36" s="73"/>
      <c r="VMZ36" s="73"/>
      <c r="VNA36" s="73"/>
      <c r="VNB36" s="73"/>
      <c r="VNC36" s="73"/>
      <c r="VND36" s="73"/>
      <c r="VNE36" s="73"/>
      <c r="VNF36" s="73"/>
      <c r="VNG36" s="73"/>
      <c r="VNH36" s="73"/>
      <c r="VNI36" s="73"/>
      <c r="VNJ36" s="73"/>
      <c r="VNK36" s="73"/>
      <c r="VNL36" s="73"/>
      <c r="VNM36" s="73"/>
      <c r="VNN36" s="73"/>
      <c r="VNO36" s="73"/>
      <c r="VNP36" s="73"/>
      <c r="VNQ36" s="73"/>
      <c r="VNR36" s="73"/>
      <c r="VNS36" s="73"/>
      <c r="VNT36" s="73"/>
      <c r="VNU36" s="73"/>
      <c r="VNV36" s="73"/>
      <c r="VNW36" s="73"/>
      <c r="VNX36" s="73"/>
      <c r="VNY36" s="73"/>
      <c r="VNZ36" s="73"/>
      <c r="VOA36" s="73"/>
      <c r="VOB36" s="73"/>
      <c r="VOC36" s="73"/>
      <c r="VOD36" s="73"/>
      <c r="VOE36" s="73"/>
      <c r="VOF36" s="73"/>
      <c r="VOG36" s="73"/>
      <c r="VOH36" s="73"/>
      <c r="VOI36" s="73"/>
      <c r="VOJ36" s="73"/>
      <c r="VOK36" s="73"/>
      <c r="VOL36" s="73"/>
      <c r="VOM36" s="73"/>
      <c r="VON36" s="73"/>
      <c r="VOO36" s="73"/>
      <c r="VOP36" s="73"/>
      <c r="VOQ36" s="73"/>
      <c r="VOR36" s="73"/>
      <c r="VOS36" s="73"/>
      <c r="VOT36" s="73"/>
      <c r="VOU36" s="73"/>
      <c r="VOV36" s="73"/>
      <c r="VOW36" s="73"/>
      <c r="VOX36" s="73"/>
      <c r="VOY36" s="73"/>
      <c r="VOZ36" s="73"/>
      <c r="VPA36" s="73"/>
      <c r="VPB36" s="73"/>
      <c r="VPC36" s="73"/>
      <c r="VPD36" s="73"/>
      <c r="VPE36" s="73"/>
      <c r="VPF36" s="73"/>
      <c r="VPG36" s="73"/>
      <c r="VPH36" s="73"/>
      <c r="VPI36" s="73"/>
      <c r="VPJ36" s="73"/>
      <c r="VPK36" s="73"/>
      <c r="VPL36" s="73"/>
      <c r="VPM36" s="73"/>
      <c r="VPN36" s="73"/>
      <c r="VPO36" s="73"/>
      <c r="VPP36" s="73"/>
      <c r="VPQ36" s="73"/>
      <c r="VPR36" s="73"/>
      <c r="VPS36" s="73"/>
      <c r="VPT36" s="73"/>
      <c r="VPU36" s="73"/>
      <c r="VPV36" s="73"/>
      <c r="VPW36" s="73"/>
      <c r="VPX36" s="73"/>
      <c r="VPY36" s="73"/>
      <c r="VPZ36" s="73"/>
      <c r="VQA36" s="73"/>
      <c r="VQB36" s="73"/>
      <c r="VQC36" s="73"/>
      <c r="VQD36" s="73"/>
      <c r="VQE36" s="73"/>
      <c r="VQF36" s="73"/>
      <c r="VQG36" s="73"/>
      <c r="VQH36" s="73"/>
      <c r="VQI36" s="73"/>
      <c r="VQJ36" s="73"/>
      <c r="VQK36" s="73"/>
      <c r="VQL36" s="73"/>
      <c r="VQM36" s="73"/>
      <c r="VQN36" s="73"/>
      <c r="VQO36" s="73"/>
      <c r="VQP36" s="73"/>
      <c r="VQQ36" s="73"/>
      <c r="VQR36" s="73"/>
      <c r="VQS36" s="73"/>
      <c r="VQT36" s="73"/>
      <c r="VQU36" s="73"/>
      <c r="VQV36" s="73"/>
      <c r="VQW36" s="73"/>
      <c r="VQX36" s="73"/>
      <c r="VQY36" s="73"/>
      <c r="VQZ36" s="73"/>
      <c r="VRA36" s="73"/>
      <c r="VRB36" s="73"/>
      <c r="VRC36" s="73"/>
      <c r="VRD36" s="73"/>
      <c r="VRE36" s="73"/>
      <c r="VRF36" s="73"/>
      <c r="VRG36" s="73"/>
      <c r="VRH36" s="73"/>
      <c r="VRI36" s="73"/>
      <c r="VRJ36" s="73"/>
      <c r="VRK36" s="73"/>
      <c r="VRL36" s="73"/>
      <c r="VRM36" s="73"/>
      <c r="VRN36" s="73"/>
      <c r="VRO36" s="73"/>
      <c r="VRP36" s="73"/>
      <c r="VRQ36" s="73"/>
      <c r="VRR36" s="73"/>
      <c r="VRS36" s="73"/>
      <c r="VRT36" s="73"/>
      <c r="VRU36" s="73"/>
      <c r="VRV36" s="73"/>
      <c r="VRW36" s="73"/>
      <c r="VRX36" s="73"/>
      <c r="VRY36" s="73"/>
      <c r="VRZ36" s="73"/>
      <c r="VSA36" s="73"/>
      <c r="VSB36" s="73"/>
      <c r="VSC36" s="73"/>
      <c r="VSD36" s="73"/>
      <c r="VSE36" s="73"/>
      <c r="VSF36" s="73"/>
      <c r="VSG36" s="73"/>
      <c r="VSH36" s="73"/>
      <c r="VSI36" s="73"/>
      <c r="VSJ36" s="73"/>
      <c r="VSK36" s="73"/>
      <c r="VSL36" s="73"/>
      <c r="VSM36" s="73"/>
      <c r="VSN36" s="73"/>
      <c r="VSO36" s="73"/>
      <c r="VSP36" s="73"/>
      <c r="VSQ36" s="73"/>
      <c r="VSR36" s="73"/>
      <c r="VSS36" s="73"/>
      <c r="VST36" s="73"/>
      <c r="VSU36" s="73"/>
      <c r="VSV36" s="73"/>
      <c r="VSW36" s="73"/>
      <c r="VSX36" s="73"/>
      <c r="VSY36" s="73"/>
      <c r="VSZ36" s="73"/>
      <c r="VTA36" s="73"/>
      <c r="VTB36" s="73"/>
      <c r="VTC36" s="73"/>
      <c r="VTD36" s="73"/>
      <c r="VTE36" s="73"/>
      <c r="VTF36" s="73"/>
      <c r="VTG36" s="73"/>
      <c r="VTH36" s="73"/>
      <c r="VTI36" s="73"/>
      <c r="VTJ36" s="73"/>
      <c r="VTK36" s="73"/>
      <c r="VTL36" s="73"/>
      <c r="VTM36" s="73"/>
      <c r="VTN36" s="73"/>
      <c r="VTO36" s="73"/>
      <c r="VTP36" s="73"/>
      <c r="VTQ36" s="73"/>
      <c r="VTR36" s="73"/>
      <c r="VTS36" s="73"/>
      <c r="VTT36" s="73"/>
      <c r="VTU36" s="73"/>
      <c r="VTV36" s="73"/>
      <c r="VTW36" s="73"/>
      <c r="VTX36" s="73"/>
      <c r="VTY36" s="73"/>
      <c r="VTZ36" s="73"/>
      <c r="VUA36" s="73"/>
      <c r="VUB36" s="73"/>
      <c r="VUC36" s="73"/>
      <c r="VUD36" s="73"/>
      <c r="VUE36" s="73"/>
      <c r="VUF36" s="73"/>
      <c r="VUG36" s="73"/>
      <c r="VUH36" s="73"/>
      <c r="VUI36" s="73"/>
      <c r="VUJ36" s="73"/>
      <c r="VUK36" s="73"/>
      <c r="VUL36" s="73"/>
      <c r="VUM36" s="73"/>
      <c r="VUN36" s="73"/>
      <c r="VUO36" s="73"/>
      <c r="VUP36" s="73"/>
      <c r="VUQ36" s="73"/>
      <c r="VUR36" s="73"/>
      <c r="VUS36" s="73"/>
      <c r="VUT36" s="73"/>
      <c r="VUU36" s="73"/>
      <c r="VUV36" s="73"/>
      <c r="VUW36" s="73"/>
      <c r="VUX36" s="73"/>
      <c r="VUY36" s="73"/>
      <c r="VUZ36" s="73"/>
      <c r="VVA36" s="73"/>
      <c r="VVB36" s="73"/>
      <c r="VVC36" s="73"/>
      <c r="VVD36" s="73"/>
      <c r="VVE36" s="73"/>
      <c r="VVF36" s="73"/>
      <c r="VVG36" s="73"/>
      <c r="VVH36" s="73"/>
      <c r="VVI36" s="73"/>
      <c r="VVJ36" s="73"/>
      <c r="VVK36" s="73"/>
      <c r="VVL36" s="73"/>
      <c r="VVM36" s="73"/>
      <c r="VVN36" s="73"/>
      <c r="VVO36" s="73"/>
      <c r="VVP36" s="73"/>
      <c r="VVQ36" s="73"/>
      <c r="VVR36" s="73"/>
      <c r="VVS36" s="73"/>
      <c r="VVT36" s="73"/>
      <c r="VVU36" s="73"/>
      <c r="VVV36" s="73"/>
      <c r="VVW36" s="73"/>
      <c r="VVX36" s="73"/>
      <c r="VVY36" s="73"/>
      <c r="VVZ36" s="73"/>
      <c r="VWA36" s="73"/>
      <c r="VWB36" s="73"/>
      <c r="VWC36" s="73"/>
      <c r="VWD36" s="73"/>
      <c r="VWE36" s="73"/>
      <c r="VWF36" s="73"/>
      <c r="VWG36" s="73"/>
      <c r="VWH36" s="73"/>
      <c r="VWI36" s="73"/>
      <c r="VWJ36" s="73"/>
      <c r="VWK36" s="73"/>
      <c r="VWL36" s="73"/>
      <c r="VWM36" s="73"/>
      <c r="VWN36" s="73"/>
      <c r="VWO36" s="73"/>
      <c r="VWP36" s="73"/>
      <c r="VWQ36" s="73"/>
      <c r="VWR36" s="73"/>
      <c r="VWS36" s="73"/>
      <c r="VWT36" s="73"/>
      <c r="VWU36" s="73"/>
      <c r="VWV36" s="73"/>
      <c r="VWW36" s="73"/>
      <c r="VWX36" s="73"/>
      <c r="VWY36" s="73"/>
      <c r="VWZ36" s="73"/>
      <c r="VXA36" s="73"/>
      <c r="VXB36" s="73"/>
      <c r="VXC36" s="73"/>
      <c r="VXD36" s="73"/>
      <c r="VXE36" s="73"/>
      <c r="VXF36" s="73"/>
      <c r="VXG36" s="73"/>
      <c r="VXH36" s="73"/>
      <c r="VXI36" s="73"/>
      <c r="VXJ36" s="73"/>
      <c r="VXK36" s="73"/>
      <c r="VXL36" s="73"/>
      <c r="VXM36" s="73"/>
      <c r="VXN36" s="73"/>
      <c r="VXO36" s="73"/>
      <c r="VXP36" s="73"/>
      <c r="VXQ36" s="73"/>
      <c r="VXR36" s="73"/>
      <c r="VXS36" s="73"/>
      <c r="VXT36" s="73"/>
      <c r="VXU36" s="73"/>
      <c r="VXV36" s="73"/>
      <c r="VXW36" s="73"/>
      <c r="VXX36" s="73"/>
      <c r="VXY36" s="73"/>
      <c r="VXZ36" s="73"/>
      <c r="VYA36" s="73"/>
      <c r="VYB36" s="73"/>
      <c r="VYC36" s="73"/>
      <c r="VYD36" s="73"/>
      <c r="VYE36" s="73"/>
      <c r="VYF36" s="73"/>
      <c r="VYG36" s="73"/>
      <c r="VYH36" s="73"/>
      <c r="VYI36" s="73"/>
      <c r="VYJ36" s="73"/>
      <c r="VYK36" s="73"/>
      <c r="VYL36" s="73"/>
      <c r="VYM36" s="73"/>
      <c r="VYN36" s="73"/>
      <c r="VYO36" s="73"/>
      <c r="VYP36" s="73"/>
      <c r="VYQ36" s="73"/>
      <c r="VYR36" s="73"/>
      <c r="VYS36" s="73"/>
      <c r="VYT36" s="73"/>
      <c r="VYU36" s="73"/>
      <c r="VYV36" s="73"/>
      <c r="VYW36" s="73"/>
      <c r="VYX36" s="73"/>
      <c r="VYY36" s="73"/>
      <c r="VYZ36" s="73"/>
      <c r="VZA36" s="73"/>
      <c r="VZB36" s="73"/>
      <c r="VZC36" s="73"/>
      <c r="VZD36" s="73"/>
      <c r="VZE36" s="73"/>
      <c r="VZF36" s="73"/>
      <c r="VZG36" s="73"/>
      <c r="VZH36" s="73"/>
      <c r="VZI36" s="73"/>
      <c r="VZJ36" s="73"/>
      <c r="VZK36" s="73"/>
      <c r="VZL36" s="73"/>
      <c r="VZM36" s="73"/>
      <c r="VZN36" s="73"/>
      <c r="VZO36" s="73"/>
      <c r="VZP36" s="73"/>
      <c r="VZQ36" s="73"/>
      <c r="VZR36" s="73"/>
      <c r="VZS36" s="73"/>
      <c r="VZT36" s="73"/>
      <c r="VZU36" s="73"/>
      <c r="VZV36" s="73"/>
      <c r="VZW36" s="73"/>
      <c r="VZX36" s="73"/>
      <c r="VZY36" s="73"/>
      <c r="VZZ36" s="73"/>
      <c r="WAA36" s="73"/>
      <c r="WAB36" s="73"/>
      <c r="WAC36" s="73"/>
      <c r="WAD36" s="73"/>
      <c r="WAE36" s="73"/>
      <c r="WAF36" s="73"/>
      <c r="WAG36" s="73"/>
      <c r="WAH36" s="73"/>
      <c r="WAI36" s="73"/>
      <c r="WAJ36" s="73"/>
      <c r="WAK36" s="73"/>
      <c r="WAL36" s="73"/>
      <c r="WAM36" s="73"/>
      <c r="WAN36" s="73"/>
      <c r="WAO36" s="73"/>
      <c r="WAP36" s="73"/>
      <c r="WAQ36" s="73"/>
      <c r="WAR36" s="73"/>
      <c r="WAS36" s="73"/>
      <c r="WAT36" s="73"/>
      <c r="WAU36" s="73"/>
      <c r="WAV36" s="73"/>
      <c r="WAW36" s="73"/>
      <c r="WAX36" s="73"/>
      <c r="WAY36" s="73"/>
      <c r="WAZ36" s="73"/>
      <c r="WBA36" s="73"/>
      <c r="WBB36" s="73"/>
      <c r="WBC36" s="73"/>
      <c r="WBD36" s="73"/>
      <c r="WBE36" s="73"/>
      <c r="WBF36" s="73"/>
      <c r="WBG36" s="73"/>
      <c r="WBH36" s="73"/>
      <c r="WBI36" s="73"/>
      <c r="WBJ36" s="73"/>
      <c r="WBK36" s="73"/>
      <c r="WBL36" s="73"/>
      <c r="WBM36" s="73"/>
      <c r="WBN36" s="73"/>
      <c r="WBO36" s="73"/>
      <c r="WBP36" s="73"/>
      <c r="WBQ36" s="73"/>
      <c r="WBR36" s="73"/>
      <c r="WBS36" s="73"/>
      <c r="WBT36" s="73"/>
      <c r="WBU36" s="73"/>
      <c r="WBV36" s="73"/>
      <c r="WBW36" s="73"/>
      <c r="WBX36" s="73"/>
      <c r="WBY36" s="73"/>
      <c r="WBZ36" s="73"/>
      <c r="WCA36" s="73"/>
      <c r="WCB36" s="73"/>
      <c r="WCC36" s="73"/>
      <c r="WCD36" s="73"/>
      <c r="WCE36" s="73"/>
      <c r="WCF36" s="73"/>
      <c r="WCG36" s="73"/>
      <c r="WCH36" s="73"/>
      <c r="WCI36" s="73"/>
      <c r="WCJ36" s="73"/>
      <c r="WCK36" s="73"/>
      <c r="WCL36" s="73"/>
      <c r="WCM36" s="73"/>
      <c r="WCN36" s="73"/>
      <c r="WCO36" s="73"/>
      <c r="WCP36" s="73"/>
      <c r="WCQ36" s="73"/>
      <c r="WCR36" s="73"/>
      <c r="WCS36" s="73"/>
      <c r="WCT36" s="73"/>
      <c r="WCU36" s="73"/>
      <c r="WCV36" s="73"/>
      <c r="WCW36" s="73"/>
      <c r="WCX36" s="73"/>
      <c r="WCY36" s="73"/>
      <c r="WCZ36" s="73"/>
      <c r="WDA36" s="73"/>
      <c r="WDB36" s="73"/>
      <c r="WDC36" s="73"/>
      <c r="WDD36" s="73"/>
      <c r="WDE36" s="73"/>
      <c r="WDF36" s="73"/>
      <c r="WDG36" s="73"/>
      <c r="WDH36" s="73"/>
      <c r="WDI36" s="73"/>
      <c r="WDJ36" s="73"/>
      <c r="WDK36" s="73"/>
      <c r="WDL36" s="73"/>
      <c r="WDM36" s="73"/>
      <c r="WDN36" s="73"/>
      <c r="WDO36" s="73"/>
      <c r="WDP36" s="73"/>
      <c r="WDQ36" s="73"/>
      <c r="WDR36" s="73"/>
      <c r="WDS36" s="73"/>
      <c r="WDT36" s="73"/>
      <c r="WDU36" s="73"/>
      <c r="WDV36" s="73"/>
      <c r="WDW36" s="73"/>
      <c r="WDX36" s="73"/>
      <c r="WDY36" s="73"/>
      <c r="WDZ36" s="73"/>
      <c r="WEA36" s="73"/>
      <c r="WEB36" s="73"/>
      <c r="WEC36" s="73"/>
      <c r="WED36" s="73"/>
      <c r="WEE36" s="73"/>
      <c r="WEF36" s="73"/>
      <c r="WEG36" s="73"/>
      <c r="WEH36" s="73"/>
      <c r="WEI36" s="73"/>
      <c r="WEJ36" s="73"/>
      <c r="WEK36" s="73"/>
      <c r="WEL36" s="73"/>
      <c r="WEM36" s="73"/>
      <c r="WEN36" s="73"/>
      <c r="WEO36" s="73"/>
      <c r="WEP36" s="73"/>
      <c r="WEQ36" s="73"/>
      <c r="WER36" s="73"/>
      <c r="WES36" s="73"/>
      <c r="WET36" s="73"/>
      <c r="WEU36" s="73"/>
      <c r="WEV36" s="73"/>
      <c r="WEW36" s="73"/>
      <c r="WEX36" s="73"/>
      <c r="WEY36" s="73"/>
      <c r="WEZ36" s="73"/>
      <c r="WFA36" s="73"/>
      <c r="WFB36" s="73"/>
      <c r="WFC36" s="73"/>
      <c r="WFD36" s="73"/>
      <c r="WFE36" s="73"/>
      <c r="WFF36" s="73"/>
      <c r="WFG36" s="73"/>
      <c r="WFH36" s="73"/>
      <c r="WFI36" s="73"/>
      <c r="WFJ36" s="73"/>
      <c r="WFK36" s="73"/>
      <c r="WFL36" s="73"/>
      <c r="WFM36" s="73"/>
      <c r="WFN36" s="73"/>
      <c r="WFO36" s="73"/>
      <c r="WFP36" s="73"/>
      <c r="WFQ36" s="73"/>
      <c r="WFR36" s="73"/>
      <c r="WFS36" s="73"/>
      <c r="WFT36" s="73"/>
      <c r="WFU36" s="73"/>
      <c r="WFV36" s="73"/>
      <c r="WFW36" s="73"/>
      <c r="WFX36" s="73"/>
      <c r="WFY36" s="73"/>
      <c r="WFZ36" s="73"/>
      <c r="WGA36" s="73"/>
      <c r="WGB36" s="73"/>
      <c r="WGC36" s="73"/>
      <c r="WGD36" s="73"/>
      <c r="WGE36" s="73"/>
      <c r="WGF36" s="73"/>
      <c r="WGG36" s="73"/>
      <c r="WGH36" s="73"/>
      <c r="WGI36" s="73"/>
      <c r="WGJ36" s="73"/>
      <c r="WGK36" s="73"/>
      <c r="WGL36" s="73"/>
      <c r="WGM36" s="73"/>
      <c r="WGN36" s="73"/>
      <c r="WGO36" s="73"/>
      <c r="WGP36" s="73"/>
      <c r="WGQ36" s="73"/>
      <c r="WGR36" s="73"/>
      <c r="WGS36" s="73"/>
      <c r="WGT36" s="73"/>
      <c r="WGU36" s="73"/>
      <c r="WGV36" s="73"/>
      <c r="WGW36" s="73"/>
      <c r="WGX36" s="73"/>
      <c r="WGY36" s="73"/>
      <c r="WGZ36" s="73"/>
      <c r="WHA36" s="73"/>
      <c r="WHB36" s="73"/>
      <c r="WHC36" s="73"/>
      <c r="WHD36" s="73"/>
      <c r="WHE36" s="73"/>
      <c r="WHF36" s="73"/>
      <c r="WHG36" s="73"/>
      <c r="WHH36" s="73"/>
      <c r="WHI36" s="73"/>
      <c r="WHJ36" s="73"/>
      <c r="WHK36" s="73"/>
      <c r="WHL36" s="73"/>
      <c r="WHM36" s="73"/>
      <c r="WHN36" s="73"/>
      <c r="WHO36" s="73"/>
      <c r="WHP36" s="73"/>
      <c r="WHQ36" s="73"/>
      <c r="WHR36" s="73"/>
      <c r="WHS36" s="73"/>
      <c r="WHT36" s="73"/>
      <c r="WHU36" s="73"/>
      <c r="WHV36" s="73"/>
      <c r="WHW36" s="73"/>
      <c r="WHX36" s="73"/>
      <c r="WHY36" s="73"/>
      <c r="WHZ36" s="73"/>
      <c r="WIA36" s="73"/>
      <c r="WIB36" s="73"/>
      <c r="WIC36" s="73"/>
      <c r="WID36" s="73"/>
      <c r="WIE36" s="73"/>
      <c r="WIF36" s="73"/>
      <c r="WIG36" s="73"/>
      <c r="WIH36" s="73"/>
      <c r="WII36" s="73"/>
      <c r="WIJ36" s="73"/>
      <c r="WIK36" s="73"/>
      <c r="WIL36" s="73"/>
      <c r="WIM36" s="73"/>
      <c r="WIN36" s="73"/>
      <c r="WIO36" s="73"/>
      <c r="WIP36" s="73"/>
      <c r="WIQ36" s="73"/>
      <c r="WIR36" s="73"/>
      <c r="WIS36" s="73"/>
      <c r="WIT36" s="73"/>
      <c r="WIU36" s="73"/>
      <c r="WIV36" s="73"/>
      <c r="WIW36" s="73"/>
      <c r="WIX36" s="73"/>
      <c r="WIY36" s="73"/>
      <c r="WIZ36" s="73"/>
      <c r="WJA36" s="73"/>
      <c r="WJB36" s="73"/>
      <c r="WJC36" s="73"/>
      <c r="WJD36" s="73"/>
      <c r="WJE36" s="73"/>
      <c r="WJF36" s="73"/>
      <c r="WJG36" s="73"/>
      <c r="WJH36" s="73"/>
      <c r="WJI36" s="73"/>
      <c r="WJJ36" s="73"/>
      <c r="WJK36" s="73"/>
      <c r="WJL36" s="73"/>
      <c r="WJM36" s="73"/>
      <c r="WJN36" s="73"/>
      <c r="WJO36" s="73"/>
      <c r="WJP36" s="73"/>
      <c r="WJQ36" s="73"/>
      <c r="WJR36" s="73"/>
      <c r="WJS36" s="73"/>
      <c r="WJT36" s="73"/>
      <c r="WJU36" s="73"/>
      <c r="WJV36" s="73"/>
      <c r="WJW36" s="73"/>
      <c r="WJX36" s="73"/>
      <c r="WJY36" s="73"/>
      <c r="WJZ36" s="73"/>
      <c r="WKA36" s="73"/>
      <c r="WKB36" s="73"/>
      <c r="WKC36" s="73"/>
      <c r="WKD36" s="73"/>
      <c r="WKE36" s="73"/>
      <c r="WKF36" s="73"/>
      <c r="WKG36" s="73"/>
      <c r="WKH36" s="73"/>
      <c r="WKI36" s="73"/>
      <c r="WKJ36" s="73"/>
      <c r="WKK36" s="73"/>
      <c r="WKL36" s="73"/>
      <c r="WKM36" s="73"/>
      <c r="WKN36" s="73"/>
      <c r="WKO36" s="73"/>
      <c r="WKP36" s="73"/>
      <c r="WKQ36" s="73"/>
      <c r="WKR36" s="73"/>
      <c r="WKS36" s="73"/>
      <c r="WKT36" s="73"/>
      <c r="WKU36" s="73"/>
      <c r="WKV36" s="73"/>
      <c r="WKW36" s="73"/>
      <c r="WKX36" s="73"/>
      <c r="WKY36" s="73"/>
      <c r="WKZ36" s="73"/>
      <c r="WLA36" s="73"/>
      <c r="WLB36" s="73"/>
      <c r="WLC36" s="73"/>
      <c r="WLD36" s="73"/>
      <c r="WLE36" s="73"/>
      <c r="WLF36" s="73"/>
      <c r="WLG36" s="73"/>
      <c r="WLH36" s="73"/>
      <c r="WLI36" s="73"/>
      <c r="WLJ36" s="73"/>
      <c r="WLK36" s="73"/>
      <c r="WLL36" s="73"/>
      <c r="WLM36" s="73"/>
      <c r="WLN36" s="73"/>
      <c r="WLO36" s="73"/>
      <c r="WLP36" s="73"/>
      <c r="WLQ36" s="73"/>
      <c r="WLR36" s="73"/>
      <c r="WLS36" s="73"/>
      <c r="WLT36" s="73"/>
      <c r="WLU36" s="73"/>
      <c r="WLV36" s="73"/>
      <c r="WLW36" s="73"/>
      <c r="WLX36" s="73"/>
      <c r="WLY36" s="73"/>
      <c r="WLZ36" s="73"/>
      <c r="WMA36" s="73"/>
      <c r="WMB36" s="73"/>
      <c r="WMC36" s="73"/>
      <c r="WMD36" s="73"/>
      <c r="WME36" s="73"/>
      <c r="WMF36" s="73"/>
      <c r="WMG36" s="73"/>
      <c r="WMH36" s="73"/>
      <c r="WMI36" s="73"/>
      <c r="WMJ36" s="73"/>
      <c r="WMK36" s="73"/>
      <c r="WML36" s="73"/>
      <c r="WMM36" s="73"/>
      <c r="WMN36" s="73"/>
      <c r="WMO36" s="73"/>
      <c r="WMP36" s="73"/>
      <c r="WMQ36" s="73"/>
      <c r="WMR36" s="73"/>
      <c r="WMS36" s="73"/>
      <c r="WMT36" s="73"/>
      <c r="WMU36" s="73"/>
      <c r="WMV36" s="73"/>
      <c r="WMW36" s="73"/>
      <c r="WMX36" s="73"/>
      <c r="WMY36" s="73"/>
      <c r="WMZ36" s="73"/>
      <c r="WNA36" s="73"/>
      <c r="WNB36" s="73"/>
      <c r="WNC36" s="73"/>
      <c r="WND36" s="73"/>
      <c r="WNE36" s="73"/>
      <c r="WNF36" s="73"/>
      <c r="WNG36" s="73"/>
      <c r="WNH36" s="73"/>
      <c r="WNI36" s="73"/>
      <c r="WNJ36" s="73"/>
      <c r="WNK36" s="73"/>
      <c r="WNL36" s="73"/>
      <c r="WNM36" s="73"/>
      <c r="WNN36" s="73"/>
      <c r="WNO36" s="73"/>
      <c r="WNP36" s="73"/>
      <c r="WNQ36" s="73"/>
      <c r="WNR36" s="73"/>
      <c r="WNS36" s="73"/>
      <c r="WNT36" s="73"/>
      <c r="WNU36" s="73"/>
      <c r="WNV36" s="73"/>
      <c r="WNW36" s="73"/>
      <c r="WNX36" s="73"/>
      <c r="WNY36" s="73"/>
      <c r="WNZ36" s="73"/>
      <c r="WOA36" s="73"/>
      <c r="WOB36" s="73"/>
      <c r="WOC36" s="73"/>
      <c r="WOD36" s="73"/>
      <c r="WOE36" s="73"/>
      <c r="WOF36" s="73"/>
      <c r="WOG36" s="73"/>
      <c r="WOH36" s="73"/>
      <c r="WOI36" s="73"/>
      <c r="WOJ36" s="73"/>
      <c r="WOK36" s="73"/>
      <c r="WOL36" s="73"/>
      <c r="WOM36" s="73"/>
      <c r="WON36" s="73"/>
      <c r="WOO36" s="73"/>
      <c r="WOP36" s="73"/>
      <c r="WOQ36" s="73"/>
      <c r="WOR36" s="73"/>
      <c r="WOS36" s="73"/>
      <c r="WOT36" s="73"/>
      <c r="WOU36" s="73"/>
      <c r="WOV36" s="73"/>
      <c r="WOW36" s="73"/>
      <c r="WOX36" s="73"/>
      <c r="WOY36" s="73"/>
      <c r="WOZ36" s="73"/>
      <c r="WPA36" s="73"/>
      <c r="WPB36" s="73"/>
      <c r="WPC36" s="73"/>
      <c r="WPD36" s="73"/>
      <c r="WPE36" s="73"/>
      <c r="WPF36" s="73"/>
      <c r="WPG36" s="73"/>
      <c r="WPH36" s="73"/>
      <c r="WPI36" s="73"/>
      <c r="WPJ36" s="73"/>
      <c r="WPK36" s="73"/>
      <c r="WPL36" s="73"/>
      <c r="WPM36" s="73"/>
      <c r="WPN36" s="73"/>
      <c r="WPO36" s="73"/>
      <c r="WPP36" s="73"/>
      <c r="WPQ36" s="73"/>
      <c r="WPR36" s="73"/>
      <c r="WPS36" s="73"/>
      <c r="WPT36" s="73"/>
      <c r="WPU36" s="73"/>
      <c r="WPV36" s="73"/>
      <c r="WPW36" s="73"/>
      <c r="WPX36" s="73"/>
      <c r="WPY36" s="73"/>
      <c r="WPZ36" s="73"/>
      <c r="WQA36" s="73"/>
      <c r="WQB36" s="73"/>
      <c r="WQC36" s="73"/>
      <c r="WQD36" s="73"/>
      <c r="WQE36" s="73"/>
      <c r="WQF36" s="73"/>
      <c r="WQG36" s="73"/>
      <c r="WQH36" s="73"/>
      <c r="WQI36" s="73"/>
      <c r="WQJ36" s="73"/>
      <c r="WQK36" s="73"/>
      <c r="WQL36" s="73"/>
      <c r="WQM36" s="73"/>
      <c r="WQN36" s="73"/>
      <c r="WQO36" s="73"/>
      <c r="WQP36" s="73"/>
      <c r="WQQ36" s="73"/>
      <c r="WQR36" s="73"/>
      <c r="WQS36" s="73"/>
      <c r="WQT36" s="73"/>
      <c r="WQU36" s="73"/>
      <c r="WQV36" s="73"/>
      <c r="WQW36" s="73"/>
      <c r="WQX36" s="73"/>
      <c r="WQY36" s="73"/>
      <c r="WQZ36" s="73"/>
      <c r="WRA36" s="73"/>
      <c r="WRB36" s="73"/>
      <c r="WRC36" s="73"/>
      <c r="WRD36" s="73"/>
      <c r="WRE36" s="73"/>
      <c r="WRF36" s="73"/>
      <c r="WRG36" s="73"/>
      <c r="WRH36" s="73"/>
      <c r="WRI36" s="73"/>
      <c r="WRJ36" s="73"/>
      <c r="WRK36" s="73"/>
      <c r="WRL36" s="73"/>
      <c r="WRM36" s="73"/>
      <c r="WRN36" s="73"/>
      <c r="WRO36" s="73"/>
      <c r="WRP36" s="73"/>
      <c r="WRQ36" s="73"/>
      <c r="WRR36" s="73"/>
      <c r="WRS36" s="73"/>
      <c r="WRT36" s="73"/>
      <c r="WRU36" s="73"/>
      <c r="WRV36" s="73"/>
      <c r="WRW36" s="73"/>
      <c r="WRX36" s="73"/>
      <c r="WRY36" s="73"/>
      <c r="WRZ36" s="73"/>
      <c r="WSA36" s="73"/>
      <c r="WSB36" s="73"/>
      <c r="WSC36" s="73"/>
      <c r="WSD36" s="73"/>
      <c r="WSE36" s="73"/>
      <c r="WSF36" s="73"/>
      <c r="WSG36" s="73"/>
      <c r="WSH36" s="73"/>
      <c r="WSI36" s="73"/>
      <c r="WSJ36" s="73"/>
      <c r="WSK36" s="73"/>
      <c r="WSL36" s="73"/>
      <c r="WSM36" s="73"/>
      <c r="WSN36" s="73"/>
      <c r="WSO36" s="73"/>
      <c r="WSP36" s="73"/>
      <c r="WSQ36" s="73"/>
      <c r="WSR36" s="73"/>
      <c r="WSS36" s="73"/>
      <c r="WST36" s="73"/>
      <c r="WSU36" s="73"/>
      <c r="WSV36" s="73"/>
      <c r="WSW36" s="73"/>
      <c r="WSX36" s="73"/>
      <c r="WSY36" s="73"/>
      <c r="WSZ36" s="73"/>
      <c r="WTA36" s="73"/>
      <c r="WTB36" s="73"/>
      <c r="WTC36" s="73"/>
      <c r="WTD36" s="73"/>
      <c r="WTE36" s="73"/>
      <c r="WTF36" s="73"/>
      <c r="WTG36" s="73"/>
      <c r="WTH36" s="73"/>
      <c r="WTI36" s="73"/>
      <c r="WTJ36" s="73"/>
      <c r="WTK36" s="73"/>
      <c r="WTL36" s="73"/>
      <c r="WTM36" s="73"/>
      <c r="WTN36" s="73"/>
      <c r="WTO36" s="73"/>
      <c r="WTP36" s="73"/>
      <c r="WTQ36" s="73"/>
      <c r="WTR36" s="73"/>
      <c r="WTS36" s="73"/>
      <c r="WTT36" s="73"/>
      <c r="WTU36" s="73"/>
      <c r="WTV36" s="73"/>
      <c r="WTW36" s="73"/>
      <c r="WTX36" s="73"/>
      <c r="WTY36" s="73"/>
      <c r="WTZ36" s="73"/>
      <c r="WUA36" s="73"/>
      <c r="WUB36" s="73"/>
      <c r="WUC36" s="73"/>
      <c r="WUD36" s="73"/>
      <c r="WUE36" s="73"/>
      <c r="WUF36" s="73"/>
      <c r="WUG36" s="73"/>
      <c r="WUH36" s="73"/>
      <c r="WUI36" s="73"/>
      <c r="WUJ36" s="73"/>
      <c r="WUK36" s="73"/>
      <c r="WUL36" s="73"/>
      <c r="WUM36" s="73"/>
      <c r="WUN36" s="73"/>
      <c r="WUO36" s="73"/>
      <c r="WUP36" s="73"/>
      <c r="WUQ36" s="73"/>
      <c r="WUR36" s="73"/>
      <c r="WUS36" s="73"/>
      <c r="WUT36" s="73"/>
      <c r="WUU36" s="73"/>
      <c r="WUV36" s="73"/>
      <c r="WUW36" s="73"/>
      <c r="WUX36" s="73"/>
      <c r="WUY36" s="73"/>
      <c r="WUZ36" s="73"/>
      <c r="WVA36" s="73"/>
      <c r="WVB36" s="73"/>
      <c r="WVC36" s="73"/>
      <c r="WVD36" s="73"/>
      <c r="WVE36" s="73"/>
      <c r="WVF36" s="73"/>
      <c r="WVG36" s="73"/>
      <c r="WVH36" s="73"/>
      <c r="WVI36" s="73"/>
      <c r="WVJ36" s="73"/>
      <c r="WVK36" s="73"/>
      <c r="WVL36" s="73"/>
      <c r="WVM36" s="73"/>
      <c r="WVN36" s="73"/>
      <c r="WVO36" s="73"/>
      <c r="WVP36" s="73"/>
      <c r="WVQ36" s="73"/>
      <c r="WVR36" s="73"/>
      <c r="WVS36" s="73"/>
      <c r="WVT36" s="73"/>
      <c r="WVU36" s="73"/>
      <c r="WVV36" s="73"/>
      <c r="WVW36" s="73"/>
      <c r="WVX36" s="73"/>
      <c r="WVY36" s="73"/>
      <c r="WVZ36" s="73"/>
      <c r="WWA36" s="73"/>
      <c r="WWB36" s="73"/>
      <c r="WWC36" s="73"/>
      <c r="WWD36" s="73"/>
      <c r="WWE36" s="73"/>
      <c r="WWF36" s="73"/>
      <c r="WWG36" s="73"/>
      <c r="WWH36" s="73"/>
      <c r="WWI36" s="73"/>
      <c r="WWJ36" s="73"/>
      <c r="WWK36" s="73"/>
      <c r="WWL36" s="73"/>
      <c r="WWM36" s="73"/>
      <c r="WWN36" s="73"/>
      <c r="WWO36" s="73"/>
      <c r="WWP36" s="73"/>
      <c r="WWQ36" s="73"/>
      <c r="WWR36" s="73"/>
      <c r="WWS36" s="73"/>
      <c r="WWT36" s="73"/>
      <c r="WWU36" s="73"/>
      <c r="WWV36" s="73"/>
      <c r="WWW36" s="73"/>
      <c r="WWX36" s="73"/>
      <c r="WWY36" s="73"/>
      <c r="WWZ36" s="73"/>
      <c r="WXA36" s="73"/>
      <c r="WXB36" s="73"/>
      <c r="WXC36" s="73"/>
      <c r="WXD36" s="73"/>
      <c r="WXE36" s="73"/>
      <c r="WXF36" s="73"/>
      <c r="WXG36" s="73"/>
      <c r="WXH36" s="73"/>
      <c r="WXI36" s="73"/>
      <c r="WXJ36" s="73"/>
      <c r="WXK36" s="73"/>
      <c r="WXL36" s="73"/>
      <c r="WXM36" s="73"/>
      <c r="WXN36" s="73"/>
      <c r="WXO36" s="73"/>
      <c r="WXP36" s="73"/>
      <c r="WXQ36" s="73"/>
      <c r="WXR36" s="73"/>
      <c r="WXS36" s="73"/>
      <c r="WXT36" s="73"/>
      <c r="WXU36" s="73"/>
      <c r="WXV36" s="73"/>
      <c r="WXW36" s="73"/>
      <c r="WXX36" s="73"/>
      <c r="WXY36" s="73"/>
      <c r="WXZ36" s="73"/>
      <c r="WYA36" s="73"/>
      <c r="WYB36" s="73"/>
      <c r="WYC36" s="73"/>
      <c r="WYD36" s="73"/>
      <c r="WYE36" s="73"/>
      <c r="WYF36" s="73"/>
      <c r="WYG36" s="73"/>
      <c r="WYH36" s="73"/>
      <c r="WYI36" s="73"/>
      <c r="WYJ36" s="73"/>
      <c r="WYK36" s="73"/>
      <c r="WYL36" s="73"/>
      <c r="WYM36" s="73"/>
      <c r="WYN36" s="73"/>
      <c r="WYO36" s="73"/>
      <c r="WYP36" s="73"/>
      <c r="WYQ36" s="73"/>
      <c r="WYR36" s="73"/>
      <c r="WYS36" s="73"/>
      <c r="WYT36" s="73"/>
      <c r="WYU36" s="73"/>
      <c r="WYV36" s="73"/>
      <c r="WYW36" s="73"/>
      <c r="WYX36" s="73"/>
      <c r="WYY36" s="73"/>
      <c r="WYZ36" s="73"/>
      <c r="WZA36" s="73"/>
      <c r="WZB36" s="73"/>
      <c r="WZC36" s="73"/>
      <c r="WZD36" s="73"/>
      <c r="WZE36" s="73"/>
      <c r="WZF36" s="73"/>
      <c r="WZG36" s="73"/>
      <c r="WZH36" s="73"/>
      <c r="WZI36" s="73"/>
      <c r="WZJ36" s="73"/>
      <c r="WZK36" s="73"/>
      <c r="WZL36" s="73"/>
      <c r="WZM36" s="73"/>
      <c r="WZN36" s="73"/>
      <c r="WZO36" s="73"/>
      <c r="WZP36" s="73"/>
      <c r="WZQ36" s="73"/>
      <c r="WZR36" s="73"/>
      <c r="WZS36" s="73"/>
      <c r="WZT36" s="73"/>
      <c r="WZU36" s="73"/>
      <c r="WZV36" s="73"/>
      <c r="WZW36" s="73"/>
      <c r="WZX36" s="73"/>
      <c r="WZY36" s="73"/>
      <c r="WZZ36" s="73"/>
      <c r="XAA36" s="73"/>
      <c r="XAB36" s="73"/>
      <c r="XAC36" s="73"/>
      <c r="XAD36" s="73"/>
      <c r="XAE36" s="73"/>
      <c r="XAF36" s="73"/>
      <c r="XAG36" s="73"/>
      <c r="XAH36" s="73"/>
      <c r="XAI36" s="73"/>
      <c r="XAJ36" s="73"/>
      <c r="XAK36" s="73"/>
      <c r="XAL36" s="73"/>
      <c r="XAM36" s="73"/>
      <c r="XAN36" s="73"/>
      <c r="XAO36" s="73"/>
      <c r="XAP36" s="73"/>
      <c r="XAQ36" s="73"/>
      <c r="XAR36" s="73"/>
      <c r="XAS36" s="73"/>
      <c r="XAT36" s="73"/>
      <c r="XAU36" s="73"/>
      <c r="XAV36" s="73"/>
      <c r="XAW36" s="73"/>
      <c r="XAX36" s="73"/>
      <c r="XAY36" s="73"/>
      <c r="XAZ36" s="73"/>
      <c r="XBA36" s="73"/>
      <c r="XBB36" s="73"/>
      <c r="XBC36" s="73"/>
      <c r="XBD36" s="73"/>
      <c r="XBE36" s="73"/>
      <c r="XBF36" s="73"/>
      <c r="XBG36" s="73"/>
      <c r="XBH36" s="73"/>
      <c r="XBI36" s="73"/>
      <c r="XBJ36" s="73"/>
      <c r="XBK36" s="73"/>
      <c r="XBL36" s="73"/>
      <c r="XBM36" s="73"/>
      <c r="XBN36" s="73"/>
      <c r="XBO36" s="73"/>
      <c r="XBP36" s="73"/>
      <c r="XBQ36" s="73"/>
      <c r="XBR36" s="73"/>
      <c r="XBS36" s="73"/>
      <c r="XBT36" s="73"/>
      <c r="XBU36" s="73"/>
      <c r="XBV36" s="73"/>
      <c r="XBW36" s="73"/>
      <c r="XBX36" s="73"/>
      <c r="XBY36" s="73"/>
      <c r="XBZ36" s="73"/>
      <c r="XCA36" s="73"/>
      <c r="XCB36" s="73"/>
      <c r="XCC36" s="73"/>
      <c r="XCD36" s="73"/>
      <c r="XCE36" s="73"/>
      <c r="XCF36" s="73"/>
      <c r="XCG36" s="73"/>
      <c r="XCH36" s="73"/>
      <c r="XCI36" s="73"/>
      <c r="XCJ36" s="73"/>
      <c r="XCK36" s="73"/>
      <c r="XCL36" s="73"/>
      <c r="XCM36" s="73"/>
      <c r="XCN36" s="73"/>
      <c r="XCO36" s="73"/>
      <c r="XCP36" s="73"/>
      <c r="XCQ36" s="73"/>
      <c r="XCR36" s="73"/>
      <c r="XCS36" s="73"/>
      <c r="XCT36" s="73"/>
      <c r="XCU36" s="73"/>
      <c r="XCV36" s="73"/>
      <c r="XCW36" s="73"/>
      <c r="XCX36" s="73"/>
      <c r="XCY36" s="73"/>
      <c r="XCZ36" s="73"/>
      <c r="XDA36" s="73"/>
      <c r="XDB36" s="73"/>
      <c r="XDC36" s="73"/>
      <c r="XDD36" s="73"/>
      <c r="XDE36" s="73"/>
      <c r="XDF36" s="73"/>
      <c r="XDG36" s="73"/>
      <c r="XDH36" s="73"/>
      <c r="XDI36" s="73"/>
      <c r="XDJ36" s="73"/>
      <c r="XDK36" s="73"/>
      <c r="XDL36" s="73"/>
      <c r="XDM36" s="73"/>
      <c r="XDN36" s="73"/>
      <c r="XDO36" s="73"/>
      <c r="XDP36" s="73"/>
      <c r="XDQ36" s="73"/>
      <c r="XDR36" s="73"/>
      <c r="XDS36" s="73"/>
      <c r="XDT36" s="73"/>
      <c r="XDU36" s="73"/>
      <c r="XDV36" s="73"/>
      <c r="XDW36" s="73"/>
      <c r="XDX36" s="73"/>
      <c r="XDY36" s="73"/>
      <c r="XDZ36" s="73"/>
      <c r="XEA36" s="73"/>
      <c r="XEB36" s="73"/>
      <c r="XEC36" s="73"/>
      <c r="XED36" s="73"/>
      <c r="XEE36" s="73"/>
      <c r="XEF36" s="73"/>
      <c r="XEG36" s="73"/>
      <c r="XEH36" s="73"/>
      <c r="XEI36" s="73"/>
      <c r="XEJ36" s="73"/>
      <c r="XEK36" s="73"/>
      <c r="XEL36" s="73"/>
      <c r="XEM36" s="73"/>
      <c r="XEN36" s="73"/>
      <c r="XEO36" s="73"/>
      <c r="XEP36" s="73"/>
      <c r="XEQ36" s="73"/>
      <c r="XER36" s="73"/>
      <c r="XES36" s="73"/>
      <c r="XET36" s="73"/>
      <c r="XEU36" s="73"/>
    </row>
    <row r="37" spans="1:16375" s="72" customFormat="1" ht="14.5" x14ac:dyDescent="0.35">
      <c r="A37" s="81" t="s">
        <v>536</v>
      </c>
      <c r="B37" s="81" t="s">
        <v>542</v>
      </c>
      <c r="C37" s="81" t="s">
        <v>541</v>
      </c>
      <c r="D37" s="81">
        <v>29</v>
      </c>
      <c r="E37" s="81" t="s">
        <v>540</v>
      </c>
      <c r="F37" s="81">
        <v>9</v>
      </c>
      <c r="G37" s="81" t="s">
        <v>539</v>
      </c>
      <c r="H37" s="81" t="s">
        <v>538</v>
      </c>
      <c r="I37" s="81" t="s">
        <v>529</v>
      </c>
      <c r="J37" s="81">
        <v>1</v>
      </c>
      <c r="K37" s="81" t="s">
        <v>530</v>
      </c>
      <c r="L37" s="81" t="s">
        <v>529</v>
      </c>
      <c r="M37" s="82">
        <v>2023</v>
      </c>
      <c r="N37" s="81">
        <v>111904</v>
      </c>
      <c r="O37" s="81">
        <v>52</v>
      </c>
      <c r="P37" s="81">
        <v>80</v>
      </c>
      <c r="Q37" s="81" t="s">
        <v>528</v>
      </c>
      <c r="R37" s="81">
        <v>4294.63</v>
      </c>
      <c r="S37" s="81">
        <v>4369.3999999999996</v>
      </c>
      <c r="T37" s="81">
        <v>4129.71</v>
      </c>
      <c r="U37" s="81">
        <v>4436.32</v>
      </c>
      <c r="V37" s="81">
        <v>4085.34</v>
      </c>
      <c r="W37" s="81">
        <v>4129.76</v>
      </c>
      <c r="X37" s="81">
        <v>2102.04</v>
      </c>
      <c r="Y37" s="81">
        <v>4129.41</v>
      </c>
      <c r="Z37" s="81">
        <v>4129.38</v>
      </c>
      <c r="AA37" s="81">
        <v>4129.41</v>
      </c>
      <c r="AB37" s="81">
        <v>4129.38</v>
      </c>
      <c r="AC37" s="81">
        <v>5050</v>
      </c>
      <c r="AD37" s="81">
        <v>5049.96</v>
      </c>
      <c r="AE37" s="81">
        <v>5050</v>
      </c>
      <c r="AF37" s="81">
        <v>5049.97</v>
      </c>
      <c r="AG37" s="81">
        <v>5049.99</v>
      </c>
      <c r="AH37" s="81">
        <v>5049.97</v>
      </c>
      <c r="AI37" s="81">
        <v>5050</v>
      </c>
      <c r="AJ37" s="81">
        <v>5049.97</v>
      </c>
      <c r="AK37" s="81">
        <v>4767.46</v>
      </c>
      <c r="AL37" s="81">
        <v>22570.6</v>
      </c>
      <c r="AM37" s="81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111802.70000000001</v>
      </c>
      <c r="AS37" s="81">
        <v>289.2</v>
      </c>
      <c r="AT37" s="81">
        <v>123927.06</v>
      </c>
      <c r="AU37" s="81">
        <v>360</v>
      </c>
      <c r="AV37" s="81">
        <v>131041.48</v>
      </c>
      <c r="AW37" s="81">
        <v>360</v>
      </c>
      <c r="AX37" s="81">
        <v>136483.39000000001</v>
      </c>
      <c r="AY37" s="81">
        <v>360</v>
      </c>
      <c r="AZ37" s="80" t="s">
        <v>537</v>
      </c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  <c r="IS37" s="79"/>
      <c r="IT37" s="79"/>
      <c r="IU37" s="79"/>
      <c r="IV37" s="79"/>
      <c r="IW37" s="79"/>
      <c r="IX37" s="79"/>
      <c r="IY37" s="79"/>
      <c r="IZ37" s="79"/>
      <c r="JA37" s="79"/>
      <c r="JB37" s="79"/>
      <c r="JC37" s="79"/>
      <c r="JD37" s="79"/>
      <c r="JE37" s="79"/>
      <c r="JF37" s="79"/>
      <c r="JG37" s="79"/>
      <c r="JH37" s="79"/>
      <c r="JI37" s="79"/>
      <c r="JJ37" s="79"/>
      <c r="JK37" s="79"/>
      <c r="JL37" s="79"/>
      <c r="JM37" s="79"/>
      <c r="JN37" s="79"/>
      <c r="JO37" s="79"/>
      <c r="JP37" s="79"/>
      <c r="JQ37" s="79"/>
      <c r="JR37" s="79"/>
      <c r="JS37" s="79"/>
      <c r="JT37" s="79"/>
      <c r="JU37" s="79"/>
      <c r="JV37" s="79"/>
      <c r="JW37" s="79"/>
      <c r="JX37" s="79"/>
      <c r="JY37" s="79"/>
      <c r="JZ37" s="79"/>
      <c r="KA37" s="79"/>
      <c r="KB37" s="79"/>
      <c r="KC37" s="79"/>
      <c r="KD37" s="79"/>
      <c r="KE37" s="79"/>
      <c r="KF37" s="79"/>
      <c r="KG37" s="79"/>
      <c r="KH37" s="79"/>
      <c r="KI37" s="79"/>
      <c r="KJ37" s="79"/>
      <c r="KK37" s="79"/>
      <c r="KL37" s="79"/>
      <c r="KM37" s="79"/>
      <c r="KN37" s="79"/>
      <c r="KO37" s="79"/>
      <c r="KP37" s="79"/>
      <c r="KQ37" s="79"/>
      <c r="KR37" s="79"/>
      <c r="KS37" s="79"/>
      <c r="KT37" s="79"/>
      <c r="KU37" s="79"/>
      <c r="KV37" s="79"/>
      <c r="KW37" s="79"/>
      <c r="KX37" s="79"/>
      <c r="KY37" s="79"/>
      <c r="KZ37" s="79"/>
      <c r="LA37" s="79"/>
      <c r="LB37" s="79"/>
      <c r="LC37" s="79"/>
      <c r="LD37" s="79"/>
      <c r="LE37" s="79"/>
      <c r="LF37" s="79"/>
      <c r="LG37" s="79"/>
      <c r="LH37" s="79"/>
      <c r="LI37" s="79"/>
      <c r="LJ37" s="79"/>
      <c r="LK37" s="79"/>
      <c r="LL37" s="79"/>
      <c r="LM37" s="79"/>
      <c r="LN37" s="79"/>
      <c r="LO37" s="79"/>
      <c r="LP37" s="79"/>
      <c r="LQ37" s="79"/>
      <c r="LR37" s="79"/>
      <c r="LS37" s="79"/>
      <c r="LT37" s="79"/>
      <c r="LU37" s="79"/>
      <c r="LV37" s="79"/>
      <c r="LW37" s="79"/>
      <c r="LX37" s="79"/>
      <c r="LY37" s="79"/>
      <c r="LZ37" s="79"/>
      <c r="MA37" s="79"/>
      <c r="MB37" s="79"/>
      <c r="MC37" s="79"/>
      <c r="MD37" s="79"/>
      <c r="ME37" s="79"/>
      <c r="MF37" s="79"/>
      <c r="MG37" s="79"/>
      <c r="MH37" s="79"/>
      <c r="MI37" s="79"/>
      <c r="MJ37" s="79"/>
      <c r="MK37" s="79"/>
      <c r="ML37" s="79"/>
      <c r="MM37" s="79"/>
      <c r="MN37" s="79"/>
      <c r="MO37" s="79"/>
      <c r="MP37" s="79"/>
      <c r="MQ37" s="79"/>
      <c r="MR37" s="79"/>
      <c r="MS37" s="79"/>
      <c r="MT37" s="79"/>
      <c r="MU37" s="79"/>
      <c r="MV37" s="79"/>
      <c r="MW37" s="79"/>
      <c r="MX37" s="79"/>
      <c r="MY37" s="79"/>
      <c r="MZ37" s="79"/>
      <c r="NA37" s="79"/>
      <c r="NB37" s="79"/>
      <c r="NC37" s="79"/>
      <c r="ND37" s="79"/>
      <c r="NE37" s="79"/>
      <c r="NF37" s="79"/>
      <c r="NG37" s="79"/>
      <c r="NH37" s="79"/>
      <c r="NI37" s="79"/>
      <c r="NJ37" s="79"/>
      <c r="NK37" s="79"/>
      <c r="NL37" s="79"/>
      <c r="NM37" s="79"/>
      <c r="NN37" s="79"/>
      <c r="NO37" s="79"/>
      <c r="NP37" s="79"/>
      <c r="NQ37" s="79"/>
      <c r="NR37" s="79"/>
      <c r="NS37" s="79"/>
      <c r="NT37" s="79"/>
      <c r="NU37" s="79"/>
      <c r="NV37" s="79"/>
      <c r="NW37" s="79"/>
      <c r="NX37" s="79"/>
      <c r="NY37" s="79"/>
      <c r="NZ37" s="79"/>
      <c r="OA37" s="79"/>
      <c r="OB37" s="79"/>
      <c r="OC37" s="79"/>
      <c r="OD37" s="79"/>
      <c r="OE37" s="79"/>
      <c r="OF37" s="79"/>
      <c r="OG37" s="79"/>
      <c r="OH37" s="79"/>
      <c r="OI37" s="79"/>
      <c r="OJ37" s="79"/>
      <c r="OK37" s="79"/>
      <c r="OL37" s="79"/>
      <c r="OM37" s="79"/>
      <c r="ON37" s="79"/>
      <c r="OO37" s="79"/>
      <c r="OP37" s="79"/>
      <c r="OQ37" s="79"/>
      <c r="OR37" s="79"/>
      <c r="OS37" s="79"/>
      <c r="OT37" s="79"/>
      <c r="OU37" s="79"/>
      <c r="OV37" s="79"/>
      <c r="OW37" s="79"/>
      <c r="OX37" s="79"/>
      <c r="OY37" s="79"/>
      <c r="OZ37" s="79"/>
      <c r="PA37" s="79"/>
      <c r="PB37" s="79"/>
      <c r="PC37" s="79"/>
      <c r="PD37" s="79"/>
      <c r="PE37" s="79"/>
      <c r="PF37" s="79"/>
      <c r="PG37" s="79"/>
      <c r="PH37" s="79"/>
      <c r="PI37" s="79"/>
      <c r="PJ37" s="79"/>
      <c r="PK37" s="79"/>
      <c r="PL37" s="79"/>
      <c r="PM37" s="79"/>
      <c r="PN37" s="79"/>
      <c r="PO37" s="79"/>
      <c r="PP37" s="79"/>
      <c r="PQ37" s="79"/>
      <c r="PR37" s="79"/>
      <c r="PS37" s="79"/>
      <c r="PT37" s="79"/>
      <c r="PU37" s="79"/>
      <c r="PV37" s="79"/>
      <c r="PW37" s="79"/>
      <c r="PX37" s="79"/>
      <c r="PY37" s="79"/>
      <c r="PZ37" s="79"/>
      <c r="QA37" s="79"/>
      <c r="QB37" s="79"/>
      <c r="QC37" s="79"/>
      <c r="QD37" s="79"/>
      <c r="QE37" s="79"/>
      <c r="QF37" s="79"/>
      <c r="QG37" s="79"/>
      <c r="QH37" s="79"/>
      <c r="QI37" s="79"/>
      <c r="QJ37" s="79"/>
      <c r="QK37" s="79"/>
      <c r="QL37" s="79"/>
      <c r="QM37" s="79"/>
      <c r="QN37" s="79"/>
      <c r="QO37" s="79"/>
      <c r="QP37" s="79"/>
      <c r="QQ37" s="79"/>
      <c r="QR37" s="79"/>
      <c r="QS37" s="79"/>
      <c r="QT37" s="79"/>
      <c r="QU37" s="79"/>
      <c r="QV37" s="79"/>
      <c r="QW37" s="79"/>
      <c r="QX37" s="79"/>
      <c r="QY37" s="79"/>
      <c r="QZ37" s="79"/>
      <c r="RA37" s="79"/>
      <c r="RB37" s="79"/>
      <c r="RC37" s="79"/>
      <c r="RD37" s="79"/>
      <c r="RE37" s="79"/>
      <c r="RF37" s="79"/>
      <c r="RG37" s="79"/>
      <c r="RH37" s="79"/>
      <c r="RI37" s="79"/>
      <c r="RJ37" s="79"/>
      <c r="RK37" s="79"/>
      <c r="RL37" s="79"/>
      <c r="RM37" s="79"/>
      <c r="RN37" s="79"/>
      <c r="RO37" s="79"/>
      <c r="RP37" s="79"/>
      <c r="RQ37" s="79"/>
      <c r="RR37" s="79"/>
      <c r="RS37" s="79"/>
      <c r="RT37" s="79"/>
      <c r="RU37" s="79"/>
      <c r="RV37" s="79"/>
      <c r="RW37" s="79"/>
      <c r="RX37" s="79"/>
      <c r="RY37" s="79"/>
      <c r="RZ37" s="79"/>
      <c r="SA37" s="79"/>
      <c r="SB37" s="79"/>
      <c r="SC37" s="79"/>
      <c r="SD37" s="79"/>
      <c r="SE37" s="79"/>
      <c r="SF37" s="79"/>
      <c r="SG37" s="79"/>
      <c r="SH37" s="79"/>
      <c r="SI37" s="79"/>
      <c r="SJ37" s="79"/>
      <c r="SK37" s="79"/>
      <c r="SL37" s="79"/>
      <c r="SM37" s="79"/>
      <c r="SN37" s="79"/>
      <c r="SO37" s="79"/>
      <c r="SP37" s="79"/>
      <c r="SQ37" s="79"/>
      <c r="SR37" s="79"/>
      <c r="SS37" s="79"/>
      <c r="ST37" s="79"/>
      <c r="SU37" s="79"/>
      <c r="SV37" s="79"/>
      <c r="SW37" s="79"/>
      <c r="SX37" s="79"/>
      <c r="SY37" s="79"/>
      <c r="SZ37" s="79"/>
      <c r="TA37" s="79"/>
      <c r="TB37" s="79"/>
      <c r="TC37" s="79"/>
      <c r="TD37" s="79"/>
      <c r="TE37" s="79"/>
      <c r="TF37" s="79"/>
      <c r="TG37" s="79"/>
      <c r="TH37" s="79"/>
      <c r="TI37" s="79"/>
      <c r="TJ37" s="79"/>
      <c r="TK37" s="79"/>
      <c r="TL37" s="79"/>
      <c r="TM37" s="79"/>
      <c r="TN37" s="79"/>
      <c r="TO37" s="79"/>
      <c r="TP37" s="79"/>
      <c r="TQ37" s="79"/>
      <c r="TR37" s="79"/>
      <c r="TS37" s="79"/>
      <c r="TT37" s="79"/>
      <c r="TU37" s="79"/>
      <c r="TV37" s="79"/>
      <c r="TW37" s="79"/>
      <c r="TX37" s="79"/>
      <c r="TY37" s="79"/>
      <c r="TZ37" s="79"/>
      <c r="UA37" s="79"/>
      <c r="UB37" s="79"/>
      <c r="UC37" s="79"/>
      <c r="UD37" s="79"/>
      <c r="UE37" s="79"/>
      <c r="UF37" s="79"/>
      <c r="UG37" s="79"/>
      <c r="UH37" s="79"/>
      <c r="UI37" s="79"/>
      <c r="UJ37" s="79"/>
      <c r="UK37" s="79"/>
      <c r="UL37" s="79"/>
      <c r="UM37" s="79"/>
      <c r="UN37" s="79"/>
      <c r="UO37" s="79"/>
      <c r="UP37" s="79"/>
      <c r="UQ37" s="79"/>
      <c r="UR37" s="79"/>
      <c r="US37" s="79"/>
      <c r="UT37" s="79"/>
      <c r="UU37" s="79"/>
      <c r="UV37" s="79"/>
      <c r="UW37" s="79"/>
      <c r="UX37" s="79"/>
      <c r="UY37" s="79"/>
      <c r="UZ37" s="79"/>
      <c r="VA37" s="79"/>
      <c r="VB37" s="79"/>
      <c r="VC37" s="79"/>
      <c r="VD37" s="79"/>
      <c r="VE37" s="79"/>
      <c r="VF37" s="79"/>
      <c r="VG37" s="79"/>
      <c r="VH37" s="79"/>
      <c r="VI37" s="79"/>
      <c r="VJ37" s="79"/>
      <c r="VK37" s="79"/>
      <c r="VL37" s="79"/>
      <c r="VM37" s="79"/>
      <c r="VN37" s="79"/>
      <c r="VO37" s="79"/>
      <c r="VP37" s="79"/>
      <c r="VQ37" s="79"/>
      <c r="VR37" s="79"/>
      <c r="VS37" s="79"/>
      <c r="VT37" s="79"/>
      <c r="VU37" s="79"/>
      <c r="VV37" s="79"/>
      <c r="VW37" s="79"/>
      <c r="VX37" s="79"/>
      <c r="VY37" s="79"/>
      <c r="VZ37" s="79"/>
      <c r="WA37" s="79"/>
      <c r="WB37" s="79"/>
      <c r="WC37" s="79"/>
      <c r="WD37" s="79"/>
      <c r="WE37" s="79"/>
      <c r="WF37" s="79"/>
      <c r="WG37" s="79"/>
      <c r="WH37" s="79"/>
      <c r="WI37" s="79"/>
      <c r="WJ37" s="79"/>
      <c r="WK37" s="79"/>
      <c r="WL37" s="79"/>
      <c r="WM37" s="79"/>
      <c r="WN37" s="79"/>
      <c r="WO37" s="79"/>
      <c r="WP37" s="79"/>
      <c r="WQ37" s="79"/>
      <c r="WR37" s="79"/>
      <c r="WS37" s="79"/>
      <c r="WT37" s="79"/>
      <c r="WU37" s="79"/>
      <c r="WV37" s="79"/>
      <c r="WW37" s="79"/>
      <c r="WX37" s="79"/>
      <c r="WY37" s="79"/>
      <c r="WZ37" s="79"/>
      <c r="XA37" s="79"/>
      <c r="XB37" s="79"/>
      <c r="XC37" s="79"/>
      <c r="XD37" s="79"/>
      <c r="XE37" s="79"/>
      <c r="XF37" s="79"/>
      <c r="XG37" s="79"/>
      <c r="XH37" s="79"/>
      <c r="XI37" s="79"/>
      <c r="XJ37" s="79"/>
      <c r="XK37" s="79"/>
      <c r="XL37" s="79"/>
      <c r="XM37" s="79"/>
      <c r="XN37" s="79"/>
      <c r="XO37" s="79"/>
      <c r="XP37" s="79"/>
      <c r="XQ37" s="79"/>
      <c r="XR37" s="79"/>
      <c r="XS37" s="79"/>
      <c r="XT37" s="79"/>
      <c r="XU37" s="79"/>
      <c r="XV37" s="79"/>
      <c r="XW37" s="79"/>
      <c r="XX37" s="79"/>
      <c r="XY37" s="79"/>
      <c r="XZ37" s="79"/>
      <c r="YA37" s="79"/>
      <c r="YB37" s="79"/>
      <c r="YC37" s="79"/>
      <c r="YD37" s="79"/>
      <c r="YE37" s="79"/>
      <c r="YF37" s="79"/>
      <c r="YG37" s="79"/>
      <c r="YH37" s="79"/>
      <c r="YI37" s="79"/>
      <c r="YJ37" s="79"/>
      <c r="YK37" s="79"/>
      <c r="YL37" s="79"/>
      <c r="YM37" s="79"/>
      <c r="YN37" s="79"/>
      <c r="YO37" s="79"/>
      <c r="YP37" s="79"/>
      <c r="YQ37" s="79"/>
      <c r="YR37" s="79"/>
      <c r="YS37" s="79"/>
      <c r="YT37" s="79"/>
      <c r="YU37" s="79"/>
      <c r="YV37" s="79"/>
      <c r="YW37" s="79"/>
      <c r="YX37" s="79"/>
      <c r="YY37" s="79"/>
      <c r="YZ37" s="79"/>
      <c r="ZA37" s="79"/>
      <c r="ZB37" s="79"/>
      <c r="ZC37" s="79"/>
      <c r="ZD37" s="79"/>
      <c r="ZE37" s="79"/>
      <c r="ZF37" s="79"/>
      <c r="ZG37" s="79"/>
      <c r="ZH37" s="79"/>
      <c r="ZI37" s="79"/>
      <c r="ZJ37" s="79"/>
      <c r="ZK37" s="79"/>
      <c r="ZL37" s="79"/>
      <c r="ZM37" s="79"/>
      <c r="ZN37" s="79"/>
      <c r="ZO37" s="79"/>
      <c r="ZP37" s="79"/>
      <c r="ZQ37" s="79"/>
      <c r="ZR37" s="79"/>
      <c r="ZS37" s="79"/>
      <c r="ZT37" s="79"/>
      <c r="ZU37" s="79"/>
      <c r="ZV37" s="79"/>
      <c r="ZW37" s="79"/>
      <c r="ZX37" s="79"/>
      <c r="ZY37" s="79"/>
      <c r="ZZ37" s="79"/>
      <c r="AAA37" s="79"/>
      <c r="AAB37" s="79"/>
      <c r="AAC37" s="79"/>
      <c r="AAD37" s="79"/>
      <c r="AAE37" s="79"/>
      <c r="AAF37" s="79"/>
      <c r="AAG37" s="79"/>
      <c r="AAH37" s="79"/>
      <c r="AAI37" s="79"/>
      <c r="AAJ37" s="79"/>
      <c r="AAK37" s="79"/>
      <c r="AAL37" s="79"/>
      <c r="AAM37" s="79"/>
      <c r="AAN37" s="79"/>
      <c r="AAO37" s="79"/>
      <c r="AAP37" s="79"/>
      <c r="AAQ37" s="79"/>
      <c r="AAR37" s="79"/>
      <c r="AAS37" s="79"/>
      <c r="AAT37" s="79"/>
      <c r="AAU37" s="79"/>
      <c r="AAV37" s="79"/>
      <c r="AAW37" s="79"/>
      <c r="AAX37" s="79"/>
      <c r="AAY37" s="79"/>
      <c r="AAZ37" s="79"/>
      <c r="ABA37" s="79"/>
      <c r="ABB37" s="79"/>
      <c r="ABC37" s="79"/>
      <c r="ABD37" s="79"/>
      <c r="ABE37" s="79"/>
      <c r="ABF37" s="79"/>
      <c r="ABG37" s="79"/>
      <c r="ABH37" s="79"/>
      <c r="ABI37" s="79"/>
      <c r="ABJ37" s="79"/>
      <c r="ABK37" s="79"/>
      <c r="ABL37" s="79"/>
      <c r="ABM37" s="79"/>
      <c r="ABN37" s="79"/>
      <c r="ABO37" s="79"/>
      <c r="ABP37" s="79"/>
      <c r="ABQ37" s="79"/>
      <c r="ABR37" s="79"/>
      <c r="ABS37" s="79"/>
      <c r="ABT37" s="79"/>
      <c r="ABU37" s="79"/>
      <c r="ABV37" s="79"/>
      <c r="ABW37" s="79"/>
      <c r="ABX37" s="79"/>
      <c r="ABY37" s="79"/>
      <c r="ABZ37" s="79"/>
      <c r="ACA37" s="79"/>
      <c r="ACB37" s="79"/>
      <c r="ACC37" s="79"/>
      <c r="ACD37" s="79"/>
      <c r="ACE37" s="79"/>
      <c r="ACF37" s="79"/>
      <c r="ACG37" s="79"/>
      <c r="ACH37" s="79"/>
      <c r="ACI37" s="79"/>
      <c r="ACJ37" s="79"/>
      <c r="ACK37" s="79"/>
      <c r="ACL37" s="79"/>
      <c r="ACM37" s="79"/>
      <c r="ACN37" s="79"/>
      <c r="ACO37" s="79"/>
      <c r="ACP37" s="79"/>
      <c r="ACQ37" s="79"/>
      <c r="ACR37" s="79"/>
      <c r="ACS37" s="79"/>
      <c r="ACT37" s="79"/>
      <c r="ACU37" s="79"/>
      <c r="ACV37" s="79"/>
      <c r="ACW37" s="79"/>
      <c r="ACX37" s="79"/>
      <c r="ACY37" s="79"/>
      <c r="ACZ37" s="79"/>
      <c r="ADA37" s="79"/>
      <c r="ADB37" s="79"/>
      <c r="ADC37" s="79"/>
      <c r="ADD37" s="79"/>
      <c r="ADE37" s="79"/>
      <c r="ADF37" s="79"/>
      <c r="ADG37" s="79"/>
      <c r="ADH37" s="79"/>
      <c r="ADI37" s="79"/>
      <c r="ADJ37" s="79"/>
      <c r="ADK37" s="79"/>
      <c r="ADL37" s="79"/>
      <c r="ADM37" s="79"/>
      <c r="ADN37" s="79"/>
      <c r="ADO37" s="79"/>
      <c r="ADP37" s="79"/>
      <c r="ADQ37" s="79"/>
      <c r="ADR37" s="79"/>
      <c r="ADS37" s="79"/>
      <c r="ADT37" s="79"/>
      <c r="ADU37" s="79"/>
      <c r="ADV37" s="79"/>
      <c r="ADW37" s="79"/>
      <c r="ADX37" s="79"/>
      <c r="ADY37" s="79"/>
      <c r="ADZ37" s="79"/>
      <c r="AEA37" s="79"/>
      <c r="AEB37" s="79"/>
      <c r="AEC37" s="79"/>
      <c r="AED37" s="79"/>
      <c r="AEE37" s="79"/>
      <c r="AEF37" s="79"/>
      <c r="AEG37" s="79"/>
      <c r="AEH37" s="79"/>
      <c r="AEI37" s="79"/>
      <c r="AEJ37" s="79"/>
      <c r="AEK37" s="79"/>
      <c r="AEL37" s="79"/>
      <c r="AEM37" s="79"/>
      <c r="AEN37" s="79"/>
      <c r="AEO37" s="79"/>
      <c r="AEP37" s="79"/>
      <c r="AEQ37" s="79"/>
      <c r="AER37" s="79"/>
      <c r="AES37" s="79"/>
      <c r="AET37" s="79"/>
      <c r="AEU37" s="79"/>
      <c r="AEV37" s="79"/>
      <c r="AEW37" s="79"/>
      <c r="AEX37" s="79"/>
      <c r="AEY37" s="79"/>
      <c r="AEZ37" s="79"/>
      <c r="AFA37" s="79"/>
      <c r="AFB37" s="79"/>
      <c r="AFC37" s="79"/>
      <c r="AFD37" s="79"/>
      <c r="AFE37" s="79"/>
      <c r="AFF37" s="79"/>
      <c r="AFG37" s="79"/>
      <c r="AFH37" s="79"/>
      <c r="AFI37" s="79"/>
      <c r="AFJ37" s="79"/>
      <c r="AFK37" s="79"/>
      <c r="AFL37" s="79"/>
      <c r="AFM37" s="79"/>
      <c r="AFN37" s="79"/>
      <c r="AFO37" s="79"/>
      <c r="AFP37" s="79"/>
      <c r="AFQ37" s="79"/>
      <c r="AFR37" s="79"/>
      <c r="AFS37" s="79"/>
      <c r="AFT37" s="79"/>
      <c r="AFU37" s="79"/>
      <c r="AFV37" s="79"/>
      <c r="AFW37" s="79"/>
      <c r="AFX37" s="79"/>
      <c r="AFY37" s="79"/>
      <c r="AFZ37" s="79"/>
      <c r="AGA37" s="79"/>
      <c r="AGB37" s="79"/>
      <c r="AGC37" s="79"/>
      <c r="AGD37" s="79"/>
      <c r="AGE37" s="79"/>
      <c r="AGF37" s="79"/>
      <c r="AGG37" s="79"/>
      <c r="AGH37" s="79"/>
      <c r="AGI37" s="79"/>
      <c r="AGJ37" s="79"/>
      <c r="AGK37" s="79"/>
      <c r="AGL37" s="79"/>
      <c r="AGM37" s="79"/>
      <c r="AGN37" s="79"/>
      <c r="AGO37" s="79"/>
      <c r="AGP37" s="79"/>
      <c r="AGQ37" s="79"/>
      <c r="AGR37" s="79"/>
      <c r="AGS37" s="79"/>
      <c r="AGT37" s="79"/>
      <c r="AGU37" s="79"/>
      <c r="AGV37" s="79"/>
      <c r="AGW37" s="79"/>
      <c r="AGX37" s="79"/>
      <c r="AGY37" s="79"/>
      <c r="AGZ37" s="79"/>
      <c r="AHA37" s="79"/>
      <c r="AHB37" s="79"/>
      <c r="AHC37" s="79"/>
      <c r="AHD37" s="79"/>
      <c r="AHE37" s="79"/>
      <c r="AHF37" s="79"/>
      <c r="AHG37" s="79"/>
      <c r="AHH37" s="79"/>
      <c r="AHI37" s="79"/>
      <c r="AHJ37" s="79"/>
      <c r="AHK37" s="79"/>
      <c r="AHL37" s="79"/>
      <c r="AHM37" s="79"/>
      <c r="AHN37" s="79"/>
      <c r="AHO37" s="79"/>
      <c r="AHP37" s="79"/>
      <c r="AHQ37" s="79"/>
      <c r="AHR37" s="79"/>
      <c r="AHS37" s="79"/>
      <c r="AHT37" s="79"/>
      <c r="AHU37" s="79"/>
      <c r="AHV37" s="79"/>
      <c r="AHW37" s="79"/>
      <c r="AHX37" s="79"/>
      <c r="AHY37" s="79"/>
      <c r="AHZ37" s="79"/>
      <c r="AIA37" s="79"/>
      <c r="AIB37" s="79"/>
      <c r="AIC37" s="79"/>
      <c r="AID37" s="79"/>
      <c r="AIE37" s="79"/>
      <c r="AIF37" s="79"/>
      <c r="AIG37" s="79"/>
      <c r="AIH37" s="79"/>
      <c r="AII37" s="79"/>
      <c r="AIJ37" s="79"/>
      <c r="AIK37" s="79"/>
      <c r="AIL37" s="79"/>
      <c r="AIM37" s="79"/>
      <c r="AIN37" s="79"/>
      <c r="AIO37" s="79"/>
      <c r="AIP37" s="79"/>
      <c r="AIQ37" s="79"/>
      <c r="AIR37" s="79"/>
      <c r="AIS37" s="79"/>
      <c r="AIT37" s="79"/>
      <c r="AIU37" s="79"/>
      <c r="AIV37" s="79"/>
      <c r="AIW37" s="79"/>
      <c r="AIX37" s="79"/>
      <c r="AIY37" s="79"/>
      <c r="AIZ37" s="79"/>
      <c r="AJA37" s="79"/>
      <c r="AJB37" s="79"/>
      <c r="AJC37" s="79"/>
      <c r="AJD37" s="79"/>
      <c r="AJE37" s="79"/>
      <c r="AJF37" s="79"/>
      <c r="AJG37" s="79"/>
      <c r="AJH37" s="79"/>
      <c r="AJI37" s="79"/>
      <c r="AJJ37" s="79"/>
      <c r="AJK37" s="79"/>
      <c r="AJL37" s="79"/>
      <c r="AJM37" s="79"/>
      <c r="AJN37" s="79"/>
      <c r="AJO37" s="79"/>
      <c r="AJP37" s="79"/>
      <c r="AJQ37" s="79"/>
      <c r="AJR37" s="79"/>
      <c r="AJS37" s="79"/>
      <c r="AJT37" s="79"/>
      <c r="AJU37" s="79"/>
      <c r="AJV37" s="79"/>
      <c r="AJW37" s="79"/>
      <c r="AJX37" s="79"/>
      <c r="AJY37" s="79"/>
      <c r="AJZ37" s="79"/>
      <c r="AKA37" s="79"/>
      <c r="AKB37" s="79"/>
      <c r="AKC37" s="79"/>
      <c r="AKD37" s="79"/>
      <c r="AKE37" s="79"/>
      <c r="AKF37" s="79"/>
      <c r="AKG37" s="79"/>
      <c r="AKH37" s="79"/>
      <c r="AKI37" s="79"/>
      <c r="AKJ37" s="79"/>
      <c r="AKK37" s="79"/>
      <c r="AKL37" s="79"/>
      <c r="AKM37" s="79"/>
      <c r="AKN37" s="79"/>
      <c r="AKO37" s="79"/>
      <c r="AKP37" s="79"/>
      <c r="AKQ37" s="79"/>
      <c r="AKR37" s="79"/>
      <c r="AKS37" s="79"/>
      <c r="AKT37" s="79"/>
      <c r="AKU37" s="79"/>
      <c r="AKV37" s="79"/>
      <c r="AKW37" s="79"/>
      <c r="AKX37" s="79"/>
      <c r="AKY37" s="79"/>
      <c r="AKZ37" s="79"/>
      <c r="ALA37" s="79"/>
      <c r="ALB37" s="79"/>
      <c r="ALC37" s="79"/>
      <c r="ALD37" s="79"/>
      <c r="ALE37" s="79"/>
      <c r="ALF37" s="79"/>
      <c r="ALG37" s="79"/>
      <c r="ALH37" s="79"/>
      <c r="ALI37" s="79"/>
      <c r="ALJ37" s="79"/>
      <c r="ALK37" s="79"/>
      <c r="ALL37" s="79"/>
      <c r="ALM37" s="79"/>
      <c r="ALN37" s="79"/>
      <c r="ALO37" s="79"/>
      <c r="ALP37" s="79"/>
      <c r="ALQ37" s="79"/>
      <c r="ALR37" s="79"/>
      <c r="ALS37" s="79"/>
      <c r="ALT37" s="79"/>
      <c r="ALU37" s="79"/>
      <c r="ALV37" s="79"/>
      <c r="ALW37" s="79"/>
      <c r="ALX37" s="79"/>
      <c r="ALY37" s="79"/>
      <c r="ALZ37" s="79"/>
      <c r="AMA37" s="79"/>
      <c r="AMB37" s="79"/>
      <c r="AMC37" s="79"/>
      <c r="AMD37" s="79"/>
      <c r="AME37" s="79"/>
      <c r="AMF37" s="79"/>
      <c r="AMG37" s="79"/>
      <c r="AMH37" s="79"/>
      <c r="AMI37" s="79"/>
      <c r="AMJ37" s="79"/>
      <c r="AMK37" s="79"/>
      <c r="AML37" s="79"/>
      <c r="AMM37" s="79"/>
      <c r="AMN37" s="79"/>
      <c r="AMO37" s="79"/>
      <c r="AMP37" s="79"/>
      <c r="AMQ37" s="79"/>
      <c r="AMR37" s="79"/>
      <c r="AMS37" s="79"/>
      <c r="AMT37" s="79"/>
      <c r="AMU37" s="79"/>
      <c r="AMV37" s="79"/>
      <c r="AMW37" s="79"/>
      <c r="AMX37" s="79"/>
      <c r="AMY37" s="79"/>
      <c r="AMZ37" s="79"/>
      <c r="ANA37" s="79"/>
      <c r="ANB37" s="79"/>
      <c r="ANC37" s="79"/>
      <c r="AND37" s="79"/>
      <c r="ANE37" s="79"/>
      <c r="ANF37" s="79"/>
      <c r="ANG37" s="79"/>
      <c r="ANH37" s="79"/>
      <c r="ANI37" s="79"/>
      <c r="ANJ37" s="79"/>
      <c r="ANK37" s="79"/>
      <c r="ANL37" s="79"/>
      <c r="ANM37" s="79"/>
      <c r="ANN37" s="79"/>
      <c r="ANO37" s="79"/>
      <c r="ANP37" s="79"/>
      <c r="ANQ37" s="79"/>
      <c r="ANR37" s="79"/>
      <c r="ANS37" s="79"/>
      <c r="ANT37" s="79"/>
      <c r="ANU37" s="79"/>
      <c r="ANV37" s="79"/>
      <c r="ANW37" s="79"/>
      <c r="ANX37" s="79"/>
      <c r="ANY37" s="79"/>
      <c r="ANZ37" s="79"/>
      <c r="AOA37" s="79"/>
      <c r="AOB37" s="79"/>
      <c r="AOC37" s="79"/>
      <c r="AOD37" s="79"/>
      <c r="AOE37" s="79"/>
      <c r="AOF37" s="79"/>
      <c r="AOG37" s="79"/>
      <c r="AOH37" s="79"/>
      <c r="AOI37" s="79"/>
      <c r="AOJ37" s="79"/>
      <c r="AOK37" s="79"/>
      <c r="AOL37" s="79"/>
      <c r="AOM37" s="79"/>
      <c r="AON37" s="79"/>
      <c r="AOO37" s="79"/>
      <c r="AOP37" s="79"/>
      <c r="AOQ37" s="79"/>
      <c r="AOR37" s="79"/>
      <c r="AOS37" s="79"/>
      <c r="AOT37" s="79"/>
      <c r="AOU37" s="79"/>
      <c r="AOV37" s="79"/>
      <c r="AOW37" s="79"/>
      <c r="AOX37" s="79"/>
      <c r="AOY37" s="79"/>
      <c r="AOZ37" s="79"/>
      <c r="APA37" s="79"/>
      <c r="APB37" s="79"/>
      <c r="APC37" s="79"/>
      <c r="APD37" s="79"/>
      <c r="APE37" s="79"/>
      <c r="APF37" s="79"/>
      <c r="APG37" s="79"/>
      <c r="APH37" s="79"/>
      <c r="API37" s="79"/>
      <c r="APJ37" s="79"/>
      <c r="APK37" s="79"/>
      <c r="APL37" s="79"/>
      <c r="APM37" s="79"/>
      <c r="APN37" s="79"/>
      <c r="APO37" s="79"/>
      <c r="APP37" s="79"/>
      <c r="APQ37" s="79"/>
      <c r="APR37" s="79"/>
      <c r="APS37" s="79"/>
      <c r="APT37" s="79"/>
      <c r="APU37" s="79"/>
      <c r="APV37" s="79"/>
      <c r="APW37" s="79"/>
      <c r="APX37" s="79"/>
      <c r="APY37" s="79"/>
      <c r="APZ37" s="79"/>
      <c r="AQA37" s="79"/>
      <c r="AQB37" s="79"/>
      <c r="AQC37" s="79"/>
      <c r="AQD37" s="79"/>
      <c r="AQE37" s="79"/>
      <c r="AQF37" s="79"/>
      <c r="AQG37" s="79"/>
      <c r="AQH37" s="79"/>
      <c r="AQI37" s="79"/>
      <c r="AQJ37" s="79"/>
      <c r="AQK37" s="79"/>
      <c r="AQL37" s="79"/>
      <c r="AQM37" s="79"/>
      <c r="AQN37" s="79"/>
      <c r="AQO37" s="79"/>
      <c r="AQP37" s="79"/>
      <c r="AQQ37" s="79"/>
      <c r="AQR37" s="79"/>
      <c r="AQS37" s="79"/>
      <c r="AQT37" s="79"/>
      <c r="AQU37" s="79"/>
      <c r="AQV37" s="79"/>
      <c r="AQW37" s="79"/>
      <c r="AQX37" s="79"/>
      <c r="AQY37" s="79"/>
      <c r="AQZ37" s="79"/>
      <c r="ARA37" s="79"/>
      <c r="ARB37" s="79"/>
      <c r="ARC37" s="79"/>
      <c r="ARD37" s="79"/>
      <c r="ARE37" s="79"/>
      <c r="ARF37" s="79"/>
      <c r="ARG37" s="79"/>
      <c r="ARH37" s="79"/>
      <c r="ARI37" s="79"/>
      <c r="ARJ37" s="79"/>
      <c r="ARK37" s="79"/>
      <c r="ARL37" s="79"/>
      <c r="ARM37" s="79"/>
      <c r="ARN37" s="79"/>
      <c r="ARO37" s="79"/>
      <c r="ARP37" s="79"/>
      <c r="ARQ37" s="79"/>
      <c r="ARR37" s="79"/>
      <c r="ARS37" s="79"/>
      <c r="ART37" s="79"/>
      <c r="ARU37" s="79"/>
      <c r="ARV37" s="79"/>
      <c r="ARW37" s="79"/>
      <c r="ARX37" s="79"/>
      <c r="ARY37" s="79"/>
      <c r="ARZ37" s="79"/>
      <c r="ASA37" s="79"/>
      <c r="ASB37" s="79"/>
      <c r="ASC37" s="79"/>
      <c r="ASD37" s="79"/>
      <c r="ASE37" s="79"/>
      <c r="ASF37" s="79"/>
      <c r="ASG37" s="79"/>
      <c r="ASH37" s="79"/>
      <c r="ASI37" s="79"/>
      <c r="ASJ37" s="79"/>
      <c r="ASK37" s="79"/>
      <c r="ASL37" s="79"/>
      <c r="ASM37" s="79"/>
      <c r="ASN37" s="79"/>
      <c r="ASO37" s="79"/>
      <c r="ASP37" s="79"/>
      <c r="ASQ37" s="79"/>
      <c r="ASR37" s="79"/>
      <c r="ASS37" s="79"/>
      <c r="AST37" s="79"/>
      <c r="ASU37" s="79"/>
      <c r="ASV37" s="79"/>
      <c r="ASW37" s="79"/>
      <c r="ASX37" s="79"/>
      <c r="ASY37" s="79"/>
      <c r="ASZ37" s="79"/>
      <c r="ATA37" s="79"/>
      <c r="ATB37" s="79"/>
      <c r="ATC37" s="79"/>
      <c r="ATD37" s="79"/>
      <c r="ATE37" s="79"/>
      <c r="ATF37" s="79"/>
      <c r="ATG37" s="79"/>
      <c r="ATH37" s="79"/>
      <c r="ATI37" s="79"/>
      <c r="ATJ37" s="79"/>
      <c r="ATK37" s="79"/>
      <c r="ATL37" s="79"/>
      <c r="ATM37" s="79"/>
      <c r="ATN37" s="79"/>
      <c r="ATO37" s="79"/>
      <c r="ATP37" s="79"/>
      <c r="ATQ37" s="79"/>
      <c r="ATR37" s="79"/>
      <c r="ATS37" s="79"/>
      <c r="ATT37" s="79"/>
      <c r="ATU37" s="79"/>
      <c r="ATV37" s="79"/>
      <c r="ATW37" s="79"/>
      <c r="ATX37" s="79"/>
      <c r="ATY37" s="79"/>
      <c r="ATZ37" s="79"/>
      <c r="AUA37" s="79"/>
      <c r="AUB37" s="79"/>
      <c r="AUC37" s="79"/>
      <c r="AUD37" s="79"/>
      <c r="AUE37" s="79"/>
      <c r="AUF37" s="79"/>
      <c r="AUG37" s="79"/>
      <c r="AUH37" s="79"/>
      <c r="AUI37" s="79"/>
      <c r="AUJ37" s="79"/>
      <c r="AUK37" s="79"/>
      <c r="AUL37" s="79"/>
      <c r="AUM37" s="79"/>
      <c r="AUN37" s="79"/>
      <c r="AUO37" s="79"/>
      <c r="AUP37" s="79"/>
      <c r="AUQ37" s="79"/>
      <c r="AUR37" s="79"/>
      <c r="AUS37" s="79"/>
      <c r="AUT37" s="79"/>
      <c r="AUU37" s="79"/>
      <c r="AUV37" s="79"/>
      <c r="AUW37" s="79"/>
      <c r="AUX37" s="79"/>
      <c r="AUY37" s="79"/>
      <c r="AUZ37" s="79"/>
      <c r="AVA37" s="79"/>
      <c r="AVB37" s="79"/>
      <c r="AVC37" s="79"/>
      <c r="AVD37" s="79"/>
      <c r="AVE37" s="79"/>
      <c r="AVF37" s="79"/>
      <c r="AVG37" s="79"/>
      <c r="AVH37" s="79"/>
      <c r="AVI37" s="79"/>
      <c r="AVJ37" s="79"/>
      <c r="AVK37" s="79"/>
      <c r="AVL37" s="79"/>
      <c r="AVM37" s="79"/>
      <c r="AVN37" s="79"/>
      <c r="AVO37" s="79"/>
      <c r="AVP37" s="79"/>
      <c r="AVQ37" s="79"/>
      <c r="AVR37" s="79"/>
      <c r="AVS37" s="79"/>
      <c r="AVT37" s="79"/>
      <c r="AVU37" s="79"/>
      <c r="AVV37" s="79"/>
      <c r="AVW37" s="79"/>
      <c r="AVX37" s="79"/>
      <c r="AVY37" s="79"/>
      <c r="AVZ37" s="79"/>
      <c r="AWA37" s="79"/>
      <c r="AWB37" s="79"/>
      <c r="AWC37" s="79"/>
      <c r="AWD37" s="79"/>
      <c r="AWE37" s="79"/>
      <c r="AWF37" s="79"/>
      <c r="AWG37" s="79"/>
      <c r="AWH37" s="79"/>
      <c r="AWI37" s="79"/>
      <c r="AWJ37" s="79"/>
      <c r="AWK37" s="79"/>
      <c r="AWL37" s="79"/>
      <c r="AWM37" s="79"/>
      <c r="AWN37" s="79"/>
      <c r="AWO37" s="79"/>
      <c r="AWP37" s="79"/>
      <c r="AWQ37" s="79"/>
      <c r="AWR37" s="79"/>
      <c r="AWS37" s="79"/>
      <c r="AWT37" s="79"/>
      <c r="AWU37" s="79"/>
      <c r="AWV37" s="79"/>
      <c r="AWW37" s="79"/>
      <c r="AWX37" s="79"/>
      <c r="AWY37" s="79"/>
      <c r="AWZ37" s="79"/>
      <c r="AXA37" s="79"/>
      <c r="AXB37" s="79"/>
      <c r="AXC37" s="79"/>
      <c r="AXD37" s="79"/>
      <c r="AXE37" s="79"/>
      <c r="AXF37" s="79"/>
      <c r="AXG37" s="79"/>
      <c r="AXH37" s="79"/>
      <c r="AXI37" s="79"/>
      <c r="AXJ37" s="79"/>
      <c r="AXK37" s="79"/>
      <c r="AXL37" s="79"/>
      <c r="AXM37" s="79"/>
      <c r="AXN37" s="79"/>
      <c r="AXO37" s="79"/>
      <c r="AXP37" s="79"/>
      <c r="AXQ37" s="79"/>
      <c r="AXR37" s="79"/>
      <c r="AXS37" s="79"/>
      <c r="AXT37" s="79"/>
      <c r="AXU37" s="79"/>
      <c r="AXV37" s="79"/>
      <c r="AXW37" s="79"/>
      <c r="AXX37" s="79"/>
      <c r="AXY37" s="79"/>
      <c r="AXZ37" s="79"/>
      <c r="AYA37" s="79"/>
      <c r="AYB37" s="79"/>
      <c r="AYC37" s="79"/>
      <c r="AYD37" s="79"/>
      <c r="AYE37" s="79"/>
      <c r="AYF37" s="79"/>
      <c r="AYG37" s="79"/>
      <c r="AYH37" s="79"/>
      <c r="AYI37" s="79"/>
      <c r="AYJ37" s="79"/>
      <c r="AYK37" s="79"/>
      <c r="AYL37" s="79"/>
      <c r="AYM37" s="79"/>
      <c r="AYN37" s="79"/>
      <c r="AYO37" s="79"/>
      <c r="AYP37" s="79"/>
      <c r="AYQ37" s="79"/>
      <c r="AYR37" s="79"/>
      <c r="AYS37" s="79"/>
      <c r="AYT37" s="79"/>
      <c r="AYU37" s="79"/>
      <c r="AYV37" s="79"/>
      <c r="AYW37" s="79"/>
      <c r="AYX37" s="79"/>
      <c r="AYY37" s="79"/>
      <c r="AYZ37" s="79"/>
      <c r="AZA37" s="79"/>
      <c r="AZB37" s="79"/>
      <c r="AZC37" s="79"/>
      <c r="AZD37" s="79"/>
      <c r="AZE37" s="79"/>
      <c r="AZF37" s="79"/>
      <c r="AZG37" s="79"/>
      <c r="AZH37" s="79"/>
      <c r="AZI37" s="79"/>
      <c r="AZJ37" s="79"/>
      <c r="AZK37" s="79"/>
      <c r="AZL37" s="79"/>
      <c r="AZM37" s="79"/>
      <c r="AZN37" s="79"/>
      <c r="AZO37" s="79"/>
      <c r="AZP37" s="79"/>
      <c r="AZQ37" s="79"/>
      <c r="AZR37" s="79"/>
      <c r="AZS37" s="79"/>
      <c r="AZT37" s="79"/>
      <c r="AZU37" s="79"/>
      <c r="AZV37" s="79"/>
      <c r="AZW37" s="79"/>
      <c r="AZX37" s="79"/>
      <c r="AZY37" s="79"/>
      <c r="AZZ37" s="79"/>
      <c r="BAA37" s="79"/>
      <c r="BAB37" s="79"/>
      <c r="BAC37" s="79"/>
      <c r="BAD37" s="79"/>
      <c r="BAE37" s="79"/>
      <c r="BAF37" s="79"/>
      <c r="BAG37" s="79"/>
      <c r="BAH37" s="79"/>
      <c r="BAI37" s="79"/>
      <c r="BAJ37" s="79"/>
      <c r="BAK37" s="79"/>
      <c r="BAL37" s="79"/>
      <c r="BAM37" s="79"/>
      <c r="BAN37" s="79"/>
      <c r="BAO37" s="79"/>
      <c r="BAP37" s="79"/>
      <c r="BAQ37" s="79"/>
      <c r="BAR37" s="79"/>
      <c r="BAS37" s="79"/>
      <c r="BAT37" s="79"/>
      <c r="BAU37" s="79"/>
      <c r="BAV37" s="79"/>
      <c r="BAW37" s="79"/>
      <c r="BAX37" s="79"/>
      <c r="BAY37" s="79"/>
      <c r="BAZ37" s="79"/>
      <c r="BBA37" s="79"/>
      <c r="BBB37" s="79"/>
      <c r="BBC37" s="79"/>
      <c r="BBD37" s="79"/>
      <c r="BBE37" s="79"/>
      <c r="BBF37" s="79"/>
      <c r="BBG37" s="79"/>
      <c r="BBH37" s="79"/>
      <c r="BBI37" s="79"/>
      <c r="BBJ37" s="79"/>
      <c r="BBK37" s="79"/>
      <c r="BBL37" s="79"/>
      <c r="BBM37" s="79"/>
      <c r="BBN37" s="79"/>
      <c r="BBO37" s="79"/>
      <c r="BBP37" s="79"/>
      <c r="BBQ37" s="79"/>
      <c r="BBR37" s="79"/>
      <c r="BBS37" s="79"/>
      <c r="BBT37" s="79"/>
      <c r="BBU37" s="79"/>
      <c r="BBV37" s="79"/>
      <c r="BBW37" s="79"/>
      <c r="BBX37" s="79"/>
      <c r="BBY37" s="79"/>
      <c r="BBZ37" s="79"/>
      <c r="BCA37" s="79"/>
      <c r="BCB37" s="79"/>
      <c r="BCC37" s="79"/>
      <c r="BCD37" s="79"/>
      <c r="BCE37" s="79"/>
      <c r="BCF37" s="79"/>
      <c r="BCG37" s="79"/>
      <c r="BCH37" s="79"/>
      <c r="BCI37" s="79"/>
      <c r="BCJ37" s="79"/>
      <c r="BCK37" s="79"/>
      <c r="BCL37" s="79"/>
      <c r="BCM37" s="79"/>
      <c r="BCN37" s="79"/>
      <c r="BCO37" s="79"/>
      <c r="BCP37" s="79"/>
      <c r="BCQ37" s="79"/>
      <c r="BCR37" s="79"/>
      <c r="BCS37" s="79"/>
      <c r="BCT37" s="79"/>
      <c r="BCU37" s="79"/>
      <c r="BCV37" s="79"/>
      <c r="BCW37" s="79"/>
      <c r="BCX37" s="79"/>
      <c r="BCY37" s="79"/>
      <c r="BCZ37" s="79"/>
      <c r="BDA37" s="79"/>
      <c r="BDB37" s="79"/>
      <c r="BDC37" s="79"/>
      <c r="BDD37" s="79"/>
      <c r="BDE37" s="79"/>
      <c r="BDF37" s="79"/>
      <c r="BDG37" s="79"/>
      <c r="BDH37" s="79"/>
      <c r="BDI37" s="79"/>
      <c r="BDJ37" s="79"/>
      <c r="BDK37" s="79"/>
      <c r="BDL37" s="79"/>
      <c r="BDM37" s="79"/>
      <c r="BDN37" s="79"/>
      <c r="BDO37" s="79"/>
      <c r="BDP37" s="79"/>
      <c r="BDQ37" s="79"/>
      <c r="BDR37" s="79"/>
      <c r="BDS37" s="79"/>
      <c r="BDT37" s="79"/>
      <c r="BDU37" s="79"/>
      <c r="BDV37" s="79"/>
      <c r="BDW37" s="79"/>
      <c r="BDX37" s="79"/>
      <c r="BDY37" s="79"/>
      <c r="BDZ37" s="79"/>
      <c r="BEA37" s="79"/>
      <c r="BEB37" s="79"/>
      <c r="BEC37" s="79"/>
      <c r="BED37" s="79"/>
      <c r="BEE37" s="79"/>
      <c r="BEF37" s="79"/>
      <c r="BEG37" s="79"/>
      <c r="BEH37" s="79"/>
      <c r="BEI37" s="79"/>
      <c r="BEJ37" s="79"/>
      <c r="BEK37" s="79"/>
      <c r="BEL37" s="79"/>
      <c r="BEM37" s="79"/>
      <c r="BEN37" s="79"/>
      <c r="BEO37" s="79"/>
      <c r="BEP37" s="79"/>
      <c r="BEQ37" s="79"/>
      <c r="BER37" s="79"/>
      <c r="BES37" s="79"/>
      <c r="BET37" s="79"/>
      <c r="BEU37" s="79"/>
      <c r="BEV37" s="79"/>
      <c r="BEW37" s="79"/>
      <c r="BEX37" s="79"/>
      <c r="BEY37" s="79"/>
      <c r="BEZ37" s="79"/>
      <c r="BFA37" s="79"/>
      <c r="BFB37" s="79"/>
      <c r="BFC37" s="79"/>
      <c r="BFD37" s="79"/>
      <c r="BFE37" s="79"/>
      <c r="BFF37" s="79"/>
      <c r="BFG37" s="79"/>
      <c r="BFH37" s="79"/>
      <c r="BFI37" s="79"/>
      <c r="BFJ37" s="79"/>
      <c r="BFK37" s="79"/>
      <c r="BFL37" s="79"/>
      <c r="BFM37" s="79"/>
      <c r="BFN37" s="79"/>
      <c r="BFO37" s="79"/>
      <c r="BFP37" s="79"/>
      <c r="BFQ37" s="79"/>
      <c r="BFR37" s="79"/>
      <c r="BFS37" s="79"/>
      <c r="BFT37" s="79"/>
      <c r="BFU37" s="79"/>
      <c r="BFV37" s="79"/>
      <c r="BFW37" s="79"/>
      <c r="BFX37" s="79"/>
      <c r="BFY37" s="79"/>
      <c r="BFZ37" s="79"/>
      <c r="BGA37" s="79"/>
      <c r="BGB37" s="79"/>
      <c r="BGC37" s="79"/>
      <c r="BGD37" s="79"/>
      <c r="BGE37" s="79"/>
      <c r="BGF37" s="79"/>
      <c r="BGG37" s="79"/>
      <c r="BGH37" s="79"/>
      <c r="BGI37" s="79"/>
      <c r="BGJ37" s="79"/>
      <c r="BGK37" s="79"/>
      <c r="BGL37" s="79"/>
      <c r="BGM37" s="79"/>
      <c r="BGN37" s="79"/>
      <c r="BGO37" s="79"/>
      <c r="BGP37" s="79"/>
      <c r="BGQ37" s="79"/>
      <c r="BGR37" s="79"/>
      <c r="BGS37" s="79"/>
      <c r="BGT37" s="79"/>
      <c r="BGU37" s="79"/>
      <c r="BGV37" s="79"/>
      <c r="BGW37" s="79"/>
      <c r="BGX37" s="79"/>
      <c r="BGY37" s="79"/>
      <c r="BGZ37" s="79"/>
      <c r="BHA37" s="79"/>
      <c r="BHB37" s="79"/>
      <c r="BHC37" s="79"/>
      <c r="BHD37" s="79"/>
      <c r="BHE37" s="79"/>
      <c r="BHF37" s="79"/>
      <c r="BHG37" s="79"/>
      <c r="BHH37" s="79"/>
      <c r="BHI37" s="79"/>
      <c r="BHJ37" s="79"/>
      <c r="BHK37" s="79"/>
      <c r="BHL37" s="79"/>
      <c r="BHM37" s="79"/>
      <c r="BHN37" s="79"/>
      <c r="BHO37" s="79"/>
      <c r="BHP37" s="79"/>
      <c r="BHQ37" s="79"/>
      <c r="BHR37" s="79"/>
      <c r="BHS37" s="79"/>
      <c r="BHT37" s="79"/>
      <c r="BHU37" s="79"/>
      <c r="BHV37" s="79"/>
      <c r="BHW37" s="79"/>
      <c r="BHX37" s="79"/>
      <c r="BHY37" s="79"/>
      <c r="BHZ37" s="79"/>
      <c r="BIA37" s="79"/>
      <c r="BIB37" s="79"/>
      <c r="BIC37" s="79"/>
      <c r="BID37" s="79"/>
      <c r="BIE37" s="79"/>
      <c r="BIF37" s="79"/>
      <c r="BIG37" s="79"/>
      <c r="BIH37" s="79"/>
      <c r="BII37" s="79"/>
      <c r="BIJ37" s="79"/>
      <c r="BIK37" s="79"/>
      <c r="BIL37" s="79"/>
      <c r="BIM37" s="79"/>
      <c r="BIN37" s="79"/>
      <c r="BIO37" s="79"/>
      <c r="BIP37" s="79"/>
      <c r="BIQ37" s="79"/>
      <c r="BIR37" s="79"/>
      <c r="BIS37" s="79"/>
      <c r="BIT37" s="79"/>
      <c r="BIU37" s="79"/>
      <c r="BIV37" s="79"/>
      <c r="BIW37" s="79"/>
      <c r="BIX37" s="79"/>
      <c r="BIY37" s="79"/>
      <c r="BIZ37" s="79"/>
      <c r="BJA37" s="79"/>
      <c r="BJB37" s="79"/>
      <c r="BJC37" s="79"/>
      <c r="BJD37" s="79"/>
      <c r="BJE37" s="79"/>
      <c r="BJF37" s="79"/>
      <c r="BJG37" s="79"/>
      <c r="BJH37" s="79"/>
      <c r="BJI37" s="79"/>
      <c r="BJJ37" s="79"/>
      <c r="BJK37" s="79"/>
      <c r="BJL37" s="79"/>
      <c r="BJM37" s="79"/>
      <c r="BJN37" s="79"/>
      <c r="BJO37" s="79"/>
      <c r="BJP37" s="79"/>
      <c r="BJQ37" s="79"/>
      <c r="BJR37" s="79"/>
      <c r="BJS37" s="79"/>
      <c r="BJT37" s="79"/>
      <c r="BJU37" s="79"/>
      <c r="BJV37" s="79"/>
      <c r="BJW37" s="79"/>
      <c r="BJX37" s="79"/>
      <c r="BJY37" s="79"/>
      <c r="BJZ37" s="79"/>
      <c r="BKA37" s="79"/>
      <c r="BKB37" s="79"/>
      <c r="BKC37" s="79"/>
      <c r="BKD37" s="79"/>
      <c r="BKE37" s="79"/>
      <c r="BKF37" s="79"/>
      <c r="BKG37" s="79"/>
      <c r="BKH37" s="79"/>
      <c r="BKI37" s="79"/>
      <c r="BKJ37" s="79"/>
      <c r="BKK37" s="79"/>
      <c r="BKL37" s="79"/>
      <c r="BKM37" s="79"/>
      <c r="BKN37" s="79"/>
      <c r="BKO37" s="79"/>
      <c r="BKP37" s="79"/>
      <c r="BKQ37" s="79"/>
      <c r="BKR37" s="79"/>
      <c r="BKS37" s="79"/>
      <c r="BKT37" s="79"/>
      <c r="BKU37" s="79"/>
      <c r="BKV37" s="79"/>
      <c r="BKW37" s="79"/>
      <c r="BKX37" s="79"/>
      <c r="BKY37" s="79"/>
      <c r="BKZ37" s="79"/>
      <c r="BLA37" s="79"/>
      <c r="BLB37" s="79"/>
      <c r="BLC37" s="79"/>
      <c r="BLD37" s="79"/>
      <c r="BLE37" s="79"/>
      <c r="BLF37" s="79"/>
      <c r="BLG37" s="79"/>
      <c r="BLH37" s="79"/>
      <c r="BLI37" s="79"/>
      <c r="BLJ37" s="79"/>
      <c r="BLK37" s="79"/>
      <c r="BLL37" s="79"/>
      <c r="BLM37" s="79"/>
      <c r="BLN37" s="79"/>
      <c r="BLO37" s="79"/>
      <c r="BLP37" s="79"/>
      <c r="BLQ37" s="79"/>
      <c r="BLR37" s="79"/>
      <c r="BLS37" s="79"/>
      <c r="BLT37" s="79"/>
      <c r="BLU37" s="79"/>
      <c r="BLV37" s="79"/>
      <c r="BLW37" s="79"/>
      <c r="BLX37" s="79"/>
      <c r="BLY37" s="79"/>
      <c r="BLZ37" s="79"/>
      <c r="BMA37" s="79"/>
      <c r="BMB37" s="79"/>
      <c r="BMC37" s="79"/>
      <c r="BMD37" s="79"/>
      <c r="BME37" s="79"/>
      <c r="BMF37" s="79"/>
      <c r="BMG37" s="79"/>
      <c r="BMH37" s="79"/>
      <c r="BMI37" s="79"/>
      <c r="BMJ37" s="79"/>
      <c r="BMK37" s="79"/>
      <c r="BML37" s="79"/>
      <c r="BMM37" s="79"/>
      <c r="BMN37" s="79"/>
      <c r="BMO37" s="79"/>
      <c r="BMP37" s="79"/>
      <c r="BMQ37" s="79"/>
      <c r="BMR37" s="79"/>
      <c r="BMS37" s="79"/>
      <c r="BMT37" s="79"/>
      <c r="BMU37" s="79"/>
      <c r="BMV37" s="79"/>
      <c r="BMW37" s="79"/>
      <c r="BMX37" s="79"/>
      <c r="BMY37" s="79"/>
      <c r="BMZ37" s="79"/>
      <c r="BNA37" s="79"/>
      <c r="BNB37" s="79"/>
      <c r="BNC37" s="79"/>
      <c r="BND37" s="79"/>
      <c r="BNE37" s="79"/>
      <c r="BNF37" s="79"/>
      <c r="BNG37" s="79"/>
      <c r="BNH37" s="79"/>
      <c r="BNI37" s="79"/>
      <c r="BNJ37" s="79"/>
      <c r="BNK37" s="79"/>
      <c r="BNL37" s="79"/>
      <c r="BNM37" s="79"/>
      <c r="BNN37" s="79"/>
      <c r="BNO37" s="79"/>
      <c r="BNP37" s="79"/>
      <c r="BNQ37" s="79"/>
      <c r="BNR37" s="79"/>
      <c r="BNS37" s="79"/>
      <c r="BNT37" s="79"/>
      <c r="BNU37" s="79"/>
      <c r="BNV37" s="79"/>
      <c r="BNW37" s="79"/>
      <c r="BNX37" s="79"/>
      <c r="BNY37" s="79"/>
      <c r="BNZ37" s="79"/>
      <c r="BOA37" s="79"/>
      <c r="BOB37" s="79"/>
      <c r="BOC37" s="79"/>
      <c r="BOD37" s="79"/>
      <c r="BOE37" s="79"/>
      <c r="BOF37" s="79"/>
      <c r="BOG37" s="79"/>
      <c r="BOH37" s="79"/>
      <c r="BOI37" s="79"/>
      <c r="BOJ37" s="79"/>
      <c r="BOK37" s="79"/>
      <c r="BOL37" s="79"/>
      <c r="BOM37" s="79"/>
      <c r="BON37" s="79"/>
      <c r="BOO37" s="79"/>
      <c r="BOP37" s="79"/>
      <c r="BOQ37" s="79"/>
      <c r="BOR37" s="79"/>
      <c r="BOS37" s="79"/>
      <c r="BOT37" s="79"/>
      <c r="BOU37" s="79"/>
      <c r="BOV37" s="79"/>
      <c r="BOW37" s="79"/>
      <c r="BOX37" s="79"/>
      <c r="BOY37" s="79"/>
      <c r="BOZ37" s="79"/>
      <c r="BPA37" s="79"/>
      <c r="BPB37" s="79"/>
      <c r="BPC37" s="79"/>
      <c r="BPD37" s="79"/>
      <c r="BPE37" s="79"/>
      <c r="BPF37" s="79"/>
      <c r="BPG37" s="79"/>
      <c r="BPH37" s="79"/>
      <c r="BPI37" s="79"/>
      <c r="BPJ37" s="79"/>
      <c r="BPK37" s="79"/>
      <c r="BPL37" s="79"/>
      <c r="BPM37" s="79"/>
      <c r="BPN37" s="79"/>
      <c r="BPO37" s="79"/>
      <c r="BPP37" s="79"/>
      <c r="BPQ37" s="79"/>
      <c r="BPR37" s="79"/>
      <c r="BPS37" s="79"/>
      <c r="BPT37" s="79"/>
      <c r="BPU37" s="79"/>
      <c r="BPV37" s="79"/>
      <c r="BPW37" s="79"/>
      <c r="BPX37" s="79"/>
      <c r="BPY37" s="79"/>
      <c r="BPZ37" s="79"/>
      <c r="BQA37" s="79"/>
      <c r="BQB37" s="79"/>
      <c r="BQC37" s="79"/>
      <c r="BQD37" s="79"/>
      <c r="BQE37" s="79"/>
      <c r="BQF37" s="79"/>
      <c r="BQG37" s="79"/>
      <c r="BQH37" s="79"/>
      <c r="BQI37" s="79"/>
      <c r="BQJ37" s="79"/>
      <c r="BQK37" s="79"/>
      <c r="BQL37" s="79"/>
      <c r="BQM37" s="79"/>
      <c r="BQN37" s="79"/>
      <c r="BQO37" s="79"/>
      <c r="BQP37" s="79"/>
      <c r="BQQ37" s="79"/>
      <c r="BQR37" s="79"/>
      <c r="BQS37" s="79"/>
      <c r="BQT37" s="79"/>
      <c r="BQU37" s="79"/>
      <c r="BQV37" s="79"/>
      <c r="BQW37" s="79"/>
      <c r="BQX37" s="79"/>
      <c r="BQY37" s="79"/>
      <c r="BQZ37" s="79"/>
      <c r="BRA37" s="79"/>
      <c r="BRB37" s="79"/>
      <c r="BRC37" s="79"/>
      <c r="BRD37" s="79"/>
      <c r="BRE37" s="79"/>
      <c r="BRF37" s="79"/>
      <c r="BRG37" s="79"/>
      <c r="BRH37" s="79"/>
      <c r="BRI37" s="79"/>
      <c r="BRJ37" s="79"/>
      <c r="BRK37" s="79"/>
      <c r="BRL37" s="79"/>
      <c r="BRM37" s="79"/>
      <c r="BRN37" s="79"/>
      <c r="BRO37" s="79"/>
      <c r="BRP37" s="79"/>
      <c r="BRQ37" s="79"/>
      <c r="BRR37" s="79"/>
      <c r="BRS37" s="79"/>
      <c r="BRT37" s="79"/>
      <c r="BRU37" s="79"/>
      <c r="BRV37" s="79"/>
      <c r="BRW37" s="79"/>
      <c r="BRX37" s="79"/>
      <c r="BRY37" s="79"/>
      <c r="BRZ37" s="79"/>
      <c r="BSA37" s="79"/>
      <c r="BSB37" s="79"/>
      <c r="BSC37" s="79"/>
      <c r="BSD37" s="79"/>
      <c r="BSE37" s="79"/>
      <c r="BSF37" s="79"/>
      <c r="BSG37" s="79"/>
      <c r="BSH37" s="79"/>
      <c r="BSI37" s="79"/>
      <c r="BSJ37" s="79"/>
      <c r="BSK37" s="79"/>
      <c r="BSL37" s="79"/>
      <c r="BSM37" s="79"/>
      <c r="BSN37" s="79"/>
      <c r="BSO37" s="79"/>
      <c r="BSP37" s="79"/>
      <c r="BSQ37" s="79"/>
      <c r="BSR37" s="79"/>
      <c r="BSS37" s="79"/>
      <c r="BST37" s="79"/>
      <c r="BSU37" s="79"/>
      <c r="BSV37" s="79"/>
      <c r="BSW37" s="79"/>
      <c r="BSX37" s="79"/>
      <c r="BSY37" s="79"/>
      <c r="BSZ37" s="79"/>
      <c r="BTA37" s="79"/>
      <c r="BTB37" s="79"/>
      <c r="BTC37" s="79"/>
      <c r="BTD37" s="79"/>
      <c r="BTE37" s="79"/>
      <c r="BTF37" s="79"/>
      <c r="BTG37" s="79"/>
      <c r="BTH37" s="79"/>
      <c r="BTI37" s="79"/>
      <c r="BTJ37" s="79"/>
      <c r="BTK37" s="79"/>
      <c r="BTL37" s="79"/>
      <c r="BTM37" s="79"/>
      <c r="BTN37" s="79"/>
      <c r="BTO37" s="79"/>
      <c r="BTP37" s="79"/>
      <c r="BTQ37" s="79"/>
      <c r="BTR37" s="79"/>
      <c r="BTS37" s="79"/>
      <c r="BTT37" s="79"/>
      <c r="BTU37" s="79"/>
      <c r="BTV37" s="79"/>
      <c r="BTW37" s="79"/>
      <c r="BTX37" s="79"/>
      <c r="BTY37" s="79"/>
      <c r="BTZ37" s="79"/>
      <c r="BUA37" s="79"/>
      <c r="BUB37" s="79"/>
      <c r="BUC37" s="79"/>
      <c r="BUD37" s="79"/>
      <c r="BUE37" s="79"/>
      <c r="BUF37" s="79"/>
      <c r="BUG37" s="79"/>
      <c r="BUH37" s="79"/>
      <c r="BUI37" s="79"/>
      <c r="BUJ37" s="79"/>
      <c r="BUK37" s="79"/>
      <c r="BUL37" s="79"/>
      <c r="BUM37" s="79"/>
      <c r="BUN37" s="79"/>
      <c r="BUO37" s="79"/>
      <c r="BUP37" s="79"/>
      <c r="BUQ37" s="79"/>
      <c r="BUR37" s="79"/>
      <c r="BUS37" s="79"/>
      <c r="BUT37" s="79"/>
      <c r="BUU37" s="79"/>
      <c r="BUV37" s="79"/>
      <c r="BUW37" s="79"/>
      <c r="BUX37" s="79"/>
      <c r="BUY37" s="79"/>
      <c r="BUZ37" s="79"/>
      <c r="BVA37" s="79"/>
      <c r="BVB37" s="79"/>
      <c r="BVC37" s="79"/>
      <c r="BVD37" s="79"/>
      <c r="BVE37" s="79"/>
      <c r="BVF37" s="79"/>
      <c r="BVG37" s="79"/>
      <c r="BVH37" s="79"/>
      <c r="BVI37" s="79"/>
      <c r="BVJ37" s="79"/>
      <c r="BVK37" s="79"/>
      <c r="BVL37" s="79"/>
      <c r="BVM37" s="79"/>
      <c r="BVN37" s="79"/>
      <c r="BVO37" s="79"/>
      <c r="BVP37" s="79"/>
      <c r="BVQ37" s="79"/>
      <c r="BVR37" s="79"/>
      <c r="BVS37" s="79"/>
      <c r="BVT37" s="79"/>
      <c r="BVU37" s="79"/>
      <c r="BVV37" s="79"/>
      <c r="BVW37" s="79"/>
      <c r="BVX37" s="79"/>
      <c r="BVY37" s="79"/>
      <c r="BVZ37" s="79"/>
      <c r="BWA37" s="79"/>
      <c r="BWB37" s="79"/>
      <c r="BWC37" s="79"/>
      <c r="BWD37" s="79"/>
      <c r="BWE37" s="79"/>
      <c r="BWF37" s="79"/>
      <c r="BWG37" s="79"/>
      <c r="BWH37" s="79"/>
      <c r="BWI37" s="79"/>
      <c r="BWJ37" s="79"/>
      <c r="BWK37" s="79"/>
      <c r="BWL37" s="79"/>
      <c r="BWM37" s="79"/>
      <c r="BWN37" s="79"/>
      <c r="BWO37" s="79"/>
      <c r="BWP37" s="79"/>
      <c r="BWQ37" s="79"/>
      <c r="BWR37" s="79"/>
      <c r="BWS37" s="79"/>
      <c r="BWT37" s="79"/>
      <c r="BWU37" s="79"/>
      <c r="BWV37" s="79"/>
      <c r="BWW37" s="79"/>
      <c r="BWX37" s="79"/>
      <c r="BWY37" s="79"/>
      <c r="BWZ37" s="79"/>
      <c r="BXA37" s="79"/>
      <c r="BXB37" s="79"/>
      <c r="BXC37" s="79"/>
      <c r="BXD37" s="79"/>
      <c r="BXE37" s="79"/>
      <c r="BXF37" s="79"/>
      <c r="BXG37" s="79"/>
      <c r="BXH37" s="79"/>
      <c r="BXI37" s="79"/>
      <c r="BXJ37" s="79"/>
      <c r="BXK37" s="79"/>
      <c r="BXL37" s="79"/>
      <c r="BXM37" s="79"/>
      <c r="BXN37" s="79"/>
      <c r="BXO37" s="79"/>
      <c r="BXP37" s="79"/>
      <c r="BXQ37" s="79"/>
      <c r="BXR37" s="79"/>
      <c r="BXS37" s="79"/>
      <c r="BXT37" s="79"/>
      <c r="BXU37" s="79"/>
      <c r="BXV37" s="79"/>
      <c r="BXW37" s="79"/>
      <c r="BXX37" s="79"/>
      <c r="BXY37" s="79"/>
      <c r="BXZ37" s="79"/>
      <c r="BYA37" s="79"/>
      <c r="BYB37" s="79"/>
      <c r="BYC37" s="79"/>
      <c r="BYD37" s="79"/>
      <c r="BYE37" s="79"/>
      <c r="BYF37" s="79"/>
      <c r="BYG37" s="79"/>
      <c r="BYH37" s="79"/>
      <c r="BYI37" s="79"/>
      <c r="BYJ37" s="79"/>
      <c r="BYK37" s="79"/>
      <c r="BYL37" s="79"/>
      <c r="BYM37" s="79"/>
      <c r="BYN37" s="79"/>
      <c r="BYO37" s="79"/>
      <c r="BYP37" s="79"/>
      <c r="BYQ37" s="79"/>
      <c r="BYR37" s="79"/>
      <c r="BYS37" s="79"/>
      <c r="BYT37" s="79"/>
      <c r="BYU37" s="79"/>
      <c r="BYV37" s="79"/>
      <c r="BYW37" s="79"/>
      <c r="BYX37" s="79"/>
      <c r="BYY37" s="79"/>
      <c r="BYZ37" s="79"/>
      <c r="BZA37" s="79"/>
      <c r="BZB37" s="79"/>
      <c r="BZC37" s="79"/>
      <c r="BZD37" s="79"/>
      <c r="BZE37" s="79"/>
      <c r="BZF37" s="79"/>
      <c r="BZG37" s="79"/>
      <c r="BZH37" s="79"/>
      <c r="BZI37" s="79"/>
      <c r="BZJ37" s="79"/>
      <c r="BZK37" s="79"/>
      <c r="BZL37" s="79"/>
      <c r="BZM37" s="79"/>
      <c r="BZN37" s="79"/>
      <c r="BZO37" s="79"/>
      <c r="BZP37" s="79"/>
      <c r="BZQ37" s="79"/>
      <c r="BZR37" s="79"/>
      <c r="BZS37" s="79"/>
      <c r="BZT37" s="79"/>
      <c r="BZU37" s="79"/>
      <c r="BZV37" s="79"/>
      <c r="BZW37" s="79"/>
      <c r="BZX37" s="79"/>
      <c r="BZY37" s="79"/>
      <c r="BZZ37" s="79"/>
      <c r="CAA37" s="79"/>
      <c r="CAB37" s="79"/>
      <c r="CAC37" s="79"/>
      <c r="CAD37" s="79"/>
      <c r="CAE37" s="79"/>
      <c r="CAF37" s="79"/>
      <c r="CAG37" s="79"/>
      <c r="CAH37" s="79"/>
      <c r="CAI37" s="79"/>
      <c r="CAJ37" s="79"/>
      <c r="CAK37" s="79"/>
      <c r="CAL37" s="79"/>
      <c r="CAM37" s="79"/>
      <c r="CAN37" s="79"/>
      <c r="CAO37" s="79"/>
      <c r="CAP37" s="79"/>
      <c r="CAQ37" s="79"/>
      <c r="CAR37" s="79"/>
      <c r="CAS37" s="79"/>
      <c r="CAT37" s="79"/>
      <c r="CAU37" s="79"/>
      <c r="CAV37" s="79"/>
      <c r="CAW37" s="79"/>
      <c r="CAX37" s="79"/>
      <c r="CAY37" s="79"/>
      <c r="CAZ37" s="79"/>
      <c r="CBA37" s="79"/>
      <c r="CBB37" s="79"/>
      <c r="CBC37" s="79"/>
      <c r="CBD37" s="79"/>
      <c r="CBE37" s="79"/>
      <c r="CBF37" s="79"/>
      <c r="CBG37" s="79"/>
      <c r="CBH37" s="79"/>
      <c r="CBI37" s="79"/>
      <c r="CBJ37" s="79"/>
      <c r="CBK37" s="79"/>
      <c r="CBL37" s="79"/>
      <c r="CBM37" s="79"/>
      <c r="CBN37" s="79"/>
      <c r="CBO37" s="79"/>
      <c r="CBP37" s="79"/>
      <c r="CBQ37" s="79"/>
      <c r="CBR37" s="79"/>
      <c r="CBS37" s="79"/>
      <c r="CBT37" s="79"/>
      <c r="CBU37" s="79"/>
      <c r="CBV37" s="79"/>
      <c r="CBW37" s="79"/>
      <c r="CBX37" s="79"/>
      <c r="CBY37" s="79"/>
      <c r="CBZ37" s="79"/>
      <c r="CCA37" s="79"/>
      <c r="CCB37" s="79"/>
      <c r="CCC37" s="79"/>
      <c r="CCD37" s="79"/>
      <c r="CCE37" s="79"/>
      <c r="CCF37" s="79"/>
      <c r="CCG37" s="79"/>
      <c r="CCH37" s="79"/>
      <c r="CCI37" s="79"/>
      <c r="CCJ37" s="79"/>
      <c r="CCK37" s="79"/>
      <c r="CCL37" s="79"/>
      <c r="CCM37" s="79"/>
      <c r="CCN37" s="79"/>
      <c r="CCO37" s="79"/>
      <c r="CCP37" s="79"/>
      <c r="CCQ37" s="79"/>
      <c r="CCR37" s="79"/>
      <c r="CCS37" s="79"/>
      <c r="CCT37" s="79"/>
      <c r="CCU37" s="79"/>
      <c r="CCV37" s="79"/>
      <c r="CCW37" s="79"/>
      <c r="CCX37" s="79"/>
      <c r="CCY37" s="79"/>
      <c r="CCZ37" s="79"/>
      <c r="CDA37" s="79"/>
      <c r="CDB37" s="79"/>
      <c r="CDC37" s="79"/>
      <c r="CDD37" s="79"/>
      <c r="CDE37" s="79"/>
      <c r="CDF37" s="79"/>
      <c r="CDG37" s="79"/>
      <c r="CDH37" s="79"/>
      <c r="CDI37" s="79"/>
      <c r="CDJ37" s="79"/>
      <c r="CDK37" s="79"/>
      <c r="CDL37" s="79"/>
      <c r="CDM37" s="79"/>
      <c r="CDN37" s="79"/>
      <c r="CDO37" s="79"/>
      <c r="CDP37" s="79"/>
      <c r="CDQ37" s="79"/>
      <c r="CDR37" s="79"/>
      <c r="CDS37" s="79"/>
      <c r="CDT37" s="79"/>
      <c r="CDU37" s="79"/>
      <c r="CDV37" s="79"/>
      <c r="CDW37" s="79"/>
      <c r="CDX37" s="79"/>
      <c r="CDY37" s="79"/>
      <c r="CDZ37" s="79"/>
      <c r="CEA37" s="79"/>
      <c r="CEB37" s="79"/>
      <c r="CEC37" s="79"/>
      <c r="CED37" s="79"/>
      <c r="CEE37" s="79"/>
      <c r="CEF37" s="79"/>
      <c r="CEG37" s="79"/>
      <c r="CEH37" s="79"/>
      <c r="CEI37" s="79"/>
      <c r="CEJ37" s="79"/>
      <c r="CEK37" s="79"/>
      <c r="CEL37" s="79"/>
      <c r="CEM37" s="79"/>
      <c r="CEN37" s="79"/>
      <c r="CEO37" s="79"/>
      <c r="CEP37" s="79"/>
      <c r="CEQ37" s="79"/>
      <c r="CER37" s="79"/>
      <c r="CES37" s="79"/>
      <c r="CET37" s="79"/>
      <c r="CEU37" s="79"/>
      <c r="CEV37" s="79"/>
      <c r="CEW37" s="79"/>
      <c r="CEX37" s="79"/>
      <c r="CEY37" s="79"/>
      <c r="CEZ37" s="79"/>
      <c r="CFA37" s="79"/>
      <c r="CFB37" s="79"/>
      <c r="CFC37" s="79"/>
      <c r="CFD37" s="79"/>
      <c r="CFE37" s="79"/>
      <c r="CFF37" s="79"/>
      <c r="CFG37" s="79"/>
      <c r="CFH37" s="79"/>
      <c r="CFI37" s="79"/>
      <c r="CFJ37" s="79"/>
      <c r="CFK37" s="79"/>
      <c r="CFL37" s="79"/>
      <c r="CFM37" s="79"/>
      <c r="CFN37" s="79"/>
      <c r="CFO37" s="79"/>
      <c r="CFP37" s="79"/>
      <c r="CFQ37" s="79"/>
      <c r="CFR37" s="79"/>
      <c r="CFS37" s="79"/>
      <c r="CFT37" s="79"/>
      <c r="CFU37" s="79"/>
      <c r="CFV37" s="79"/>
      <c r="CFW37" s="79"/>
      <c r="CFX37" s="79"/>
      <c r="CFY37" s="79"/>
      <c r="CFZ37" s="79"/>
      <c r="CGA37" s="79"/>
      <c r="CGB37" s="79"/>
      <c r="CGC37" s="79"/>
      <c r="CGD37" s="79"/>
      <c r="CGE37" s="79"/>
      <c r="CGF37" s="79"/>
      <c r="CGG37" s="79"/>
      <c r="CGH37" s="79"/>
      <c r="CGI37" s="79"/>
      <c r="CGJ37" s="79"/>
      <c r="CGK37" s="79"/>
      <c r="CGL37" s="79"/>
      <c r="CGM37" s="79"/>
      <c r="CGN37" s="79"/>
      <c r="CGO37" s="79"/>
      <c r="CGP37" s="79"/>
      <c r="CGQ37" s="79"/>
      <c r="CGR37" s="79"/>
      <c r="CGS37" s="79"/>
      <c r="CGT37" s="79"/>
      <c r="CGU37" s="79"/>
      <c r="CGV37" s="79"/>
      <c r="CGW37" s="79"/>
      <c r="CGX37" s="79"/>
      <c r="CGY37" s="79"/>
      <c r="CGZ37" s="79"/>
      <c r="CHA37" s="79"/>
      <c r="CHB37" s="79"/>
      <c r="CHC37" s="79"/>
      <c r="CHD37" s="79"/>
      <c r="CHE37" s="79"/>
      <c r="CHF37" s="79"/>
      <c r="CHG37" s="79"/>
      <c r="CHH37" s="79"/>
      <c r="CHI37" s="79"/>
      <c r="CHJ37" s="79"/>
      <c r="CHK37" s="79"/>
      <c r="CHL37" s="79"/>
      <c r="CHM37" s="79"/>
      <c r="CHN37" s="79"/>
      <c r="CHO37" s="79"/>
      <c r="CHP37" s="79"/>
      <c r="CHQ37" s="79"/>
      <c r="CHR37" s="79"/>
      <c r="CHS37" s="79"/>
      <c r="CHT37" s="79"/>
      <c r="CHU37" s="79"/>
      <c r="CHV37" s="79"/>
      <c r="CHW37" s="79"/>
      <c r="CHX37" s="79"/>
      <c r="CHY37" s="79"/>
      <c r="CHZ37" s="79"/>
      <c r="CIA37" s="79"/>
      <c r="CIB37" s="79"/>
      <c r="CIC37" s="79"/>
      <c r="CID37" s="79"/>
      <c r="CIE37" s="79"/>
      <c r="CIF37" s="79"/>
      <c r="CIG37" s="79"/>
      <c r="CIH37" s="79"/>
      <c r="CII37" s="79"/>
      <c r="CIJ37" s="79"/>
      <c r="CIK37" s="79"/>
      <c r="CIL37" s="79"/>
      <c r="CIM37" s="79"/>
      <c r="CIN37" s="79"/>
      <c r="CIO37" s="79"/>
      <c r="CIP37" s="79"/>
      <c r="CIQ37" s="79"/>
      <c r="CIR37" s="79"/>
      <c r="CIS37" s="79"/>
      <c r="CIT37" s="79"/>
      <c r="CIU37" s="79"/>
      <c r="CIV37" s="79"/>
      <c r="CIW37" s="79"/>
      <c r="CIX37" s="79"/>
      <c r="CIY37" s="79"/>
      <c r="CIZ37" s="79"/>
      <c r="CJA37" s="79"/>
      <c r="CJB37" s="79"/>
      <c r="CJC37" s="79"/>
      <c r="CJD37" s="79"/>
      <c r="CJE37" s="79"/>
      <c r="CJF37" s="79"/>
      <c r="CJG37" s="79"/>
      <c r="CJH37" s="79"/>
      <c r="CJI37" s="79"/>
      <c r="CJJ37" s="79"/>
      <c r="CJK37" s="79"/>
      <c r="CJL37" s="79"/>
      <c r="CJM37" s="79"/>
      <c r="CJN37" s="79"/>
      <c r="CJO37" s="79"/>
      <c r="CJP37" s="79"/>
      <c r="CJQ37" s="79"/>
      <c r="CJR37" s="79"/>
      <c r="CJS37" s="79"/>
      <c r="CJT37" s="79"/>
      <c r="CJU37" s="79"/>
      <c r="CJV37" s="79"/>
      <c r="CJW37" s="79"/>
      <c r="CJX37" s="79"/>
      <c r="CJY37" s="79"/>
      <c r="CJZ37" s="79"/>
      <c r="CKA37" s="79"/>
      <c r="CKB37" s="79"/>
      <c r="CKC37" s="79"/>
      <c r="CKD37" s="79"/>
      <c r="CKE37" s="79"/>
      <c r="CKF37" s="79"/>
      <c r="CKG37" s="79"/>
      <c r="CKH37" s="79"/>
      <c r="CKI37" s="79"/>
      <c r="CKJ37" s="79"/>
      <c r="CKK37" s="79"/>
      <c r="CKL37" s="79"/>
      <c r="CKM37" s="79"/>
      <c r="CKN37" s="79"/>
      <c r="CKO37" s="79"/>
      <c r="CKP37" s="79"/>
      <c r="CKQ37" s="79"/>
      <c r="CKR37" s="79"/>
      <c r="CKS37" s="79"/>
      <c r="CKT37" s="79"/>
      <c r="CKU37" s="79"/>
      <c r="CKV37" s="79"/>
      <c r="CKW37" s="79"/>
      <c r="CKX37" s="79"/>
      <c r="CKY37" s="79"/>
      <c r="CKZ37" s="79"/>
      <c r="CLA37" s="79"/>
      <c r="CLB37" s="79"/>
      <c r="CLC37" s="79"/>
      <c r="CLD37" s="79"/>
      <c r="CLE37" s="79"/>
      <c r="CLF37" s="79"/>
      <c r="CLG37" s="79"/>
      <c r="CLH37" s="79"/>
      <c r="CLI37" s="79"/>
      <c r="CLJ37" s="79"/>
      <c r="CLK37" s="79"/>
      <c r="CLL37" s="79"/>
      <c r="CLM37" s="79"/>
      <c r="CLN37" s="79"/>
      <c r="CLO37" s="79"/>
      <c r="CLP37" s="79"/>
      <c r="CLQ37" s="79"/>
      <c r="CLR37" s="79"/>
      <c r="CLS37" s="79"/>
      <c r="CLT37" s="79"/>
      <c r="CLU37" s="79"/>
      <c r="CLV37" s="79"/>
      <c r="CLW37" s="79"/>
      <c r="CLX37" s="79"/>
      <c r="CLY37" s="79"/>
      <c r="CLZ37" s="79"/>
      <c r="CMA37" s="79"/>
      <c r="CMB37" s="79"/>
      <c r="CMC37" s="79"/>
      <c r="CMD37" s="79"/>
      <c r="CME37" s="79"/>
      <c r="CMF37" s="79"/>
      <c r="CMG37" s="79"/>
      <c r="CMH37" s="79"/>
      <c r="CMI37" s="79"/>
      <c r="CMJ37" s="79"/>
      <c r="CMK37" s="79"/>
      <c r="CML37" s="79"/>
      <c r="CMM37" s="79"/>
      <c r="CMN37" s="79"/>
      <c r="CMO37" s="79"/>
      <c r="CMP37" s="79"/>
      <c r="CMQ37" s="79"/>
      <c r="CMR37" s="79"/>
      <c r="CMS37" s="79"/>
      <c r="CMT37" s="79"/>
      <c r="CMU37" s="79"/>
      <c r="CMV37" s="79"/>
      <c r="CMW37" s="79"/>
      <c r="CMX37" s="79"/>
      <c r="CMY37" s="79"/>
      <c r="CMZ37" s="79"/>
      <c r="CNA37" s="79"/>
      <c r="CNB37" s="79"/>
      <c r="CNC37" s="79"/>
      <c r="CND37" s="79"/>
      <c r="CNE37" s="79"/>
      <c r="CNF37" s="79"/>
      <c r="CNG37" s="79"/>
      <c r="CNH37" s="79"/>
      <c r="CNI37" s="79"/>
      <c r="CNJ37" s="79"/>
      <c r="CNK37" s="79"/>
      <c r="CNL37" s="79"/>
      <c r="CNM37" s="79"/>
      <c r="CNN37" s="79"/>
      <c r="CNO37" s="79"/>
      <c r="CNP37" s="79"/>
      <c r="CNQ37" s="79"/>
      <c r="CNR37" s="79"/>
      <c r="CNS37" s="79"/>
      <c r="CNT37" s="79"/>
      <c r="CNU37" s="79"/>
      <c r="CNV37" s="79"/>
      <c r="CNW37" s="79"/>
      <c r="CNX37" s="79"/>
      <c r="CNY37" s="79"/>
      <c r="CNZ37" s="79"/>
      <c r="COA37" s="79"/>
      <c r="COB37" s="79"/>
      <c r="COC37" s="79"/>
      <c r="COD37" s="79"/>
      <c r="COE37" s="79"/>
      <c r="COF37" s="79"/>
      <c r="COG37" s="79"/>
      <c r="COH37" s="79"/>
      <c r="COI37" s="79"/>
      <c r="COJ37" s="79"/>
      <c r="COK37" s="79"/>
      <c r="COL37" s="79"/>
      <c r="COM37" s="79"/>
      <c r="CON37" s="79"/>
      <c r="COO37" s="79"/>
      <c r="COP37" s="79"/>
      <c r="COQ37" s="79"/>
      <c r="COR37" s="79"/>
      <c r="COS37" s="79"/>
      <c r="COT37" s="79"/>
      <c r="COU37" s="79"/>
      <c r="COV37" s="79"/>
      <c r="COW37" s="79"/>
      <c r="COX37" s="79"/>
      <c r="COY37" s="79"/>
      <c r="COZ37" s="79"/>
      <c r="CPA37" s="79"/>
      <c r="CPB37" s="79"/>
      <c r="CPC37" s="79"/>
      <c r="CPD37" s="79"/>
      <c r="CPE37" s="79"/>
      <c r="CPF37" s="79"/>
      <c r="CPG37" s="79"/>
      <c r="CPH37" s="79"/>
      <c r="CPI37" s="79"/>
      <c r="CPJ37" s="79"/>
      <c r="CPK37" s="79"/>
      <c r="CPL37" s="79"/>
      <c r="CPM37" s="79"/>
      <c r="CPN37" s="79"/>
      <c r="CPO37" s="79"/>
      <c r="CPP37" s="79"/>
      <c r="CPQ37" s="79"/>
      <c r="CPR37" s="79"/>
      <c r="CPS37" s="79"/>
      <c r="CPT37" s="79"/>
      <c r="CPU37" s="79"/>
      <c r="CPV37" s="79"/>
      <c r="CPW37" s="79"/>
      <c r="CPX37" s="79"/>
      <c r="CPY37" s="79"/>
      <c r="CPZ37" s="79"/>
      <c r="CQA37" s="79"/>
      <c r="CQB37" s="79"/>
      <c r="CQC37" s="79"/>
      <c r="CQD37" s="79"/>
      <c r="CQE37" s="79"/>
      <c r="CQF37" s="79"/>
      <c r="CQG37" s="79"/>
      <c r="CQH37" s="79"/>
      <c r="CQI37" s="79"/>
      <c r="CQJ37" s="79"/>
      <c r="CQK37" s="79"/>
      <c r="CQL37" s="79"/>
      <c r="CQM37" s="79"/>
      <c r="CQN37" s="79"/>
      <c r="CQO37" s="79"/>
      <c r="CQP37" s="79"/>
      <c r="CQQ37" s="79"/>
      <c r="CQR37" s="79"/>
      <c r="CQS37" s="79"/>
      <c r="CQT37" s="79"/>
      <c r="CQU37" s="79"/>
      <c r="CQV37" s="79"/>
      <c r="CQW37" s="79"/>
      <c r="CQX37" s="79"/>
      <c r="CQY37" s="79"/>
      <c r="CQZ37" s="79"/>
      <c r="CRA37" s="79"/>
      <c r="CRB37" s="79"/>
      <c r="CRC37" s="79"/>
      <c r="CRD37" s="79"/>
      <c r="CRE37" s="79"/>
      <c r="CRF37" s="79"/>
      <c r="CRG37" s="79"/>
      <c r="CRH37" s="79"/>
      <c r="CRI37" s="79"/>
      <c r="CRJ37" s="79"/>
      <c r="CRK37" s="79"/>
      <c r="CRL37" s="79"/>
      <c r="CRM37" s="79"/>
      <c r="CRN37" s="79"/>
      <c r="CRO37" s="79"/>
      <c r="CRP37" s="79"/>
      <c r="CRQ37" s="79"/>
      <c r="CRR37" s="79"/>
      <c r="CRS37" s="79"/>
      <c r="CRT37" s="79"/>
      <c r="CRU37" s="79"/>
      <c r="CRV37" s="79"/>
      <c r="CRW37" s="79"/>
      <c r="CRX37" s="79"/>
      <c r="CRY37" s="79"/>
      <c r="CRZ37" s="79"/>
      <c r="CSA37" s="79"/>
      <c r="CSB37" s="79"/>
      <c r="CSC37" s="79"/>
      <c r="CSD37" s="79"/>
      <c r="CSE37" s="79"/>
      <c r="CSF37" s="79"/>
      <c r="CSG37" s="79"/>
      <c r="CSH37" s="79"/>
      <c r="CSI37" s="79"/>
      <c r="CSJ37" s="79"/>
      <c r="CSK37" s="79"/>
      <c r="CSL37" s="79"/>
      <c r="CSM37" s="79"/>
      <c r="CSN37" s="79"/>
      <c r="CSO37" s="79"/>
      <c r="CSP37" s="79"/>
      <c r="CSQ37" s="79"/>
      <c r="CSR37" s="79"/>
      <c r="CSS37" s="79"/>
      <c r="CST37" s="79"/>
      <c r="CSU37" s="79"/>
      <c r="CSV37" s="79"/>
      <c r="CSW37" s="79"/>
      <c r="CSX37" s="79"/>
      <c r="CSY37" s="79"/>
      <c r="CSZ37" s="79"/>
      <c r="CTA37" s="79"/>
      <c r="CTB37" s="79"/>
      <c r="CTC37" s="79"/>
      <c r="CTD37" s="79"/>
      <c r="CTE37" s="79"/>
      <c r="CTF37" s="79"/>
      <c r="CTG37" s="79"/>
      <c r="CTH37" s="79"/>
      <c r="CTI37" s="79"/>
      <c r="CTJ37" s="79"/>
      <c r="CTK37" s="79"/>
      <c r="CTL37" s="79"/>
      <c r="CTM37" s="79"/>
      <c r="CTN37" s="79"/>
      <c r="CTO37" s="79"/>
      <c r="CTP37" s="79"/>
      <c r="CTQ37" s="79"/>
      <c r="CTR37" s="79"/>
      <c r="CTS37" s="79"/>
      <c r="CTT37" s="79"/>
      <c r="CTU37" s="79"/>
      <c r="CTV37" s="79"/>
      <c r="CTW37" s="79"/>
      <c r="CTX37" s="79"/>
      <c r="CTY37" s="79"/>
      <c r="CTZ37" s="79"/>
      <c r="CUA37" s="79"/>
      <c r="CUB37" s="79"/>
      <c r="CUC37" s="79"/>
      <c r="CUD37" s="79"/>
      <c r="CUE37" s="79"/>
      <c r="CUF37" s="79"/>
      <c r="CUG37" s="79"/>
      <c r="CUH37" s="79"/>
      <c r="CUI37" s="79"/>
      <c r="CUJ37" s="79"/>
      <c r="CUK37" s="79"/>
      <c r="CUL37" s="79"/>
      <c r="CUM37" s="79"/>
      <c r="CUN37" s="79"/>
      <c r="CUO37" s="79"/>
      <c r="CUP37" s="79"/>
      <c r="CUQ37" s="79"/>
      <c r="CUR37" s="79"/>
      <c r="CUS37" s="79"/>
      <c r="CUT37" s="79"/>
      <c r="CUU37" s="79"/>
      <c r="CUV37" s="79"/>
      <c r="CUW37" s="79"/>
      <c r="CUX37" s="79"/>
      <c r="CUY37" s="79"/>
      <c r="CUZ37" s="79"/>
      <c r="CVA37" s="79"/>
      <c r="CVB37" s="79"/>
      <c r="CVC37" s="79"/>
      <c r="CVD37" s="79"/>
      <c r="CVE37" s="79"/>
      <c r="CVF37" s="79"/>
      <c r="CVG37" s="79"/>
      <c r="CVH37" s="79"/>
      <c r="CVI37" s="79"/>
      <c r="CVJ37" s="79"/>
      <c r="CVK37" s="79"/>
      <c r="CVL37" s="79"/>
      <c r="CVM37" s="79"/>
      <c r="CVN37" s="79"/>
      <c r="CVO37" s="79"/>
      <c r="CVP37" s="79"/>
      <c r="CVQ37" s="79"/>
      <c r="CVR37" s="79"/>
      <c r="CVS37" s="79"/>
      <c r="CVT37" s="79"/>
      <c r="CVU37" s="79"/>
      <c r="CVV37" s="79"/>
      <c r="CVW37" s="79"/>
      <c r="CVX37" s="79"/>
      <c r="CVY37" s="79"/>
      <c r="CVZ37" s="79"/>
      <c r="CWA37" s="79"/>
      <c r="CWB37" s="79"/>
      <c r="CWC37" s="79"/>
      <c r="CWD37" s="79"/>
      <c r="CWE37" s="79"/>
      <c r="CWF37" s="79"/>
      <c r="CWG37" s="79"/>
      <c r="CWH37" s="79"/>
      <c r="CWI37" s="79"/>
      <c r="CWJ37" s="79"/>
      <c r="CWK37" s="79"/>
      <c r="CWL37" s="79"/>
      <c r="CWM37" s="79"/>
      <c r="CWN37" s="79"/>
      <c r="CWO37" s="79"/>
      <c r="CWP37" s="79"/>
      <c r="CWQ37" s="79"/>
      <c r="CWR37" s="79"/>
      <c r="CWS37" s="79"/>
      <c r="CWT37" s="79"/>
      <c r="CWU37" s="79"/>
      <c r="CWV37" s="79"/>
      <c r="CWW37" s="79"/>
      <c r="CWX37" s="79"/>
      <c r="CWY37" s="79"/>
      <c r="CWZ37" s="79"/>
      <c r="CXA37" s="79"/>
      <c r="CXB37" s="79"/>
      <c r="CXC37" s="79"/>
      <c r="CXD37" s="79"/>
      <c r="CXE37" s="79"/>
      <c r="CXF37" s="79"/>
      <c r="CXG37" s="79"/>
      <c r="CXH37" s="79"/>
      <c r="CXI37" s="79"/>
      <c r="CXJ37" s="79"/>
      <c r="CXK37" s="79"/>
      <c r="CXL37" s="79"/>
      <c r="CXM37" s="79"/>
      <c r="CXN37" s="79"/>
      <c r="CXO37" s="79"/>
      <c r="CXP37" s="79"/>
      <c r="CXQ37" s="79"/>
      <c r="CXR37" s="79"/>
      <c r="CXS37" s="79"/>
      <c r="CXT37" s="79"/>
      <c r="CXU37" s="79"/>
      <c r="CXV37" s="79"/>
      <c r="CXW37" s="79"/>
      <c r="CXX37" s="79"/>
      <c r="CXY37" s="79"/>
      <c r="CXZ37" s="79"/>
      <c r="CYA37" s="79"/>
      <c r="CYB37" s="79"/>
      <c r="CYC37" s="79"/>
      <c r="CYD37" s="79"/>
      <c r="CYE37" s="79"/>
      <c r="CYF37" s="79"/>
      <c r="CYG37" s="79"/>
      <c r="CYH37" s="79"/>
      <c r="CYI37" s="79"/>
      <c r="CYJ37" s="79"/>
      <c r="CYK37" s="79"/>
      <c r="CYL37" s="79"/>
      <c r="CYM37" s="79"/>
      <c r="CYN37" s="79"/>
      <c r="CYO37" s="79"/>
      <c r="CYP37" s="79"/>
      <c r="CYQ37" s="79"/>
      <c r="CYR37" s="79"/>
      <c r="CYS37" s="79"/>
      <c r="CYT37" s="79"/>
      <c r="CYU37" s="79"/>
      <c r="CYV37" s="79"/>
      <c r="CYW37" s="79"/>
      <c r="CYX37" s="79"/>
      <c r="CYY37" s="79"/>
      <c r="CYZ37" s="79"/>
      <c r="CZA37" s="79"/>
      <c r="CZB37" s="79"/>
      <c r="CZC37" s="79"/>
      <c r="CZD37" s="79"/>
      <c r="CZE37" s="79"/>
      <c r="CZF37" s="79"/>
      <c r="CZG37" s="79"/>
      <c r="CZH37" s="79"/>
      <c r="CZI37" s="79"/>
      <c r="CZJ37" s="79"/>
      <c r="CZK37" s="79"/>
      <c r="CZL37" s="79"/>
      <c r="CZM37" s="79"/>
      <c r="CZN37" s="79"/>
      <c r="CZO37" s="79"/>
      <c r="CZP37" s="79"/>
      <c r="CZQ37" s="79"/>
      <c r="CZR37" s="79"/>
      <c r="CZS37" s="79"/>
      <c r="CZT37" s="79"/>
      <c r="CZU37" s="79"/>
      <c r="CZV37" s="79"/>
      <c r="CZW37" s="79"/>
      <c r="CZX37" s="79"/>
      <c r="CZY37" s="79"/>
      <c r="CZZ37" s="79"/>
      <c r="DAA37" s="79"/>
      <c r="DAB37" s="79"/>
      <c r="DAC37" s="79"/>
      <c r="DAD37" s="79"/>
      <c r="DAE37" s="79"/>
      <c r="DAF37" s="79"/>
      <c r="DAG37" s="79"/>
      <c r="DAH37" s="79"/>
      <c r="DAI37" s="79"/>
      <c r="DAJ37" s="79"/>
      <c r="DAK37" s="79"/>
      <c r="DAL37" s="79"/>
      <c r="DAM37" s="79"/>
      <c r="DAN37" s="79"/>
      <c r="DAO37" s="79"/>
      <c r="DAP37" s="79"/>
      <c r="DAQ37" s="79"/>
      <c r="DAR37" s="79"/>
      <c r="DAS37" s="79"/>
      <c r="DAT37" s="79"/>
      <c r="DAU37" s="79"/>
      <c r="DAV37" s="79"/>
      <c r="DAW37" s="79"/>
      <c r="DAX37" s="79"/>
      <c r="DAY37" s="79"/>
      <c r="DAZ37" s="79"/>
      <c r="DBA37" s="79"/>
      <c r="DBB37" s="79"/>
      <c r="DBC37" s="79"/>
      <c r="DBD37" s="79"/>
      <c r="DBE37" s="79"/>
      <c r="DBF37" s="79"/>
      <c r="DBG37" s="79"/>
      <c r="DBH37" s="79"/>
      <c r="DBI37" s="79"/>
      <c r="DBJ37" s="79"/>
      <c r="DBK37" s="79"/>
      <c r="DBL37" s="79"/>
      <c r="DBM37" s="79"/>
      <c r="DBN37" s="79"/>
      <c r="DBO37" s="79"/>
      <c r="DBP37" s="79"/>
      <c r="DBQ37" s="79"/>
      <c r="DBR37" s="79"/>
      <c r="DBS37" s="79"/>
      <c r="DBT37" s="79"/>
      <c r="DBU37" s="79"/>
      <c r="DBV37" s="79"/>
      <c r="DBW37" s="79"/>
      <c r="DBX37" s="79"/>
      <c r="DBY37" s="79"/>
      <c r="DBZ37" s="79"/>
      <c r="DCA37" s="79"/>
      <c r="DCB37" s="79"/>
      <c r="DCC37" s="79"/>
      <c r="DCD37" s="79"/>
      <c r="DCE37" s="79"/>
      <c r="DCF37" s="79"/>
      <c r="DCG37" s="79"/>
      <c r="DCH37" s="79"/>
      <c r="DCI37" s="79"/>
      <c r="DCJ37" s="79"/>
      <c r="DCK37" s="79"/>
      <c r="DCL37" s="79"/>
      <c r="DCM37" s="79"/>
      <c r="DCN37" s="79"/>
      <c r="DCO37" s="79"/>
      <c r="DCP37" s="79"/>
      <c r="DCQ37" s="79"/>
      <c r="DCR37" s="79"/>
      <c r="DCS37" s="79"/>
      <c r="DCT37" s="79"/>
      <c r="DCU37" s="79"/>
      <c r="DCV37" s="79"/>
      <c r="DCW37" s="79"/>
      <c r="DCX37" s="79"/>
      <c r="DCY37" s="79"/>
      <c r="DCZ37" s="79"/>
      <c r="DDA37" s="79"/>
      <c r="DDB37" s="79"/>
      <c r="DDC37" s="79"/>
      <c r="DDD37" s="79"/>
      <c r="DDE37" s="79"/>
      <c r="DDF37" s="79"/>
      <c r="DDG37" s="79"/>
      <c r="DDH37" s="79"/>
      <c r="DDI37" s="79"/>
      <c r="DDJ37" s="79"/>
      <c r="DDK37" s="79"/>
      <c r="DDL37" s="79"/>
      <c r="DDM37" s="79"/>
      <c r="DDN37" s="79"/>
      <c r="DDO37" s="79"/>
      <c r="DDP37" s="79"/>
      <c r="DDQ37" s="79"/>
      <c r="DDR37" s="79"/>
      <c r="DDS37" s="79"/>
      <c r="DDT37" s="79"/>
      <c r="DDU37" s="79"/>
      <c r="DDV37" s="79"/>
      <c r="DDW37" s="79"/>
      <c r="DDX37" s="79"/>
      <c r="DDY37" s="79"/>
      <c r="DDZ37" s="79"/>
      <c r="DEA37" s="79"/>
      <c r="DEB37" s="79"/>
      <c r="DEC37" s="79"/>
      <c r="DED37" s="79"/>
      <c r="DEE37" s="79"/>
      <c r="DEF37" s="79"/>
      <c r="DEG37" s="79"/>
      <c r="DEH37" s="79"/>
      <c r="DEI37" s="79"/>
      <c r="DEJ37" s="79"/>
      <c r="DEK37" s="79"/>
      <c r="DEL37" s="79"/>
      <c r="DEM37" s="79"/>
      <c r="DEN37" s="79"/>
      <c r="DEO37" s="79"/>
      <c r="DEP37" s="79"/>
      <c r="DEQ37" s="79"/>
      <c r="DER37" s="79"/>
      <c r="DES37" s="79"/>
      <c r="DET37" s="79"/>
      <c r="DEU37" s="79"/>
      <c r="DEV37" s="79"/>
      <c r="DEW37" s="79"/>
      <c r="DEX37" s="79"/>
      <c r="DEY37" s="79"/>
      <c r="DEZ37" s="79"/>
      <c r="DFA37" s="79"/>
      <c r="DFB37" s="79"/>
      <c r="DFC37" s="79"/>
      <c r="DFD37" s="79"/>
      <c r="DFE37" s="79"/>
      <c r="DFF37" s="79"/>
      <c r="DFG37" s="79"/>
      <c r="DFH37" s="79"/>
      <c r="DFI37" s="79"/>
      <c r="DFJ37" s="79"/>
      <c r="DFK37" s="79"/>
      <c r="DFL37" s="79"/>
      <c r="DFM37" s="79"/>
      <c r="DFN37" s="79"/>
      <c r="DFO37" s="79"/>
      <c r="DFP37" s="79"/>
      <c r="DFQ37" s="79"/>
      <c r="DFR37" s="79"/>
      <c r="DFS37" s="79"/>
      <c r="DFT37" s="79"/>
      <c r="DFU37" s="79"/>
      <c r="DFV37" s="79"/>
      <c r="DFW37" s="79"/>
      <c r="DFX37" s="79"/>
      <c r="DFY37" s="79"/>
      <c r="DFZ37" s="79"/>
      <c r="DGA37" s="79"/>
      <c r="DGB37" s="79"/>
      <c r="DGC37" s="79"/>
      <c r="DGD37" s="79"/>
      <c r="DGE37" s="79"/>
      <c r="DGF37" s="79"/>
      <c r="DGG37" s="79"/>
      <c r="DGH37" s="79"/>
      <c r="DGI37" s="79"/>
      <c r="DGJ37" s="79"/>
      <c r="DGK37" s="79"/>
      <c r="DGL37" s="79"/>
      <c r="DGM37" s="79"/>
      <c r="DGN37" s="79"/>
      <c r="DGO37" s="79"/>
      <c r="DGP37" s="79"/>
      <c r="DGQ37" s="79"/>
      <c r="DGR37" s="79"/>
      <c r="DGS37" s="79"/>
      <c r="DGT37" s="79"/>
      <c r="DGU37" s="79"/>
      <c r="DGV37" s="79"/>
      <c r="DGW37" s="79"/>
      <c r="DGX37" s="79"/>
      <c r="DGY37" s="79"/>
      <c r="DGZ37" s="79"/>
      <c r="DHA37" s="79"/>
      <c r="DHB37" s="79"/>
      <c r="DHC37" s="79"/>
      <c r="DHD37" s="79"/>
      <c r="DHE37" s="79"/>
      <c r="DHF37" s="79"/>
      <c r="DHG37" s="79"/>
      <c r="DHH37" s="79"/>
      <c r="DHI37" s="79"/>
      <c r="DHJ37" s="79"/>
      <c r="DHK37" s="79"/>
      <c r="DHL37" s="79"/>
      <c r="DHM37" s="79"/>
      <c r="DHN37" s="79"/>
      <c r="DHO37" s="79"/>
      <c r="DHP37" s="79"/>
      <c r="DHQ37" s="79"/>
      <c r="DHR37" s="79"/>
      <c r="DHS37" s="79"/>
      <c r="DHT37" s="79"/>
      <c r="DHU37" s="79"/>
      <c r="DHV37" s="79"/>
      <c r="DHW37" s="79"/>
      <c r="DHX37" s="79"/>
      <c r="DHY37" s="79"/>
      <c r="DHZ37" s="79"/>
      <c r="DIA37" s="79"/>
      <c r="DIB37" s="79"/>
      <c r="DIC37" s="79"/>
      <c r="DID37" s="79"/>
      <c r="DIE37" s="79"/>
      <c r="DIF37" s="79"/>
      <c r="DIG37" s="79"/>
      <c r="DIH37" s="79"/>
      <c r="DII37" s="79"/>
      <c r="DIJ37" s="79"/>
      <c r="DIK37" s="79"/>
      <c r="DIL37" s="79"/>
      <c r="DIM37" s="79"/>
      <c r="DIN37" s="79"/>
      <c r="DIO37" s="79"/>
      <c r="DIP37" s="79"/>
      <c r="DIQ37" s="79"/>
      <c r="DIR37" s="79"/>
      <c r="DIS37" s="79"/>
      <c r="DIT37" s="79"/>
      <c r="DIU37" s="79"/>
      <c r="DIV37" s="79"/>
      <c r="DIW37" s="79"/>
      <c r="DIX37" s="79"/>
      <c r="DIY37" s="79"/>
      <c r="DIZ37" s="79"/>
      <c r="DJA37" s="79"/>
      <c r="DJB37" s="79"/>
      <c r="DJC37" s="79"/>
      <c r="DJD37" s="79"/>
      <c r="DJE37" s="79"/>
      <c r="DJF37" s="79"/>
      <c r="DJG37" s="79"/>
      <c r="DJH37" s="79"/>
      <c r="DJI37" s="79"/>
      <c r="DJJ37" s="79"/>
      <c r="DJK37" s="79"/>
      <c r="DJL37" s="79"/>
      <c r="DJM37" s="79"/>
      <c r="DJN37" s="79"/>
      <c r="DJO37" s="79"/>
      <c r="DJP37" s="79"/>
      <c r="DJQ37" s="79"/>
      <c r="DJR37" s="79"/>
      <c r="DJS37" s="79"/>
      <c r="DJT37" s="79"/>
      <c r="DJU37" s="79"/>
      <c r="DJV37" s="79"/>
      <c r="DJW37" s="79"/>
      <c r="DJX37" s="79"/>
      <c r="DJY37" s="79"/>
      <c r="DJZ37" s="79"/>
      <c r="DKA37" s="79"/>
      <c r="DKB37" s="79"/>
      <c r="DKC37" s="79"/>
      <c r="DKD37" s="79"/>
      <c r="DKE37" s="79"/>
      <c r="DKF37" s="79"/>
      <c r="DKG37" s="79"/>
      <c r="DKH37" s="79"/>
      <c r="DKI37" s="79"/>
      <c r="DKJ37" s="79"/>
      <c r="DKK37" s="79"/>
      <c r="DKL37" s="79"/>
      <c r="DKM37" s="79"/>
      <c r="DKN37" s="79"/>
      <c r="DKO37" s="79"/>
      <c r="DKP37" s="79"/>
      <c r="DKQ37" s="79"/>
      <c r="DKR37" s="79"/>
      <c r="DKS37" s="79"/>
      <c r="DKT37" s="79"/>
      <c r="DKU37" s="79"/>
      <c r="DKV37" s="79"/>
      <c r="DKW37" s="79"/>
      <c r="DKX37" s="79"/>
      <c r="DKY37" s="79"/>
      <c r="DKZ37" s="79"/>
      <c r="DLA37" s="79"/>
      <c r="DLB37" s="79"/>
      <c r="DLC37" s="79"/>
      <c r="DLD37" s="79"/>
      <c r="DLE37" s="79"/>
      <c r="DLF37" s="79"/>
      <c r="DLG37" s="79"/>
      <c r="DLH37" s="79"/>
      <c r="DLI37" s="79"/>
      <c r="DLJ37" s="79"/>
      <c r="DLK37" s="79"/>
      <c r="DLL37" s="79"/>
      <c r="DLM37" s="79"/>
      <c r="DLN37" s="79"/>
      <c r="DLO37" s="79"/>
      <c r="DLP37" s="79"/>
      <c r="DLQ37" s="79"/>
      <c r="DLR37" s="79"/>
      <c r="DLS37" s="79"/>
      <c r="DLT37" s="79"/>
      <c r="DLU37" s="79"/>
      <c r="DLV37" s="79"/>
      <c r="DLW37" s="79"/>
      <c r="DLX37" s="79"/>
      <c r="DLY37" s="79"/>
      <c r="DLZ37" s="79"/>
      <c r="DMA37" s="79"/>
      <c r="DMB37" s="79"/>
      <c r="DMC37" s="79"/>
      <c r="DMD37" s="79"/>
      <c r="DME37" s="79"/>
      <c r="DMF37" s="79"/>
      <c r="DMG37" s="79"/>
      <c r="DMH37" s="79"/>
      <c r="DMI37" s="79"/>
      <c r="DMJ37" s="79"/>
      <c r="DMK37" s="79"/>
      <c r="DML37" s="79"/>
      <c r="DMM37" s="79"/>
      <c r="DMN37" s="79"/>
      <c r="DMO37" s="79"/>
      <c r="DMP37" s="79"/>
      <c r="DMQ37" s="79"/>
      <c r="DMR37" s="79"/>
      <c r="DMS37" s="79"/>
      <c r="DMT37" s="79"/>
      <c r="DMU37" s="79"/>
      <c r="DMV37" s="79"/>
      <c r="DMW37" s="79"/>
      <c r="DMX37" s="79"/>
      <c r="DMY37" s="79"/>
      <c r="DMZ37" s="79"/>
      <c r="DNA37" s="79"/>
      <c r="DNB37" s="79"/>
      <c r="DNC37" s="79"/>
      <c r="DND37" s="79"/>
      <c r="DNE37" s="79"/>
      <c r="DNF37" s="79"/>
      <c r="DNG37" s="79"/>
      <c r="DNH37" s="79"/>
      <c r="DNI37" s="79"/>
      <c r="DNJ37" s="79"/>
      <c r="DNK37" s="79"/>
      <c r="DNL37" s="79"/>
      <c r="DNM37" s="79"/>
      <c r="DNN37" s="79"/>
      <c r="DNO37" s="79"/>
      <c r="DNP37" s="79"/>
      <c r="DNQ37" s="79"/>
      <c r="DNR37" s="79"/>
      <c r="DNS37" s="79"/>
      <c r="DNT37" s="79"/>
      <c r="DNU37" s="79"/>
      <c r="DNV37" s="79"/>
      <c r="DNW37" s="79"/>
      <c r="DNX37" s="79"/>
      <c r="DNY37" s="79"/>
      <c r="DNZ37" s="79"/>
      <c r="DOA37" s="79"/>
      <c r="DOB37" s="79"/>
      <c r="DOC37" s="79"/>
      <c r="DOD37" s="79"/>
      <c r="DOE37" s="79"/>
      <c r="DOF37" s="79"/>
      <c r="DOG37" s="79"/>
      <c r="DOH37" s="79"/>
      <c r="DOI37" s="79"/>
      <c r="DOJ37" s="79"/>
      <c r="DOK37" s="79"/>
      <c r="DOL37" s="79"/>
      <c r="DOM37" s="79"/>
      <c r="DON37" s="79"/>
      <c r="DOO37" s="79"/>
      <c r="DOP37" s="79"/>
      <c r="DOQ37" s="79"/>
      <c r="DOR37" s="79"/>
      <c r="DOS37" s="79"/>
      <c r="DOT37" s="79"/>
      <c r="DOU37" s="79"/>
      <c r="DOV37" s="79"/>
      <c r="DOW37" s="79"/>
      <c r="DOX37" s="79"/>
      <c r="DOY37" s="79"/>
      <c r="DOZ37" s="79"/>
      <c r="DPA37" s="79"/>
      <c r="DPB37" s="79"/>
      <c r="DPC37" s="79"/>
      <c r="DPD37" s="79"/>
      <c r="DPE37" s="79"/>
      <c r="DPF37" s="79"/>
      <c r="DPG37" s="79"/>
      <c r="DPH37" s="79"/>
      <c r="DPI37" s="79"/>
      <c r="DPJ37" s="79"/>
      <c r="DPK37" s="79"/>
      <c r="DPL37" s="79"/>
      <c r="DPM37" s="79"/>
      <c r="DPN37" s="79"/>
      <c r="DPO37" s="79"/>
      <c r="DPP37" s="79"/>
      <c r="DPQ37" s="79"/>
      <c r="DPR37" s="79"/>
      <c r="DPS37" s="79"/>
      <c r="DPT37" s="79"/>
      <c r="DPU37" s="79"/>
      <c r="DPV37" s="79"/>
      <c r="DPW37" s="79"/>
      <c r="DPX37" s="79"/>
      <c r="DPY37" s="79"/>
      <c r="DPZ37" s="79"/>
      <c r="DQA37" s="79"/>
      <c r="DQB37" s="79"/>
      <c r="DQC37" s="79"/>
      <c r="DQD37" s="79"/>
      <c r="DQE37" s="79"/>
      <c r="DQF37" s="79"/>
      <c r="DQG37" s="79"/>
      <c r="DQH37" s="79"/>
      <c r="DQI37" s="79"/>
      <c r="DQJ37" s="79"/>
      <c r="DQK37" s="79"/>
      <c r="DQL37" s="79"/>
      <c r="DQM37" s="79"/>
      <c r="DQN37" s="79"/>
      <c r="DQO37" s="79"/>
      <c r="DQP37" s="79"/>
      <c r="DQQ37" s="79"/>
      <c r="DQR37" s="79"/>
      <c r="DQS37" s="79"/>
      <c r="DQT37" s="79"/>
      <c r="DQU37" s="79"/>
      <c r="DQV37" s="79"/>
      <c r="DQW37" s="79"/>
      <c r="DQX37" s="79"/>
      <c r="DQY37" s="79"/>
      <c r="DQZ37" s="79"/>
      <c r="DRA37" s="79"/>
      <c r="DRB37" s="79"/>
      <c r="DRC37" s="79"/>
      <c r="DRD37" s="79"/>
      <c r="DRE37" s="79"/>
      <c r="DRF37" s="79"/>
      <c r="DRG37" s="79"/>
      <c r="DRH37" s="79"/>
      <c r="DRI37" s="79"/>
      <c r="DRJ37" s="79"/>
      <c r="DRK37" s="79"/>
      <c r="DRL37" s="79"/>
      <c r="DRM37" s="79"/>
      <c r="DRN37" s="79"/>
      <c r="DRO37" s="79"/>
      <c r="DRP37" s="79"/>
      <c r="DRQ37" s="79"/>
      <c r="DRR37" s="79"/>
      <c r="DRS37" s="79"/>
      <c r="DRT37" s="79"/>
      <c r="DRU37" s="79"/>
      <c r="DRV37" s="79"/>
      <c r="DRW37" s="79"/>
      <c r="DRX37" s="79"/>
      <c r="DRY37" s="79"/>
      <c r="DRZ37" s="79"/>
      <c r="DSA37" s="79"/>
      <c r="DSB37" s="79"/>
      <c r="DSC37" s="79"/>
      <c r="DSD37" s="79"/>
      <c r="DSE37" s="79"/>
      <c r="DSF37" s="79"/>
      <c r="DSG37" s="79"/>
      <c r="DSH37" s="79"/>
      <c r="DSI37" s="79"/>
      <c r="DSJ37" s="79"/>
      <c r="DSK37" s="79"/>
      <c r="DSL37" s="79"/>
      <c r="DSM37" s="79"/>
      <c r="DSN37" s="79"/>
      <c r="DSO37" s="79"/>
      <c r="DSP37" s="79"/>
      <c r="DSQ37" s="79"/>
      <c r="DSR37" s="79"/>
      <c r="DSS37" s="79"/>
      <c r="DST37" s="79"/>
      <c r="DSU37" s="79"/>
      <c r="DSV37" s="79"/>
      <c r="DSW37" s="79"/>
      <c r="DSX37" s="79"/>
      <c r="DSY37" s="79"/>
      <c r="DSZ37" s="79"/>
      <c r="DTA37" s="79"/>
      <c r="DTB37" s="79"/>
      <c r="DTC37" s="79"/>
      <c r="DTD37" s="79"/>
      <c r="DTE37" s="79"/>
      <c r="DTF37" s="79"/>
      <c r="DTG37" s="79"/>
      <c r="DTH37" s="79"/>
      <c r="DTI37" s="79"/>
      <c r="DTJ37" s="79"/>
      <c r="DTK37" s="79"/>
      <c r="DTL37" s="79"/>
      <c r="DTM37" s="79"/>
      <c r="DTN37" s="79"/>
      <c r="DTO37" s="79"/>
      <c r="DTP37" s="79"/>
      <c r="DTQ37" s="79"/>
      <c r="DTR37" s="79"/>
      <c r="DTS37" s="79"/>
      <c r="DTT37" s="79"/>
      <c r="DTU37" s="79"/>
      <c r="DTV37" s="79"/>
      <c r="DTW37" s="79"/>
      <c r="DTX37" s="79"/>
      <c r="DTY37" s="79"/>
      <c r="DTZ37" s="79"/>
      <c r="DUA37" s="79"/>
      <c r="DUB37" s="79"/>
      <c r="DUC37" s="79"/>
      <c r="DUD37" s="79"/>
      <c r="DUE37" s="79"/>
      <c r="DUF37" s="79"/>
      <c r="DUG37" s="79"/>
      <c r="DUH37" s="79"/>
      <c r="DUI37" s="79"/>
      <c r="DUJ37" s="79"/>
      <c r="DUK37" s="79"/>
      <c r="DUL37" s="79"/>
      <c r="DUM37" s="79"/>
      <c r="DUN37" s="79"/>
      <c r="DUO37" s="79"/>
      <c r="DUP37" s="79"/>
      <c r="DUQ37" s="79"/>
      <c r="DUR37" s="79"/>
      <c r="DUS37" s="79"/>
      <c r="DUT37" s="79"/>
      <c r="DUU37" s="79"/>
      <c r="DUV37" s="79"/>
      <c r="DUW37" s="79"/>
      <c r="DUX37" s="79"/>
      <c r="DUY37" s="79"/>
      <c r="DUZ37" s="79"/>
      <c r="DVA37" s="79"/>
      <c r="DVB37" s="79"/>
      <c r="DVC37" s="79"/>
      <c r="DVD37" s="79"/>
      <c r="DVE37" s="79"/>
      <c r="DVF37" s="79"/>
      <c r="DVG37" s="79"/>
      <c r="DVH37" s="79"/>
      <c r="DVI37" s="79"/>
      <c r="DVJ37" s="79"/>
      <c r="DVK37" s="79"/>
      <c r="DVL37" s="79"/>
      <c r="DVM37" s="79"/>
      <c r="DVN37" s="79"/>
      <c r="DVO37" s="79"/>
      <c r="DVP37" s="79"/>
      <c r="DVQ37" s="79"/>
      <c r="DVR37" s="79"/>
      <c r="DVS37" s="79"/>
      <c r="DVT37" s="79"/>
      <c r="DVU37" s="79"/>
      <c r="DVV37" s="79"/>
      <c r="DVW37" s="79"/>
      <c r="DVX37" s="79"/>
      <c r="DVY37" s="79"/>
      <c r="DVZ37" s="79"/>
      <c r="DWA37" s="79"/>
      <c r="DWB37" s="79"/>
      <c r="DWC37" s="79"/>
      <c r="DWD37" s="79"/>
      <c r="DWE37" s="79"/>
      <c r="DWF37" s="79"/>
      <c r="DWG37" s="79"/>
      <c r="DWH37" s="79"/>
      <c r="DWI37" s="79"/>
      <c r="DWJ37" s="79"/>
      <c r="DWK37" s="79"/>
      <c r="DWL37" s="79"/>
      <c r="DWM37" s="79"/>
      <c r="DWN37" s="79"/>
      <c r="DWO37" s="79"/>
      <c r="DWP37" s="79"/>
      <c r="DWQ37" s="79"/>
      <c r="DWR37" s="79"/>
      <c r="DWS37" s="79"/>
      <c r="DWT37" s="79"/>
      <c r="DWU37" s="79"/>
      <c r="DWV37" s="79"/>
      <c r="DWW37" s="79"/>
      <c r="DWX37" s="79"/>
      <c r="DWY37" s="79"/>
      <c r="DWZ37" s="79"/>
      <c r="DXA37" s="79"/>
      <c r="DXB37" s="79"/>
      <c r="DXC37" s="79"/>
      <c r="DXD37" s="79"/>
      <c r="DXE37" s="79"/>
      <c r="DXF37" s="79"/>
      <c r="DXG37" s="79"/>
      <c r="DXH37" s="79"/>
      <c r="DXI37" s="79"/>
      <c r="DXJ37" s="79"/>
      <c r="DXK37" s="79"/>
      <c r="DXL37" s="79"/>
      <c r="DXM37" s="79"/>
      <c r="DXN37" s="79"/>
      <c r="DXO37" s="79"/>
      <c r="DXP37" s="79"/>
      <c r="DXQ37" s="79"/>
      <c r="DXR37" s="79"/>
      <c r="DXS37" s="79"/>
      <c r="DXT37" s="79"/>
      <c r="DXU37" s="79"/>
      <c r="DXV37" s="79"/>
      <c r="DXW37" s="79"/>
      <c r="DXX37" s="79"/>
      <c r="DXY37" s="79"/>
      <c r="DXZ37" s="79"/>
      <c r="DYA37" s="79"/>
      <c r="DYB37" s="79"/>
      <c r="DYC37" s="79"/>
      <c r="DYD37" s="79"/>
      <c r="DYE37" s="79"/>
      <c r="DYF37" s="79"/>
      <c r="DYG37" s="79"/>
      <c r="DYH37" s="79"/>
      <c r="DYI37" s="79"/>
      <c r="DYJ37" s="79"/>
      <c r="DYK37" s="79"/>
      <c r="DYL37" s="79"/>
      <c r="DYM37" s="79"/>
      <c r="DYN37" s="79"/>
      <c r="DYO37" s="79"/>
      <c r="DYP37" s="79"/>
      <c r="DYQ37" s="79"/>
      <c r="DYR37" s="79"/>
      <c r="DYS37" s="79"/>
      <c r="DYT37" s="79"/>
      <c r="DYU37" s="79"/>
      <c r="DYV37" s="79"/>
      <c r="DYW37" s="79"/>
      <c r="DYX37" s="79"/>
      <c r="DYY37" s="79"/>
      <c r="DYZ37" s="79"/>
      <c r="DZA37" s="79"/>
      <c r="DZB37" s="79"/>
      <c r="DZC37" s="79"/>
      <c r="DZD37" s="79"/>
      <c r="DZE37" s="79"/>
      <c r="DZF37" s="79"/>
      <c r="DZG37" s="79"/>
      <c r="DZH37" s="79"/>
      <c r="DZI37" s="79"/>
      <c r="DZJ37" s="79"/>
      <c r="DZK37" s="79"/>
      <c r="DZL37" s="79"/>
      <c r="DZM37" s="79"/>
      <c r="DZN37" s="79"/>
      <c r="DZO37" s="79"/>
      <c r="DZP37" s="79"/>
      <c r="DZQ37" s="79"/>
      <c r="DZR37" s="79"/>
      <c r="DZS37" s="79"/>
      <c r="DZT37" s="79"/>
      <c r="DZU37" s="79"/>
      <c r="DZV37" s="79"/>
      <c r="DZW37" s="79"/>
      <c r="DZX37" s="79"/>
      <c r="DZY37" s="79"/>
      <c r="DZZ37" s="79"/>
      <c r="EAA37" s="79"/>
      <c r="EAB37" s="79"/>
      <c r="EAC37" s="79"/>
      <c r="EAD37" s="79"/>
      <c r="EAE37" s="79"/>
      <c r="EAF37" s="79"/>
      <c r="EAG37" s="79"/>
      <c r="EAH37" s="79"/>
      <c r="EAI37" s="79"/>
      <c r="EAJ37" s="79"/>
      <c r="EAK37" s="79"/>
      <c r="EAL37" s="79"/>
      <c r="EAM37" s="79"/>
      <c r="EAN37" s="79"/>
      <c r="EAO37" s="79"/>
      <c r="EAP37" s="79"/>
      <c r="EAQ37" s="79"/>
      <c r="EAR37" s="79"/>
      <c r="EAS37" s="79"/>
      <c r="EAT37" s="79"/>
      <c r="EAU37" s="79"/>
      <c r="EAV37" s="79"/>
      <c r="EAW37" s="79"/>
      <c r="EAX37" s="79"/>
      <c r="EAY37" s="79"/>
      <c r="EAZ37" s="79"/>
      <c r="EBA37" s="79"/>
      <c r="EBB37" s="79"/>
      <c r="EBC37" s="79"/>
      <c r="EBD37" s="79"/>
      <c r="EBE37" s="79"/>
      <c r="EBF37" s="79"/>
      <c r="EBG37" s="79"/>
      <c r="EBH37" s="79"/>
      <c r="EBI37" s="79"/>
      <c r="EBJ37" s="79"/>
      <c r="EBK37" s="79"/>
      <c r="EBL37" s="79"/>
      <c r="EBM37" s="79"/>
      <c r="EBN37" s="79"/>
      <c r="EBO37" s="79"/>
      <c r="EBP37" s="79"/>
      <c r="EBQ37" s="79"/>
      <c r="EBR37" s="79"/>
      <c r="EBS37" s="79"/>
      <c r="EBT37" s="79"/>
      <c r="EBU37" s="79"/>
      <c r="EBV37" s="79"/>
      <c r="EBW37" s="79"/>
      <c r="EBX37" s="79"/>
      <c r="EBY37" s="79"/>
      <c r="EBZ37" s="79"/>
      <c r="ECA37" s="79"/>
      <c r="ECB37" s="79"/>
      <c r="ECC37" s="79"/>
      <c r="ECD37" s="79"/>
      <c r="ECE37" s="79"/>
      <c r="ECF37" s="79"/>
      <c r="ECG37" s="79"/>
      <c r="ECH37" s="79"/>
      <c r="ECI37" s="79"/>
      <c r="ECJ37" s="79"/>
      <c r="ECK37" s="79"/>
      <c r="ECL37" s="79"/>
      <c r="ECM37" s="79"/>
      <c r="ECN37" s="79"/>
      <c r="ECO37" s="79"/>
      <c r="ECP37" s="79"/>
      <c r="ECQ37" s="79"/>
      <c r="ECR37" s="79"/>
      <c r="ECS37" s="79"/>
      <c r="ECT37" s="79"/>
      <c r="ECU37" s="79"/>
      <c r="ECV37" s="79"/>
      <c r="ECW37" s="79"/>
      <c r="ECX37" s="79"/>
      <c r="ECY37" s="79"/>
      <c r="ECZ37" s="79"/>
      <c r="EDA37" s="79"/>
      <c r="EDB37" s="79"/>
      <c r="EDC37" s="79"/>
      <c r="EDD37" s="79"/>
      <c r="EDE37" s="79"/>
      <c r="EDF37" s="79"/>
      <c r="EDG37" s="79"/>
      <c r="EDH37" s="79"/>
      <c r="EDI37" s="79"/>
      <c r="EDJ37" s="79"/>
      <c r="EDK37" s="79"/>
      <c r="EDL37" s="79"/>
      <c r="EDM37" s="79"/>
      <c r="EDN37" s="79"/>
      <c r="EDO37" s="79"/>
      <c r="EDP37" s="79"/>
      <c r="EDQ37" s="79"/>
      <c r="EDR37" s="79"/>
      <c r="EDS37" s="79"/>
      <c r="EDT37" s="79"/>
      <c r="EDU37" s="79"/>
      <c r="EDV37" s="79"/>
      <c r="EDW37" s="79"/>
      <c r="EDX37" s="79"/>
      <c r="EDY37" s="79"/>
      <c r="EDZ37" s="79"/>
      <c r="EEA37" s="79"/>
      <c r="EEB37" s="79"/>
      <c r="EEC37" s="79"/>
      <c r="EED37" s="79"/>
      <c r="EEE37" s="79"/>
      <c r="EEF37" s="79"/>
      <c r="EEG37" s="79"/>
      <c r="EEH37" s="79"/>
      <c r="EEI37" s="79"/>
      <c r="EEJ37" s="79"/>
      <c r="EEK37" s="79"/>
      <c r="EEL37" s="79"/>
      <c r="EEM37" s="79"/>
      <c r="EEN37" s="79"/>
      <c r="EEO37" s="79"/>
      <c r="EEP37" s="79"/>
      <c r="EEQ37" s="79"/>
      <c r="EER37" s="79"/>
      <c r="EES37" s="79"/>
      <c r="EET37" s="79"/>
      <c r="EEU37" s="79"/>
      <c r="EEV37" s="79"/>
      <c r="EEW37" s="79"/>
      <c r="EEX37" s="79"/>
      <c r="EEY37" s="79"/>
      <c r="EEZ37" s="79"/>
      <c r="EFA37" s="79"/>
      <c r="EFB37" s="79"/>
      <c r="EFC37" s="79"/>
      <c r="EFD37" s="79"/>
      <c r="EFE37" s="79"/>
      <c r="EFF37" s="79"/>
      <c r="EFG37" s="79"/>
      <c r="EFH37" s="79"/>
      <c r="EFI37" s="79"/>
      <c r="EFJ37" s="79"/>
      <c r="EFK37" s="79"/>
      <c r="EFL37" s="79"/>
      <c r="EFM37" s="79"/>
      <c r="EFN37" s="79"/>
      <c r="EFO37" s="79"/>
      <c r="EFP37" s="79"/>
      <c r="EFQ37" s="79"/>
      <c r="EFR37" s="79"/>
      <c r="EFS37" s="79"/>
      <c r="EFT37" s="79"/>
      <c r="EFU37" s="79"/>
      <c r="EFV37" s="79"/>
      <c r="EFW37" s="79"/>
      <c r="EFX37" s="79"/>
      <c r="EFY37" s="79"/>
      <c r="EFZ37" s="79"/>
      <c r="EGA37" s="79"/>
      <c r="EGB37" s="79"/>
      <c r="EGC37" s="79"/>
      <c r="EGD37" s="79"/>
      <c r="EGE37" s="79"/>
      <c r="EGF37" s="79"/>
      <c r="EGG37" s="79"/>
      <c r="EGH37" s="79"/>
      <c r="EGI37" s="79"/>
      <c r="EGJ37" s="79"/>
      <c r="EGK37" s="79"/>
      <c r="EGL37" s="79"/>
      <c r="EGM37" s="79"/>
      <c r="EGN37" s="79"/>
      <c r="EGO37" s="79"/>
      <c r="EGP37" s="79"/>
      <c r="EGQ37" s="79"/>
      <c r="EGR37" s="79"/>
      <c r="EGS37" s="79"/>
      <c r="EGT37" s="79"/>
      <c r="EGU37" s="79"/>
      <c r="EGV37" s="79"/>
      <c r="EGW37" s="79"/>
      <c r="EGX37" s="79"/>
      <c r="EGY37" s="79"/>
      <c r="EGZ37" s="79"/>
      <c r="EHA37" s="79"/>
      <c r="EHB37" s="79"/>
      <c r="EHC37" s="79"/>
      <c r="EHD37" s="79"/>
      <c r="EHE37" s="79"/>
      <c r="EHF37" s="79"/>
      <c r="EHG37" s="79"/>
      <c r="EHH37" s="79"/>
      <c r="EHI37" s="79"/>
      <c r="EHJ37" s="79"/>
      <c r="EHK37" s="79"/>
      <c r="EHL37" s="79"/>
      <c r="EHM37" s="79"/>
      <c r="EHN37" s="79"/>
      <c r="EHO37" s="79"/>
      <c r="EHP37" s="79"/>
      <c r="EHQ37" s="79"/>
      <c r="EHR37" s="79"/>
      <c r="EHS37" s="79"/>
      <c r="EHT37" s="79"/>
      <c r="EHU37" s="79"/>
      <c r="EHV37" s="79"/>
      <c r="EHW37" s="79"/>
      <c r="EHX37" s="79"/>
      <c r="EHY37" s="79"/>
      <c r="EHZ37" s="79"/>
      <c r="EIA37" s="79"/>
      <c r="EIB37" s="79"/>
      <c r="EIC37" s="79"/>
      <c r="EID37" s="79"/>
      <c r="EIE37" s="79"/>
      <c r="EIF37" s="79"/>
      <c r="EIG37" s="79"/>
      <c r="EIH37" s="79"/>
      <c r="EII37" s="79"/>
      <c r="EIJ37" s="79"/>
      <c r="EIK37" s="79"/>
      <c r="EIL37" s="79"/>
      <c r="EIM37" s="79"/>
      <c r="EIN37" s="79"/>
      <c r="EIO37" s="79"/>
      <c r="EIP37" s="79"/>
      <c r="EIQ37" s="79"/>
      <c r="EIR37" s="79"/>
      <c r="EIS37" s="79"/>
      <c r="EIT37" s="79"/>
      <c r="EIU37" s="79"/>
      <c r="EIV37" s="79"/>
      <c r="EIW37" s="79"/>
      <c r="EIX37" s="79"/>
      <c r="EIY37" s="79"/>
      <c r="EIZ37" s="79"/>
      <c r="EJA37" s="79"/>
      <c r="EJB37" s="79"/>
      <c r="EJC37" s="79"/>
      <c r="EJD37" s="79"/>
      <c r="EJE37" s="79"/>
      <c r="EJF37" s="79"/>
      <c r="EJG37" s="79"/>
      <c r="EJH37" s="79"/>
      <c r="EJI37" s="79"/>
      <c r="EJJ37" s="79"/>
      <c r="EJK37" s="79"/>
      <c r="EJL37" s="79"/>
      <c r="EJM37" s="79"/>
      <c r="EJN37" s="79"/>
      <c r="EJO37" s="79"/>
      <c r="EJP37" s="79"/>
      <c r="EJQ37" s="79"/>
      <c r="EJR37" s="79"/>
      <c r="EJS37" s="79"/>
      <c r="EJT37" s="79"/>
      <c r="EJU37" s="79"/>
      <c r="EJV37" s="79"/>
      <c r="EJW37" s="79"/>
      <c r="EJX37" s="79"/>
      <c r="EJY37" s="79"/>
      <c r="EJZ37" s="79"/>
      <c r="EKA37" s="79"/>
      <c r="EKB37" s="79"/>
      <c r="EKC37" s="79"/>
      <c r="EKD37" s="79"/>
      <c r="EKE37" s="79"/>
      <c r="EKF37" s="79"/>
      <c r="EKG37" s="79"/>
      <c r="EKH37" s="79"/>
      <c r="EKI37" s="79"/>
      <c r="EKJ37" s="79"/>
      <c r="EKK37" s="79"/>
      <c r="EKL37" s="79"/>
      <c r="EKM37" s="79"/>
      <c r="EKN37" s="79"/>
      <c r="EKO37" s="79"/>
      <c r="EKP37" s="79"/>
      <c r="EKQ37" s="79"/>
      <c r="EKR37" s="79"/>
      <c r="EKS37" s="79"/>
      <c r="EKT37" s="79"/>
      <c r="EKU37" s="79"/>
      <c r="EKV37" s="79"/>
      <c r="EKW37" s="79"/>
      <c r="EKX37" s="79"/>
      <c r="EKY37" s="79"/>
      <c r="EKZ37" s="79"/>
      <c r="ELA37" s="79"/>
      <c r="ELB37" s="79"/>
      <c r="ELC37" s="79"/>
      <c r="ELD37" s="79"/>
      <c r="ELE37" s="79"/>
      <c r="ELF37" s="79"/>
      <c r="ELG37" s="79"/>
      <c r="ELH37" s="79"/>
      <c r="ELI37" s="79"/>
      <c r="ELJ37" s="79"/>
      <c r="ELK37" s="79"/>
      <c r="ELL37" s="79"/>
      <c r="ELM37" s="79"/>
      <c r="ELN37" s="79"/>
      <c r="ELO37" s="79"/>
      <c r="ELP37" s="79"/>
      <c r="ELQ37" s="79"/>
      <c r="ELR37" s="79"/>
      <c r="ELS37" s="79"/>
      <c r="ELT37" s="79"/>
      <c r="ELU37" s="79"/>
      <c r="ELV37" s="79"/>
      <c r="ELW37" s="79"/>
      <c r="ELX37" s="79"/>
      <c r="ELY37" s="79"/>
      <c r="ELZ37" s="79"/>
      <c r="EMA37" s="79"/>
      <c r="EMB37" s="79"/>
      <c r="EMC37" s="79"/>
      <c r="EMD37" s="79"/>
      <c r="EME37" s="79"/>
      <c r="EMF37" s="79"/>
      <c r="EMG37" s="79"/>
      <c r="EMH37" s="79"/>
      <c r="EMI37" s="79"/>
      <c r="EMJ37" s="79"/>
      <c r="EMK37" s="79"/>
      <c r="EML37" s="79"/>
      <c r="EMM37" s="79"/>
      <c r="EMN37" s="79"/>
      <c r="EMO37" s="79"/>
      <c r="EMP37" s="79"/>
      <c r="EMQ37" s="79"/>
      <c r="EMR37" s="79"/>
      <c r="EMS37" s="79"/>
      <c r="EMT37" s="79"/>
      <c r="EMU37" s="79"/>
      <c r="EMV37" s="79"/>
      <c r="EMW37" s="79"/>
      <c r="EMX37" s="79"/>
      <c r="EMY37" s="79"/>
      <c r="EMZ37" s="79"/>
      <c r="ENA37" s="79"/>
      <c r="ENB37" s="79"/>
      <c r="ENC37" s="79"/>
      <c r="END37" s="79"/>
      <c r="ENE37" s="79"/>
      <c r="ENF37" s="79"/>
      <c r="ENG37" s="79"/>
      <c r="ENH37" s="79"/>
      <c r="ENI37" s="79"/>
      <c r="ENJ37" s="79"/>
      <c r="ENK37" s="79"/>
      <c r="ENL37" s="79"/>
      <c r="ENM37" s="79"/>
      <c r="ENN37" s="79"/>
      <c r="ENO37" s="79"/>
      <c r="ENP37" s="79"/>
      <c r="ENQ37" s="79"/>
      <c r="ENR37" s="79"/>
      <c r="ENS37" s="79"/>
      <c r="ENT37" s="79"/>
      <c r="ENU37" s="79"/>
      <c r="ENV37" s="79"/>
      <c r="ENW37" s="79"/>
      <c r="ENX37" s="79"/>
      <c r="ENY37" s="79"/>
      <c r="ENZ37" s="79"/>
      <c r="EOA37" s="79"/>
      <c r="EOB37" s="79"/>
      <c r="EOC37" s="79"/>
      <c r="EOD37" s="79"/>
      <c r="EOE37" s="79"/>
      <c r="EOF37" s="79"/>
      <c r="EOG37" s="79"/>
      <c r="EOH37" s="79"/>
      <c r="EOI37" s="79"/>
      <c r="EOJ37" s="79"/>
      <c r="EOK37" s="79"/>
      <c r="EOL37" s="79"/>
      <c r="EOM37" s="79"/>
      <c r="EON37" s="79"/>
      <c r="EOO37" s="79"/>
      <c r="EOP37" s="79"/>
      <c r="EOQ37" s="79"/>
      <c r="EOR37" s="79"/>
      <c r="EOS37" s="79"/>
      <c r="EOT37" s="79"/>
      <c r="EOU37" s="79"/>
      <c r="EOV37" s="79"/>
      <c r="EOW37" s="79"/>
      <c r="EOX37" s="79"/>
      <c r="EOY37" s="79"/>
      <c r="EOZ37" s="79"/>
      <c r="EPA37" s="79"/>
      <c r="EPB37" s="79"/>
      <c r="EPC37" s="79"/>
      <c r="EPD37" s="79"/>
      <c r="EPE37" s="79"/>
      <c r="EPF37" s="79"/>
      <c r="EPG37" s="79"/>
      <c r="EPH37" s="79"/>
      <c r="EPI37" s="79"/>
      <c r="EPJ37" s="79"/>
      <c r="EPK37" s="79"/>
      <c r="EPL37" s="79"/>
      <c r="EPM37" s="79"/>
      <c r="EPN37" s="79"/>
      <c r="EPO37" s="79"/>
      <c r="EPP37" s="79"/>
      <c r="EPQ37" s="79"/>
      <c r="EPR37" s="79"/>
      <c r="EPS37" s="79"/>
      <c r="EPT37" s="79"/>
      <c r="EPU37" s="79"/>
      <c r="EPV37" s="79"/>
      <c r="EPW37" s="79"/>
      <c r="EPX37" s="79"/>
      <c r="EPY37" s="79"/>
      <c r="EPZ37" s="79"/>
      <c r="EQA37" s="79"/>
      <c r="EQB37" s="79"/>
      <c r="EQC37" s="79"/>
      <c r="EQD37" s="79"/>
      <c r="EQE37" s="79"/>
      <c r="EQF37" s="79"/>
      <c r="EQG37" s="79"/>
      <c r="EQH37" s="79"/>
      <c r="EQI37" s="79"/>
      <c r="EQJ37" s="79"/>
      <c r="EQK37" s="79"/>
      <c r="EQL37" s="79"/>
      <c r="EQM37" s="79"/>
      <c r="EQN37" s="79"/>
      <c r="EQO37" s="79"/>
      <c r="EQP37" s="79"/>
      <c r="EQQ37" s="79"/>
      <c r="EQR37" s="79"/>
      <c r="EQS37" s="79"/>
      <c r="EQT37" s="79"/>
      <c r="EQU37" s="79"/>
      <c r="EQV37" s="79"/>
      <c r="EQW37" s="79"/>
      <c r="EQX37" s="79"/>
      <c r="EQY37" s="79"/>
      <c r="EQZ37" s="79"/>
      <c r="ERA37" s="79"/>
      <c r="ERB37" s="79"/>
      <c r="ERC37" s="79"/>
      <c r="ERD37" s="79"/>
      <c r="ERE37" s="79"/>
      <c r="ERF37" s="79"/>
      <c r="ERG37" s="79"/>
      <c r="ERH37" s="79"/>
      <c r="ERI37" s="79"/>
      <c r="ERJ37" s="79"/>
      <c r="ERK37" s="79"/>
      <c r="ERL37" s="79"/>
      <c r="ERM37" s="79"/>
      <c r="ERN37" s="79"/>
      <c r="ERO37" s="79"/>
      <c r="ERP37" s="79"/>
      <c r="ERQ37" s="79"/>
      <c r="ERR37" s="79"/>
      <c r="ERS37" s="79"/>
      <c r="ERT37" s="79"/>
      <c r="ERU37" s="79"/>
      <c r="ERV37" s="79"/>
      <c r="ERW37" s="79"/>
      <c r="ERX37" s="79"/>
      <c r="ERY37" s="79"/>
      <c r="ERZ37" s="79"/>
      <c r="ESA37" s="79"/>
      <c r="ESB37" s="79"/>
      <c r="ESC37" s="79"/>
      <c r="ESD37" s="79"/>
      <c r="ESE37" s="79"/>
      <c r="ESF37" s="79"/>
      <c r="ESG37" s="79"/>
      <c r="ESH37" s="79"/>
      <c r="ESI37" s="79"/>
      <c r="ESJ37" s="79"/>
      <c r="ESK37" s="79"/>
      <c r="ESL37" s="79"/>
      <c r="ESM37" s="79"/>
      <c r="ESN37" s="79"/>
      <c r="ESO37" s="79"/>
      <c r="ESP37" s="79"/>
      <c r="ESQ37" s="79"/>
      <c r="ESR37" s="79"/>
      <c r="ESS37" s="79"/>
      <c r="EST37" s="79"/>
      <c r="ESU37" s="79"/>
      <c r="ESV37" s="79"/>
      <c r="ESW37" s="79"/>
      <c r="ESX37" s="79"/>
      <c r="ESY37" s="79"/>
      <c r="ESZ37" s="79"/>
      <c r="ETA37" s="79"/>
      <c r="ETB37" s="79"/>
      <c r="ETC37" s="79"/>
      <c r="ETD37" s="79"/>
      <c r="ETE37" s="79"/>
      <c r="ETF37" s="79"/>
      <c r="ETG37" s="79"/>
      <c r="ETH37" s="79"/>
      <c r="ETI37" s="79"/>
      <c r="ETJ37" s="79"/>
      <c r="ETK37" s="79"/>
      <c r="ETL37" s="79"/>
      <c r="ETM37" s="79"/>
      <c r="ETN37" s="79"/>
      <c r="ETO37" s="79"/>
      <c r="ETP37" s="79"/>
      <c r="ETQ37" s="79"/>
      <c r="ETR37" s="79"/>
      <c r="ETS37" s="79"/>
      <c r="ETT37" s="79"/>
      <c r="ETU37" s="79"/>
      <c r="ETV37" s="79"/>
      <c r="ETW37" s="79"/>
      <c r="ETX37" s="79"/>
      <c r="ETY37" s="79"/>
      <c r="ETZ37" s="79"/>
      <c r="EUA37" s="79"/>
      <c r="EUB37" s="79"/>
      <c r="EUC37" s="79"/>
      <c r="EUD37" s="79"/>
      <c r="EUE37" s="79"/>
      <c r="EUF37" s="79"/>
      <c r="EUG37" s="79"/>
      <c r="EUH37" s="79"/>
      <c r="EUI37" s="79"/>
      <c r="EUJ37" s="79"/>
      <c r="EUK37" s="79"/>
      <c r="EUL37" s="79"/>
      <c r="EUM37" s="79"/>
      <c r="EUN37" s="79"/>
      <c r="EUO37" s="79"/>
      <c r="EUP37" s="79"/>
      <c r="EUQ37" s="79"/>
      <c r="EUR37" s="79"/>
      <c r="EUS37" s="79"/>
      <c r="EUT37" s="79"/>
      <c r="EUU37" s="79"/>
      <c r="EUV37" s="79"/>
      <c r="EUW37" s="79"/>
      <c r="EUX37" s="79"/>
      <c r="EUY37" s="79"/>
      <c r="EUZ37" s="79"/>
      <c r="EVA37" s="79"/>
      <c r="EVB37" s="79"/>
      <c r="EVC37" s="79"/>
      <c r="EVD37" s="79"/>
      <c r="EVE37" s="79"/>
      <c r="EVF37" s="79"/>
      <c r="EVG37" s="79"/>
      <c r="EVH37" s="79"/>
      <c r="EVI37" s="79"/>
      <c r="EVJ37" s="79"/>
      <c r="EVK37" s="79"/>
      <c r="EVL37" s="79"/>
      <c r="EVM37" s="79"/>
      <c r="EVN37" s="79"/>
      <c r="EVO37" s="79"/>
      <c r="EVP37" s="79"/>
      <c r="EVQ37" s="79"/>
      <c r="EVR37" s="79"/>
      <c r="EVS37" s="79"/>
      <c r="EVT37" s="79"/>
      <c r="EVU37" s="79"/>
      <c r="EVV37" s="79"/>
      <c r="EVW37" s="79"/>
      <c r="EVX37" s="79"/>
      <c r="EVY37" s="79"/>
      <c r="EVZ37" s="79"/>
      <c r="EWA37" s="79"/>
      <c r="EWB37" s="79"/>
      <c r="EWC37" s="79"/>
      <c r="EWD37" s="79"/>
      <c r="EWE37" s="79"/>
      <c r="EWF37" s="79"/>
      <c r="EWG37" s="79"/>
      <c r="EWH37" s="79"/>
      <c r="EWI37" s="79"/>
      <c r="EWJ37" s="79"/>
      <c r="EWK37" s="79"/>
      <c r="EWL37" s="79"/>
      <c r="EWM37" s="79"/>
      <c r="EWN37" s="79"/>
      <c r="EWO37" s="79"/>
      <c r="EWP37" s="79"/>
      <c r="EWQ37" s="79"/>
      <c r="EWR37" s="79"/>
      <c r="EWS37" s="79"/>
      <c r="EWT37" s="79"/>
      <c r="EWU37" s="79"/>
      <c r="EWV37" s="79"/>
      <c r="EWW37" s="79"/>
      <c r="EWX37" s="79"/>
      <c r="EWY37" s="79"/>
      <c r="EWZ37" s="79"/>
      <c r="EXA37" s="79"/>
      <c r="EXB37" s="79"/>
      <c r="EXC37" s="79"/>
      <c r="EXD37" s="79"/>
      <c r="EXE37" s="79"/>
      <c r="EXF37" s="79"/>
      <c r="EXG37" s="79"/>
      <c r="EXH37" s="79"/>
      <c r="EXI37" s="79"/>
      <c r="EXJ37" s="79"/>
      <c r="EXK37" s="79"/>
      <c r="EXL37" s="79"/>
      <c r="EXM37" s="79"/>
      <c r="EXN37" s="79"/>
      <c r="EXO37" s="79"/>
      <c r="EXP37" s="79"/>
      <c r="EXQ37" s="79"/>
      <c r="EXR37" s="79"/>
      <c r="EXS37" s="79"/>
      <c r="EXT37" s="79"/>
      <c r="EXU37" s="79"/>
      <c r="EXV37" s="79"/>
      <c r="EXW37" s="79"/>
      <c r="EXX37" s="79"/>
      <c r="EXY37" s="79"/>
      <c r="EXZ37" s="79"/>
      <c r="EYA37" s="79"/>
      <c r="EYB37" s="79"/>
      <c r="EYC37" s="79"/>
      <c r="EYD37" s="79"/>
      <c r="EYE37" s="79"/>
      <c r="EYF37" s="79"/>
      <c r="EYG37" s="79"/>
      <c r="EYH37" s="79"/>
      <c r="EYI37" s="79"/>
      <c r="EYJ37" s="79"/>
      <c r="EYK37" s="79"/>
      <c r="EYL37" s="79"/>
      <c r="EYM37" s="79"/>
      <c r="EYN37" s="79"/>
      <c r="EYO37" s="79"/>
      <c r="EYP37" s="79"/>
      <c r="EYQ37" s="79"/>
      <c r="EYR37" s="79"/>
      <c r="EYS37" s="79"/>
      <c r="EYT37" s="79"/>
      <c r="EYU37" s="79"/>
      <c r="EYV37" s="79"/>
      <c r="EYW37" s="79"/>
      <c r="EYX37" s="79"/>
      <c r="EYY37" s="79"/>
      <c r="EYZ37" s="79"/>
      <c r="EZA37" s="79"/>
      <c r="EZB37" s="79"/>
      <c r="EZC37" s="79"/>
      <c r="EZD37" s="79"/>
      <c r="EZE37" s="79"/>
      <c r="EZF37" s="79"/>
      <c r="EZG37" s="79"/>
      <c r="EZH37" s="79"/>
      <c r="EZI37" s="79"/>
      <c r="EZJ37" s="79"/>
      <c r="EZK37" s="79"/>
      <c r="EZL37" s="79"/>
      <c r="EZM37" s="79"/>
      <c r="EZN37" s="79"/>
      <c r="EZO37" s="79"/>
      <c r="EZP37" s="79"/>
      <c r="EZQ37" s="79"/>
      <c r="EZR37" s="79"/>
      <c r="EZS37" s="79"/>
      <c r="EZT37" s="79"/>
      <c r="EZU37" s="79"/>
      <c r="EZV37" s="79"/>
      <c r="EZW37" s="79"/>
      <c r="EZX37" s="79"/>
      <c r="EZY37" s="79"/>
      <c r="EZZ37" s="79"/>
      <c r="FAA37" s="79"/>
      <c r="FAB37" s="79"/>
      <c r="FAC37" s="79"/>
      <c r="FAD37" s="79"/>
      <c r="FAE37" s="79"/>
      <c r="FAF37" s="79"/>
      <c r="FAG37" s="79"/>
      <c r="FAH37" s="79"/>
      <c r="FAI37" s="79"/>
      <c r="FAJ37" s="79"/>
      <c r="FAK37" s="79"/>
      <c r="FAL37" s="79"/>
      <c r="FAM37" s="79"/>
      <c r="FAN37" s="79"/>
      <c r="FAO37" s="79"/>
      <c r="FAP37" s="79"/>
      <c r="FAQ37" s="79"/>
      <c r="FAR37" s="79"/>
      <c r="FAS37" s="79"/>
      <c r="FAT37" s="79"/>
      <c r="FAU37" s="79"/>
      <c r="FAV37" s="79"/>
      <c r="FAW37" s="79"/>
      <c r="FAX37" s="79"/>
      <c r="FAY37" s="79"/>
      <c r="FAZ37" s="79"/>
      <c r="FBA37" s="79"/>
      <c r="FBB37" s="79"/>
      <c r="FBC37" s="79"/>
      <c r="FBD37" s="79"/>
      <c r="FBE37" s="79"/>
      <c r="FBF37" s="79"/>
      <c r="FBG37" s="79"/>
      <c r="FBH37" s="79"/>
      <c r="FBI37" s="79"/>
      <c r="FBJ37" s="79"/>
      <c r="FBK37" s="79"/>
      <c r="FBL37" s="79"/>
      <c r="FBM37" s="79"/>
      <c r="FBN37" s="79"/>
      <c r="FBO37" s="79"/>
      <c r="FBP37" s="79"/>
      <c r="FBQ37" s="79"/>
      <c r="FBR37" s="79"/>
      <c r="FBS37" s="79"/>
      <c r="FBT37" s="79"/>
      <c r="FBU37" s="79"/>
      <c r="FBV37" s="79"/>
      <c r="FBW37" s="79"/>
      <c r="FBX37" s="79"/>
      <c r="FBY37" s="79"/>
      <c r="FBZ37" s="79"/>
      <c r="FCA37" s="79"/>
      <c r="FCB37" s="79"/>
      <c r="FCC37" s="79"/>
      <c r="FCD37" s="79"/>
      <c r="FCE37" s="79"/>
      <c r="FCF37" s="79"/>
      <c r="FCG37" s="79"/>
      <c r="FCH37" s="79"/>
      <c r="FCI37" s="79"/>
      <c r="FCJ37" s="79"/>
      <c r="FCK37" s="79"/>
      <c r="FCL37" s="79"/>
      <c r="FCM37" s="79"/>
      <c r="FCN37" s="79"/>
      <c r="FCO37" s="79"/>
      <c r="FCP37" s="79"/>
      <c r="FCQ37" s="79"/>
      <c r="FCR37" s="79"/>
      <c r="FCS37" s="79"/>
      <c r="FCT37" s="79"/>
      <c r="FCU37" s="79"/>
      <c r="FCV37" s="79"/>
      <c r="FCW37" s="79"/>
      <c r="FCX37" s="79"/>
      <c r="FCY37" s="79"/>
      <c r="FCZ37" s="79"/>
      <c r="FDA37" s="79"/>
      <c r="FDB37" s="79"/>
      <c r="FDC37" s="79"/>
      <c r="FDD37" s="79"/>
      <c r="FDE37" s="79"/>
      <c r="FDF37" s="79"/>
      <c r="FDG37" s="79"/>
      <c r="FDH37" s="79"/>
      <c r="FDI37" s="79"/>
      <c r="FDJ37" s="79"/>
      <c r="FDK37" s="79"/>
      <c r="FDL37" s="79"/>
      <c r="FDM37" s="79"/>
      <c r="FDN37" s="79"/>
      <c r="FDO37" s="79"/>
      <c r="FDP37" s="79"/>
      <c r="FDQ37" s="79"/>
      <c r="FDR37" s="79"/>
      <c r="FDS37" s="79"/>
      <c r="FDT37" s="79"/>
      <c r="FDU37" s="79"/>
      <c r="FDV37" s="79"/>
      <c r="FDW37" s="79"/>
      <c r="FDX37" s="79"/>
      <c r="FDY37" s="79"/>
      <c r="FDZ37" s="79"/>
      <c r="FEA37" s="79"/>
      <c r="FEB37" s="79"/>
      <c r="FEC37" s="79"/>
      <c r="FED37" s="79"/>
      <c r="FEE37" s="79"/>
      <c r="FEF37" s="79"/>
      <c r="FEG37" s="79"/>
      <c r="FEH37" s="79"/>
      <c r="FEI37" s="79"/>
      <c r="FEJ37" s="79"/>
      <c r="FEK37" s="79"/>
      <c r="FEL37" s="79"/>
      <c r="FEM37" s="79"/>
      <c r="FEN37" s="79"/>
      <c r="FEO37" s="79"/>
      <c r="FEP37" s="79"/>
      <c r="FEQ37" s="79"/>
      <c r="FER37" s="79"/>
      <c r="FES37" s="79"/>
      <c r="FET37" s="79"/>
      <c r="FEU37" s="79"/>
      <c r="FEV37" s="79"/>
      <c r="FEW37" s="79"/>
      <c r="FEX37" s="79"/>
      <c r="FEY37" s="79"/>
      <c r="FEZ37" s="79"/>
      <c r="FFA37" s="79"/>
      <c r="FFB37" s="79"/>
      <c r="FFC37" s="79"/>
      <c r="FFD37" s="79"/>
      <c r="FFE37" s="79"/>
      <c r="FFF37" s="79"/>
      <c r="FFG37" s="79"/>
      <c r="FFH37" s="79"/>
      <c r="FFI37" s="79"/>
      <c r="FFJ37" s="79"/>
      <c r="FFK37" s="79"/>
      <c r="FFL37" s="79"/>
      <c r="FFM37" s="79"/>
      <c r="FFN37" s="79"/>
      <c r="FFO37" s="79"/>
      <c r="FFP37" s="79"/>
      <c r="FFQ37" s="79"/>
      <c r="FFR37" s="79"/>
      <c r="FFS37" s="79"/>
      <c r="FFT37" s="79"/>
      <c r="FFU37" s="79"/>
      <c r="FFV37" s="79"/>
      <c r="FFW37" s="79"/>
      <c r="FFX37" s="79"/>
      <c r="FFY37" s="79"/>
      <c r="FFZ37" s="79"/>
      <c r="FGA37" s="79"/>
      <c r="FGB37" s="79"/>
      <c r="FGC37" s="79"/>
      <c r="FGD37" s="79"/>
      <c r="FGE37" s="79"/>
      <c r="FGF37" s="79"/>
      <c r="FGG37" s="79"/>
      <c r="FGH37" s="79"/>
      <c r="FGI37" s="79"/>
      <c r="FGJ37" s="79"/>
      <c r="FGK37" s="79"/>
      <c r="FGL37" s="79"/>
      <c r="FGM37" s="79"/>
      <c r="FGN37" s="79"/>
      <c r="FGO37" s="79"/>
      <c r="FGP37" s="79"/>
      <c r="FGQ37" s="79"/>
      <c r="FGR37" s="79"/>
      <c r="FGS37" s="79"/>
      <c r="FGT37" s="79"/>
      <c r="FGU37" s="79"/>
      <c r="FGV37" s="79"/>
      <c r="FGW37" s="79"/>
      <c r="FGX37" s="79"/>
      <c r="FGY37" s="79"/>
      <c r="FGZ37" s="79"/>
      <c r="FHA37" s="79"/>
      <c r="FHB37" s="79"/>
      <c r="FHC37" s="79"/>
      <c r="FHD37" s="79"/>
      <c r="FHE37" s="79"/>
      <c r="FHF37" s="79"/>
      <c r="FHG37" s="79"/>
      <c r="FHH37" s="79"/>
      <c r="FHI37" s="79"/>
      <c r="FHJ37" s="79"/>
      <c r="FHK37" s="79"/>
      <c r="FHL37" s="79"/>
      <c r="FHM37" s="79"/>
      <c r="FHN37" s="79"/>
      <c r="FHO37" s="79"/>
      <c r="FHP37" s="79"/>
      <c r="FHQ37" s="79"/>
      <c r="FHR37" s="79"/>
      <c r="FHS37" s="79"/>
      <c r="FHT37" s="79"/>
      <c r="FHU37" s="79"/>
      <c r="FHV37" s="79"/>
      <c r="FHW37" s="79"/>
      <c r="FHX37" s="79"/>
      <c r="FHY37" s="79"/>
      <c r="FHZ37" s="79"/>
      <c r="FIA37" s="79"/>
      <c r="FIB37" s="79"/>
      <c r="FIC37" s="79"/>
      <c r="FID37" s="79"/>
      <c r="FIE37" s="79"/>
      <c r="FIF37" s="79"/>
      <c r="FIG37" s="79"/>
      <c r="FIH37" s="79"/>
      <c r="FII37" s="79"/>
      <c r="FIJ37" s="79"/>
      <c r="FIK37" s="79"/>
      <c r="FIL37" s="79"/>
      <c r="FIM37" s="79"/>
      <c r="FIN37" s="79"/>
      <c r="FIO37" s="79"/>
      <c r="FIP37" s="79"/>
      <c r="FIQ37" s="79"/>
      <c r="FIR37" s="79"/>
      <c r="FIS37" s="79"/>
      <c r="FIT37" s="79"/>
      <c r="FIU37" s="79"/>
      <c r="FIV37" s="79"/>
      <c r="FIW37" s="79"/>
      <c r="FIX37" s="79"/>
      <c r="FIY37" s="79"/>
      <c r="FIZ37" s="79"/>
      <c r="FJA37" s="79"/>
      <c r="FJB37" s="79"/>
      <c r="FJC37" s="79"/>
      <c r="FJD37" s="79"/>
      <c r="FJE37" s="79"/>
      <c r="FJF37" s="79"/>
      <c r="FJG37" s="79"/>
      <c r="FJH37" s="79"/>
      <c r="FJI37" s="79"/>
      <c r="FJJ37" s="79"/>
      <c r="FJK37" s="79"/>
      <c r="FJL37" s="79"/>
      <c r="FJM37" s="79"/>
      <c r="FJN37" s="79"/>
      <c r="FJO37" s="79"/>
      <c r="FJP37" s="79"/>
      <c r="FJQ37" s="79"/>
      <c r="FJR37" s="79"/>
      <c r="FJS37" s="79"/>
      <c r="FJT37" s="79"/>
      <c r="FJU37" s="79"/>
      <c r="FJV37" s="79"/>
      <c r="FJW37" s="79"/>
      <c r="FJX37" s="79"/>
      <c r="FJY37" s="79"/>
      <c r="FJZ37" s="79"/>
      <c r="FKA37" s="79"/>
      <c r="FKB37" s="79"/>
      <c r="FKC37" s="79"/>
      <c r="FKD37" s="79"/>
      <c r="FKE37" s="79"/>
      <c r="FKF37" s="79"/>
      <c r="FKG37" s="79"/>
      <c r="FKH37" s="79"/>
      <c r="FKI37" s="79"/>
      <c r="FKJ37" s="79"/>
      <c r="FKK37" s="79"/>
      <c r="FKL37" s="79"/>
      <c r="FKM37" s="79"/>
      <c r="FKN37" s="79"/>
      <c r="FKO37" s="79"/>
      <c r="FKP37" s="79"/>
      <c r="FKQ37" s="79"/>
      <c r="FKR37" s="79"/>
      <c r="FKS37" s="79"/>
      <c r="FKT37" s="79"/>
      <c r="FKU37" s="79"/>
      <c r="FKV37" s="79"/>
      <c r="FKW37" s="79"/>
      <c r="FKX37" s="79"/>
      <c r="FKY37" s="79"/>
      <c r="FKZ37" s="79"/>
      <c r="FLA37" s="79"/>
      <c r="FLB37" s="79"/>
      <c r="FLC37" s="79"/>
      <c r="FLD37" s="79"/>
      <c r="FLE37" s="79"/>
      <c r="FLF37" s="79"/>
      <c r="FLG37" s="79"/>
      <c r="FLH37" s="79"/>
      <c r="FLI37" s="79"/>
      <c r="FLJ37" s="79"/>
      <c r="FLK37" s="79"/>
      <c r="FLL37" s="79"/>
      <c r="FLM37" s="79"/>
      <c r="FLN37" s="79"/>
      <c r="FLO37" s="79"/>
      <c r="FLP37" s="79"/>
      <c r="FLQ37" s="79"/>
      <c r="FLR37" s="79"/>
      <c r="FLS37" s="79"/>
      <c r="FLT37" s="79"/>
      <c r="FLU37" s="79"/>
      <c r="FLV37" s="79"/>
      <c r="FLW37" s="79"/>
      <c r="FLX37" s="79"/>
      <c r="FLY37" s="79"/>
      <c r="FLZ37" s="79"/>
      <c r="FMA37" s="79"/>
      <c r="FMB37" s="79"/>
      <c r="FMC37" s="79"/>
      <c r="FMD37" s="79"/>
      <c r="FME37" s="79"/>
      <c r="FMF37" s="79"/>
      <c r="FMG37" s="79"/>
      <c r="FMH37" s="79"/>
      <c r="FMI37" s="79"/>
      <c r="FMJ37" s="79"/>
      <c r="FMK37" s="79"/>
      <c r="FML37" s="79"/>
      <c r="FMM37" s="79"/>
      <c r="FMN37" s="79"/>
      <c r="FMO37" s="79"/>
      <c r="FMP37" s="79"/>
      <c r="FMQ37" s="79"/>
      <c r="FMR37" s="79"/>
      <c r="FMS37" s="79"/>
      <c r="FMT37" s="79"/>
      <c r="FMU37" s="79"/>
      <c r="FMV37" s="79"/>
      <c r="FMW37" s="79"/>
      <c r="FMX37" s="79"/>
      <c r="FMY37" s="79"/>
      <c r="FMZ37" s="79"/>
      <c r="FNA37" s="79"/>
      <c r="FNB37" s="79"/>
      <c r="FNC37" s="79"/>
      <c r="FND37" s="79"/>
      <c r="FNE37" s="79"/>
      <c r="FNF37" s="79"/>
      <c r="FNG37" s="79"/>
      <c r="FNH37" s="79"/>
      <c r="FNI37" s="79"/>
      <c r="FNJ37" s="79"/>
      <c r="FNK37" s="79"/>
      <c r="FNL37" s="79"/>
      <c r="FNM37" s="79"/>
      <c r="FNN37" s="79"/>
      <c r="FNO37" s="79"/>
      <c r="FNP37" s="79"/>
      <c r="FNQ37" s="79"/>
      <c r="FNR37" s="79"/>
      <c r="FNS37" s="79"/>
      <c r="FNT37" s="79"/>
      <c r="FNU37" s="79"/>
      <c r="FNV37" s="79"/>
      <c r="FNW37" s="79"/>
      <c r="FNX37" s="79"/>
      <c r="FNY37" s="79"/>
      <c r="FNZ37" s="79"/>
      <c r="FOA37" s="79"/>
      <c r="FOB37" s="79"/>
      <c r="FOC37" s="79"/>
      <c r="FOD37" s="79"/>
      <c r="FOE37" s="79"/>
      <c r="FOF37" s="79"/>
      <c r="FOG37" s="79"/>
      <c r="FOH37" s="79"/>
      <c r="FOI37" s="79"/>
      <c r="FOJ37" s="79"/>
      <c r="FOK37" s="79"/>
      <c r="FOL37" s="79"/>
      <c r="FOM37" s="79"/>
      <c r="FON37" s="79"/>
      <c r="FOO37" s="79"/>
      <c r="FOP37" s="79"/>
      <c r="FOQ37" s="79"/>
      <c r="FOR37" s="79"/>
      <c r="FOS37" s="79"/>
      <c r="FOT37" s="79"/>
      <c r="FOU37" s="79"/>
      <c r="FOV37" s="79"/>
      <c r="FOW37" s="79"/>
      <c r="FOX37" s="79"/>
      <c r="FOY37" s="79"/>
      <c r="FOZ37" s="79"/>
      <c r="FPA37" s="79"/>
      <c r="FPB37" s="79"/>
      <c r="FPC37" s="79"/>
      <c r="FPD37" s="79"/>
      <c r="FPE37" s="79"/>
      <c r="FPF37" s="79"/>
      <c r="FPG37" s="79"/>
      <c r="FPH37" s="79"/>
      <c r="FPI37" s="79"/>
      <c r="FPJ37" s="79"/>
      <c r="FPK37" s="79"/>
      <c r="FPL37" s="79"/>
      <c r="FPM37" s="79"/>
      <c r="FPN37" s="79"/>
      <c r="FPO37" s="79"/>
      <c r="FPP37" s="79"/>
      <c r="FPQ37" s="79"/>
      <c r="FPR37" s="79"/>
      <c r="FPS37" s="79"/>
      <c r="FPT37" s="79"/>
      <c r="FPU37" s="79"/>
      <c r="FPV37" s="79"/>
      <c r="FPW37" s="79"/>
      <c r="FPX37" s="79"/>
      <c r="FPY37" s="79"/>
      <c r="FPZ37" s="79"/>
      <c r="FQA37" s="79"/>
      <c r="FQB37" s="79"/>
      <c r="FQC37" s="79"/>
      <c r="FQD37" s="79"/>
      <c r="FQE37" s="79"/>
      <c r="FQF37" s="79"/>
      <c r="FQG37" s="79"/>
      <c r="FQH37" s="79"/>
      <c r="FQI37" s="79"/>
      <c r="FQJ37" s="79"/>
      <c r="FQK37" s="79"/>
      <c r="FQL37" s="79"/>
      <c r="FQM37" s="79"/>
      <c r="FQN37" s="79"/>
      <c r="FQO37" s="79"/>
      <c r="FQP37" s="79"/>
      <c r="FQQ37" s="79"/>
      <c r="FQR37" s="79"/>
      <c r="FQS37" s="79"/>
      <c r="FQT37" s="79"/>
      <c r="FQU37" s="79"/>
      <c r="FQV37" s="79"/>
      <c r="FQW37" s="79"/>
      <c r="FQX37" s="79"/>
      <c r="FQY37" s="79"/>
      <c r="FQZ37" s="79"/>
      <c r="FRA37" s="79"/>
      <c r="FRB37" s="79"/>
      <c r="FRC37" s="79"/>
      <c r="FRD37" s="79"/>
      <c r="FRE37" s="79"/>
      <c r="FRF37" s="79"/>
      <c r="FRG37" s="79"/>
      <c r="FRH37" s="79"/>
      <c r="FRI37" s="79"/>
      <c r="FRJ37" s="79"/>
      <c r="FRK37" s="79"/>
      <c r="FRL37" s="79"/>
      <c r="FRM37" s="79"/>
      <c r="FRN37" s="79"/>
      <c r="FRO37" s="79"/>
      <c r="FRP37" s="79"/>
      <c r="FRQ37" s="79"/>
      <c r="FRR37" s="79"/>
      <c r="FRS37" s="79"/>
      <c r="FRT37" s="79"/>
      <c r="FRU37" s="79"/>
      <c r="FRV37" s="79"/>
      <c r="FRW37" s="79"/>
      <c r="FRX37" s="79"/>
      <c r="FRY37" s="79"/>
      <c r="FRZ37" s="79"/>
      <c r="FSA37" s="79"/>
      <c r="FSB37" s="79"/>
      <c r="FSC37" s="79"/>
      <c r="FSD37" s="79"/>
      <c r="FSE37" s="79"/>
      <c r="FSF37" s="79"/>
      <c r="FSG37" s="79"/>
      <c r="FSH37" s="79"/>
      <c r="FSI37" s="79"/>
      <c r="FSJ37" s="79"/>
      <c r="FSK37" s="79"/>
      <c r="FSL37" s="79"/>
      <c r="FSM37" s="79"/>
      <c r="FSN37" s="79"/>
      <c r="FSO37" s="79"/>
      <c r="FSP37" s="79"/>
      <c r="FSQ37" s="79"/>
      <c r="FSR37" s="79"/>
      <c r="FSS37" s="79"/>
      <c r="FST37" s="79"/>
      <c r="FSU37" s="79"/>
      <c r="FSV37" s="79"/>
      <c r="FSW37" s="79"/>
      <c r="FSX37" s="79"/>
      <c r="FSY37" s="79"/>
      <c r="FSZ37" s="79"/>
      <c r="FTA37" s="79"/>
      <c r="FTB37" s="79"/>
      <c r="FTC37" s="79"/>
      <c r="FTD37" s="79"/>
      <c r="FTE37" s="79"/>
      <c r="FTF37" s="79"/>
      <c r="FTG37" s="79"/>
      <c r="FTH37" s="79"/>
      <c r="FTI37" s="79"/>
      <c r="FTJ37" s="79"/>
      <c r="FTK37" s="79"/>
      <c r="FTL37" s="79"/>
      <c r="FTM37" s="79"/>
      <c r="FTN37" s="79"/>
      <c r="FTO37" s="79"/>
      <c r="FTP37" s="79"/>
      <c r="FTQ37" s="79"/>
      <c r="FTR37" s="79"/>
      <c r="FTS37" s="79"/>
      <c r="FTT37" s="79"/>
      <c r="FTU37" s="79"/>
      <c r="FTV37" s="79"/>
      <c r="FTW37" s="79"/>
      <c r="FTX37" s="79"/>
      <c r="FTY37" s="79"/>
      <c r="FTZ37" s="79"/>
      <c r="FUA37" s="79"/>
      <c r="FUB37" s="79"/>
      <c r="FUC37" s="79"/>
      <c r="FUD37" s="79"/>
      <c r="FUE37" s="79"/>
      <c r="FUF37" s="79"/>
      <c r="FUG37" s="79"/>
      <c r="FUH37" s="79"/>
      <c r="FUI37" s="79"/>
      <c r="FUJ37" s="79"/>
      <c r="FUK37" s="79"/>
      <c r="FUL37" s="79"/>
      <c r="FUM37" s="79"/>
      <c r="FUN37" s="79"/>
      <c r="FUO37" s="79"/>
      <c r="FUP37" s="79"/>
      <c r="FUQ37" s="79"/>
      <c r="FUR37" s="79"/>
      <c r="FUS37" s="79"/>
      <c r="FUT37" s="79"/>
      <c r="FUU37" s="79"/>
      <c r="FUV37" s="79"/>
      <c r="FUW37" s="79"/>
      <c r="FUX37" s="79"/>
      <c r="FUY37" s="79"/>
      <c r="FUZ37" s="79"/>
      <c r="FVA37" s="79"/>
      <c r="FVB37" s="79"/>
      <c r="FVC37" s="79"/>
      <c r="FVD37" s="79"/>
      <c r="FVE37" s="79"/>
      <c r="FVF37" s="79"/>
      <c r="FVG37" s="79"/>
      <c r="FVH37" s="79"/>
      <c r="FVI37" s="79"/>
      <c r="FVJ37" s="79"/>
      <c r="FVK37" s="79"/>
      <c r="FVL37" s="79"/>
      <c r="FVM37" s="79"/>
      <c r="FVN37" s="79"/>
      <c r="FVO37" s="79"/>
      <c r="FVP37" s="79"/>
      <c r="FVQ37" s="79"/>
      <c r="FVR37" s="79"/>
      <c r="FVS37" s="79"/>
      <c r="FVT37" s="79"/>
      <c r="FVU37" s="79"/>
      <c r="FVV37" s="79"/>
      <c r="FVW37" s="79"/>
      <c r="FVX37" s="79"/>
      <c r="FVY37" s="79"/>
      <c r="FVZ37" s="79"/>
      <c r="FWA37" s="79"/>
      <c r="FWB37" s="79"/>
      <c r="FWC37" s="79"/>
      <c r="FWD37" s="79"/>
      <c r="FWE37" s="79"/>
      <c r="FWF37" s="79"/>
      <c r="FWG37" s="79"/>
      <c r="FWH37" s="79"/>
      <c r="FWI37" s="79"/>
      <c r="FWJ37" s="79"/>
      <c r="FWK37" s="79"/>
      <c r="FWL37" s="79"/>
      <c r="FWM37" s="79"/>
      <c r="FWN37" s="79"/>
      <c r="FWO37" s="79"/>
      <c r="FWP37" s="79"/>
      <c r="FWQ37" s="79"/>
      <c r="FWR37" s="79"/>
      <c r="FWS37" s="79"/>
      <c r="FWT37" s="79"/>
      <c r="FWU37" s="79"/>
      <c r="FWV37" s="79"/>
      <c r="FWW37" s="79"/>
      <c r="FWX37" s="79"/>
      <c r="FWY37" s="79"/>
      <c r="FWZ37" s="79"/>
      <c r="FXA37" s="79"/>
      <c r="FXB37" s="79"/>
      <c r="FXC37" s="79"/>
      <c r="FXD37" s="79"/>
      <c r="FXE37" s="79"/>
      <c r="FXF37" s="79"/>
      <c r="FXG37" s="79"/>
      <c r="FXH37" s="79"/>
      <c r="FXI37" s="79"/>
      <c r="FXJ37" s="79"/>
      <c r="FXK37" s="79"/>
      <c r="FXL37" s="79"/>
      <c r="FXM37" s="79"/>
      <c r="FXN37" s="79"/>
      <c r="FXO37" s="79"/>
      <c r="FXP37" s="79"/>
      <c r="FXQ37" s="79"/>
      <c r="FXR37" s="79"/>
      <c r="FXS37" s="79"/>
      <c r="FXT37" s="79"/>
      <c r="FXU37" s="79"/>
      <c r="FXV37" s="79"/>
      <c r="FXW37" s="79"/>
      <c r="FXX37" s="79"/>
      <c r="FXY37" s="79"/>
      <c r="FXZ37" s="79"/>
      <c r="FYA37" s="79"/>
      <c r="FYB37" s="79"/>
      <c r="FYC37" s="79"/>
      <c r="FYD37" s="79"/>
      <c r="FYE37" s="79"/>
      <c r="FYF37" s="79"/>
      <c r="FYG37" s="79"/>
      <c r="FYH37" s="79"/>
      <c r="FYI37" s="79"/>
      <c r="FYJ37" s="79"/>
      <c r="FYK37" s="79"/>
      <c r="FYL37" s="79"/>
      <c r="FYM37" s="79"/>
      <c r="FYN37" s="79"/>
      <c r="FYO37" s="79"/>
      <c r="FYP37" s="79"/>
      <c r="FYQ37" s="79"/>
      <c r="FYR37" s="79"/>
      <c r="FYS37" s="79"/>
      <c r="FYT37" s="79"/>
      <c r="FYU37" s="79"/>
      <c r="FYV37" s="79"/>
      <c r="FYW37" s="79"/>
      <c r="FYX37" s="79"/>
      <c r="FYY37" s="79"/>
      <c r="FYZ37" s="79"/>
      <c r="FZA37" s="79"/>
      <c r="FZB37" s="79"/>
      <c r="FZC37" s="79"/>
      <c r="FZD37" s="79"/>
      <c r="FZE37" s="79"/>
      <c r="FZF37" s="79"/>
      <c r="FZG37" s="79"/>
      <c r="FZH37" s="79"/>
      <c r="FZI37" s="79"/>
      <c r="FZJ37" s="79"/>
      <c r="FZK37" s="79"/>
      <c r="FZL37" s="79"/>
      <c r="FZM37" s="79"/>
      <c r="FZN37" s="79"/>
      <c r="FZO37" s="79"/>
      <c r="FZP37" s="79"/>
      <c r="FZQ37" s="79"/>
      <c r="FZR37" s="79"/>
      <c r="FZS37" s="79"/>
      <c r="FZT37" s="79"/>
      <c r="FZU37" s="79"/>
      <c r="FZV37" s="79"/>
      <c r="FZW37" s="79"/>
      <c r="FZX37" s="79"/>
      <c r="FZY37" s="79"/>
      <c r="FZZ37" s="79"/>
      <c r="GAA37" s="79"/>
      <c r="GAB37" s="79"/>
      <c r="GAC37" s="79"/>
      <c r="GAD37" s="79"/>
      <c r="GAE37" s="79"/>
      <c r="GAF37" s="79"/>
      <c r="GAG37" s="79"/>
      <c r="GAH37" s="79"/>
      <c r="GAI37" s="79"/>
      <c r="GAJ37" s="79"/>
      <c r="GAK37" s="79"/>
      <c r="GAL37" s="79"/>
      <c r="GAM37" s="79"/>
      <c r="GAN37" s="79"/>
      <c r="GAO37" s="79"/>
      <c r="GAP37" s="79"/>
      <c r="GAQ37" s="79"/>
      <c r="GAR37" s="79"/>
      <c r="GAS37" s="79"/>
      <c r="GAT37" s="79"/>
      <c r="GAU37" s="79"/>
      <c r="GAV37" s="79"/>
      <c r="GAW37" s="79"/>
      <c r="GAX37" s="79"/>
      <c r="GAY37" s="79"/>
      <c r="GAZ37" s="79"/>
      <c r="GBA37" s="79"/>
      <c r="GBB37" s="79"/>
      <c r="GBC37" s="79"/>
      <c r="GBD37" s="79"/>
      <c r="GBE37" s="79"/>
      <c r="GBF37" s="79"/>
      <c r="GBG37" s="79"/>
      <c r="GBH37" s="79"/>
      <c r="GBI37" s="79"/>
      <c r="GBJ37" s="79"/>
      <c r="GBK37" s="79"/>
      <c r="GBL37" s="79"/>
      <c r="GBM37" s="79"/>
      <c r="GBN37" s="79"/>
      <c r="GBO37" s="79"/>
      <c r="GBP37" s="79"/>
      <c r="GBQ37" s="79"/>
      <c r="GBR37" s="79"/>
      <c r="GBS37" s="79"/>
      <c r="GBT37" s="79"/>
      <c r="GBU37" s="79"/>
      <c r="GBV37" s="79"/>
      <c r="GBW37" s="79"/>
      <c r="GBX37" s="79"/>
      <c r="GBY37" s="79"/>
      <c r="GBZ37" s="79"/>
      <c r="GCA37" s="79"/>
      <c r="GCB37" s="79"/>
      <c r="GCC37" s="79"/>
      <c r="GCD37" s="79"/>
      <c r="GCE37" s="79"/>
      <c r="GCF37" s="79"/>
      <c r="GCG37" s="79"/>
      <c r="GCH37" s="79"/>
      <c r="GCI37" s="79"/>
      <c r="GCJ37" s="79"/>
      <c r="GCK37" s="79"/>
      <c r="GCL37" s="79"/>
      <c r="GCM37" s="79"/>
      <c r="GCN37" s="79"/>
      <c r="GCO37" s="79"/>
      <c r="GCP37" s="79"/>
      <c r="GCQ37" s="79"/>
      <c r="GCR37" s="79"/>
      <c r="GCS37" s="79"/>
      <c r="GCT37" s="79"/>
      <c r="GCU37" s="79"/>
      <c r="GCV37" s="79"/>
      <c r="GCW37" s="79"/>
      <c r="GCX37" s="79"/>
      <c r="GCY37" s="79"/>
      <c r="GCZ37" s="79"/>
      <c r="GDA37" s="79"/>
      <c r="GDB37" s="79"/>
      <c r="GDC37" s="79"/>
      <c r="GDD37" s="79"/>
      <c r="GDE37" s="79"/>
      <c r="GDF37" s="79"/>
      <c r="GDG37" s="79"/>
      <c r="GDH37" s="79"/>
      <c r="GDI37" s="79"/>
      <c r="GDJ37" s="79"/>
      <c r="GDK37" s="79"/>
      <c r="GDL37" s="79"/>
      <c r="GDM37" s="79"/>
      <c r="GDN37" s="79"/>
      <c r="GDO37" s="79"/>
      <c r="GDP37" s="79"/>
      <c r="GDQ37" s="79"/>
      <c r="GDR37" s="79"/>
      <c r="GDS37" s="79"/>
      <c r="GDT37" s="79"/>
      <c r="GDU37" s="79"/>
      <c r="GDV37" s="79"/>
      <c r="GDW37" s="79"/>
      <c r="GDX37" s="79"/>
      <c r="GDY37" s="79"/>
      <c r="GDZ37" s="79"/>
      <c r="GEA37" s="79"/>
      <c r="GEB37" s="79"/>
      <c r="GEC37" s="79"/>
      <c r="GED37" s="79"/>
      <c r="GEE37" s="79"/>
      <c r="GEF37" s="79"/>
      <c r="GEG37" s="79"/>
      <c r="GEH37" s="79"/>
      <c r="GEI37" s="79"/>
      <c r="GEJ37" s="79"/>
      <c r="GEK37" s="79"/>
      <c r="GEL37" s="79"/>
      <c r="GEM37" s="79"/>
      <c r="GEN37" s="79"/>
      <c r="GEO37" s="79"/>
      <c r="GEP37" s="79"/>
      <c r="GEQ37" s="79"/>
      <c r="GER37" s="79"/>
      <c r="GES37" s="79"/>
      <c r="GET37" s="79"/>
      <c r="GEU37" s="79"/>
      <c r="GEV37" s="79"/>
      <c r="GEW37" s="79"/>
      <c r="GEX37" s="79"/>
      <c r="GEY37" s="79"/>
      <c r="GEZ37" s="79"/>
      <c r="GFA37" s="79"/>
      <c r="GFB37" s="79"/>
      <c r="GFC37" s="79"/>
      <c r="GFD37" s="79"/>
      <c r="GFE37" s="79"/>
      <c r="GFF37" s="79"/>
      <c r="GFG37" s="79"/>
      <c r="GFH37" s="79"/>
      <c r="GFI37" s="79"/>
      <c r="GFJ37" s="79"/>
      <c r="GFK37" s="79"/>
      <c r="GFL37" s="79"/>
      <c r="GFM37" s="79"/>
      <c r="GFN37" s="79"/>
      <c r="GFO37" s="79"/>
      <c r="GFP37" s="79"/>
      <c r="GFQ37" s="79"/>
      <c r="GFR37" s="79"/>
      <c r="GFS37" s="79"/>
      <c r="GFT37" s="79"/>
      <c r="GFU37" s="79"/>
      <c r="GFV37" s="79"/>
      <c r="GFW37" s="79"/>
      <c r="GFX37" s="79"/>
      <c r="GFY37" s="79"/>
      <c r="GFZ37" s="79"/>
      <c r="GGA37" s="79"/>
      <c r="GGB37" s="79"/>
      <c r="GGC37" s="79"/>
      <c r="GGD37" s="79"/>
      <c r="GGE37" s="79"/>
      <c r="GGF37" s="79"/>
      <c r="GGG37" s="79"/>
      <c r="GGH37" s="79"/>
      <c r="GGI37" s="79"/>
      <c r="GGJ37" s="79"/>
      <c r="GGK37" s="79"/>
      <c r="GGL37" s="79"/>
      <c r="GGM37" s="79"/>
      <c r="GGN37" s="79"/>
      <c r="GGO37" s="79"/>
      <c r="GGP37" s="79"/>
      <c r="GGQ37" s="79"/>
      <c r="GGR37" s="79"/>
      <c r="GGS37" s="79"/>
      <c r="GGT37" s="79"/>
      <c r="GGU37" s="79"/>
      <c r="GGV37" s="79"/>
      <c r="GGW37" s="79"/>
      <c r="GGX37" s="79"/>
      <c r="GGY37" s="79"/>
      <c r="GGZ37" s="79"/>
      <c r="GHA37" s="79"/>
      <c r="GHB37" s="79"/>
      <c r="GHC37" s="79"/>
      <c r="GHD37" s="79"/>
      <c r="GHE37" s="79"/>
      <c r="GHF37" s="79"/>
      <c r="GHG37" s="79"/>
      <c r="GHH37" s="79"/>
      <c r="GHI37" s="79"/>
      <c r="GHJ37" s="79"/>
      <c r="GHK37" s="79"/>
      <c r="GHL37" s="79"/>
      <c r="GHM37" s="79"/>
      <c r="GHN37" s="79"/>
      <c r="GHO37" s="79"/>
      <c r="GHP37" s="79"/>
      <c r="GHQ37" s="79"/>
      <c r="GHR37" s="79"/>
      <c r="GHS37" s="79"/>
      <c r="GHT37" s="79"/>
      <c r="GHU37" s="79"/>
      <c r="GHV37" s="79"/>
      <c r="GHW37" s="79"/>
      <c r="GHX37" s="79"/>
      <c r="GHY37" s="79"/>
      <c r="GHZ37" s="79"/>
      <c r="GIA37" s="79"/>
      <c r="GIB37" s="79"/>
      <c r="GIC37" s="79"/>
      <c r="GID37" s="79"/>
      <c r="GIE37" s="79"/>
      <c r="GIF37" s="79"/>
      <c r="GIG37" s="79"/>
      <c r="GIH37" s="79"/>
      <c r="GII37" s="79"/>
      <c r="GIJ37" s="79"/>
      <c r="GIK37" s="79"/>
      <c r="GIL37" s="79"/>
      <c r="GIM37" s="79"/>
      <c r="GIN37" s="79"/>
      <c r="GIO37" s="79"/>
      <c r="GIP37" s="79"/>
      <c r="GIQ37" s="79"/>
      <c r="GIR37" s="79"/>
      <c r="GIS37" s="79"/>
      <c r="GIT37" s="79"/>
      <c r="GIU37" s="79"/>
      <c r="GIV37" s="79"/>
      <c r="GIW37" s="79"/>
      <c r="GIX37" s="79"/>
      <c r="GIY37" s="79"/>
      <c r="GIZ37" s="79"/>
      <c r="GJA37" s="79"/>
      <c r="GJB37" s="79"/>
      <c r="GJC37" s="79"/>
      <c r="GJD37" s="79"/>
      <c r="GJE37" s="79"/>
      <c r="GJF37" s="79"/>
      <c r="GJG37" s="79"/>
      <c r="GJH37" s="79"/>
      <c r="GJI37" s="79"/>
      <c r="GJJ37" s="79"/>
      <c r="GJK37" s="79"/>
      <c r="GJL37" s="79"/>
      <c r="GJM37" s="79"/>
      <c r="GJN37" s="79"/>
      <c r="GJO37" s="79"/>
      <c r="GJP37" s="79"/>
      <c r="GJQ37" s="79"/>
      <c r="GJR37" s="79"/>
      <c r="GJS37" s="79"/>
      <c r="GJT37" s="79"/>
      <c r="GJU37" s="79"/>
      <c r="GJV37" s="79"/>
      <c r="GJW37" s="79"/>
      <c r="GJX37" s="79"/>
      <c r="GJY37" s="79"/>
      <c r="GJZ37" s="79"/>
      <c r="GKA37" s="79"/>
      <c r="GKB37" s="79"/>
      <c r="GKC37" s="79"/>
      <c r="GKD37" s="79"/>
      <c r="GKE37" s="79"/>
      <c r="GKF37" s="79"/>
      <c r="GKG37" s="79"/>
      <c r="GKH37" s="79"/>
      <c r="GKI37" s="79"/>
      <c r="GKJ37" s="79"/>
      <c r="GKK37" s="79"/>
      <c r="GKL37" s="79"/>
      <c r="GKM37" s="79"/>
      <c r="GKN37" s="79"/>
      <c r="GKO37" s="79"/>
      <c r="GKP37" s="79"/>
      <c r="GKQ37" s="79"/>
      <c r="GKR37" s="79"/>
      <c r="GKS37" s="79"/>
      <c r="GKT37" s="79"/>
      <c r="GKU37" s="79"/>
      <c r="GKV37" s="79"/>
      <c r="GKW37" s="79"/>
      <c r="GKX37" s="79"/>
      <c r="GKY37" s="79"/>
      <c r="GKZ37" s="79"/>
      <c r="GLA37" s="79"/>
      <c r="GLB37" s="79"/>
      <c r="GLC37" s="79"/>
      <c r="GLD37" s="79"/>
      <c r="GLE37" s="79"/>
      <c r="GLF37" s="79"/>
      <c r="GLG37" s="79"/>
      <c r="GLH37" s="79"/>
      <c r="GLI37" s="79"/>
      <c r="GLJ37" s="79"/>
      <c r="GLK37" s="79"/>
      <c r="GLL37" s="79"/>
      <c r="GLM37" s="79"/>
      <c r="GLN37" s="79"/>
      <c r="GLO37" s="79"/>
      <c r="GLP37" s="79"/>
      <c r="GLQ37" s="79"/>
      <c r="GLR37" s="79"/>
      <c r="GLS37" s="79"/>
      <c r="GLT37" s="79"/>
      <c r="GLU37" s="79"/>
      <c r="GLV37" s="79"/>
      <c r="GLW37" s="79"/>
      <c r="GLX37" s="79"/>
      <c r="GLY37" s="79"/>
      <c r="GLZ37" s="79"/>
      <c r="GMA37" s="79"/>
      <c r="GMB37" s="79"/>
      <c r="GMC37" s="79"/>
      <c r="GMD37" s="79"/>
      <c r="GME37" s="79"/>
      <c r="GMF37" s="79"/>
      <c r="GMG37" s="79"/>
      <c r="GMH37" s="79"/>
      <c r="GMI37" s="79"/>
      <c r="GMJ37" s="79"/>
      <c r="GMK37" s="79"/>
      <c r="GML37" s="79"/>
      <c r="GMM37" s="79"/>
      <c r="GMN37" s="79"/>
      <c r="GMO37" s="79"/>
      <c r="GMP37" s="79"/>
      <c r="GMQ37" s="79"/>
      <c r="GMR37" s="79"/>
      <c r="GMS37" s="79"/>
      <c r="GMT37" s="79"/>
      <c r="GMU37" s="79"/>
      <c r="GMV37" s="79"/>
      <c r="GMW37" s="79"/>
      <c r="GMX37" s="79"/>
      <c r="GMY37" s="79"/>
      <c r="GMZ37" s="79"/>
      <c r="GNA37" s="79"/>
      <c r="GNB37" s="79"/>
      <c r="GNC37" s="79"/>
      <c r="GND37" s="79"/>
      <c r="GNE37" s="79"/>
      <c r="GNF37" s="79"/>
      <c r="GNG37" s="79"/>
      <c r="GNH37" s="79"/>
      <c r="GNI37" s="79"/>
      <c r="GNJ37" s="79"/>
      <c r="GNK37" s="79"/>
      <c r="GNL37" s="79"/>
      <c r="GNM37" s="79"/>
      <c r="GNN37" s="79"/>
      <c r="GNO37" s="79"/>
      <c r="GNP37" s="79"/>
      <c r="GNQ37" s="79"/>
      <c r="GNR37" s="79"/>
      <c r="GNS37" s="79"/>
      <c r="GNT37" s="79"/>
      <c r="GNU37" s="79"/>
      <c r="GNV37" s="79"/>
      <c r="GNW37" s="79"/>
      <c r="GNX37" s="79"/>
      <c r="GNY37" s="79"/>
      <c r="GNZ37" s="79"/>
      <c r="GOA37" s="79"/>
      <c r="GOB37" s="79"/>
      <c r="GOC37" s="79"/>
      <c r="GOD37" s="79"/>
      <c r="GOE37" s="79"/>
      <c r="GOF37" s="79"/>
      <c r="GOG37" s="79"/>
      <c r="GOH37" s="79"/>
      <c r="GOI37" s="79"/>
      <c r="GOJ37" s="79"/>
      <c r="GOK37" s="79"/>
      <c r="GOL37" s="79"/>
      <c r="GOM37" s="79"/>
      <c r="GON37" s="79"/>
      <c r="GOO37" s="79"/>
      <c r="GOP37" s="79"/>
      <c r="GOQ37" s="79"/>
      <c r="GOR37" s="79"/>
      <c r="GOS37" s="79"/>
      <c r="GOT37" s="79"/>
      <c r="GOU37" s="79"/>
      <c r="GOV37" s="79"/>
      <c r="GOW37" s="79"/>
      <c r="GOX37" s="79"/>
      <c r="GOY37" s="79"/>
      <c r="GOZ37" s="79"/>
      <c r="GPA37" s="79"/>
      <c r="GPB37" s="79"/>
      <c r="GPC37" s="79"/>
      <c r="GPD37" s="79"/>
      <c r="GPE37" s="79"/>
      <c r="GPF37" s="79"/>
      <c r="GPG37" s="79"/>
      <c r="GPH37" s="79"/>
      <c r="GPI37" s="79"/>
      <c r="GPJ37" s="79"/>
      <c r="GPK37" s="79"/>
      <c r="GPL37" s="79"/>
      <c r="GPM37" s="79"/>
      <c r="GPN37" s="79"/>
      <c r="GPO37" s="79"/>
      <c r="GPP37" s="79"/>
      <c r="GPQ37" s="79"/>
      <c r="GPR37" s="79"/>
      <c r="GPS37" s="79"/>
      <c r="GPT37" s="79"/>
      <c r="GPU37" s="79"/>
      <c r="GPV37" s="79"/>
      <c r="GPW37" s="79"/>
      <c r="GPX37" s="79"/>
      <c r="GPY37" s="79"/>
      <c r="GPZ37" s="79"/>
      <c r="GQA37" s="79"/>
      <c r="GQB37" s="79"/>
      <c r="GQC37" s="79"/>
      <c r="GQD37" s="79"/>
      <c r="GQE37" s="79"/>
      <c r="GQF37" s="79"/>
      <c r="GQG37" s="79"/>
      <c r="GQH37" s="79"/>
      <c r="GQI37" s="79"/>
      <c r="GQJ37" s="79"/>
      <c r="GQK37" s="79"/>
      <c r="GQL37" s="79"/>
      <c r="GQM37" s="79"/>
      <c r="GQN37" s="79"/>
      <c r="GQO37" s="79"/>
      <c r="GQP37" s="79"/>
      <c r="GQQ37" s="79"/>
      <c r="GQR37" s="79"/>
      <c r="GQS37" s="79"/>
      <c r="GQT37" s="79"/>
      <c r="GQU37" s="79"/>
      <c r="GQV37" s="79"/>
      <c r="GQW37" s="79"/>
      <c r="GQX37" s="79"/>
      <c r="GQY37" s="79"/>
      <c r="GQZ37" s="79"/>
      <c r="GRA37" s="79"/>
      <c r="GRB37" s="79"/>
      <c r="GRC37" s="79"/>
      <c r="GRD37" s="79"/>
      <c r="GRE37" s="79"/>
      <c r="GRF37" s="79"/>
      <c r="GRG37" s="79"/>
      <c r="GRH37" s="79"/>
      <c r="GRI37" s="79"/>
      <c r="GRJ37" s="79"/>
      <c r="GRK37" s="79"/>
      <c r="GRL37" s="79"/>
      <c r="GRM37" s="79"/>
      <c r="GRN37" s="79"/>
      <c r="GRO37" s="79"/>
      <c r="GRP37" s="79"/>
      <c r="GRQ37" s="79"/>
      <c r="GRR37" s="79"/>
      <c r="GRS37" s="79"/>
      <c r="GRT37" s="79"/>
      <c r="GRU37" s="79"/>
      <c r="GRV37" s="79"/>
      <c r="GRW37" s="79"/>
      <c r="GRX37" s="79"/>
      <c r="GRY37" s="79"/>
      <c r="GRZ37" s="79"/>
      <c r="GSA37" s="79"/>
      <c r="GSB37" s="79"/>
      <c r="GSC37" s="79"/>
      <c r="GSD37" s="79"/>
      <c r="GSE37" s="79"/>
      <c r="GSF37" s="79"/>
      <c r="GSG37" s="79"/>
      <c r="GSH37" s="79"/>
      <c r="GSI37" s="79"/>
      <c r="GSJ37" s="79"/>
      <c r="GSK37" s="79"/>
      <c r="GSL37" s="79"/>
      <c r="GSM37" s="79"/>
      <c r="GSN37" s="79"/>
      <c r="GSO37" s="79"/>
      <c r="GSP37" s="79"/>
      <c r="GSQ37" s="79"/>
      <c r="GSR37" s="79"/>
      <c r="GSS37" s="79"/>
      <c r="GST37" s="79"/>
      <c r="GSU37" s="79"/>
      <c r="GSV37" s="79"/>
      <c r="GSW37" s="79"/>
      <c r="GSX37" s="79"/>
      <c r="GSY37" s="79"/>
      <c r="GSZ37" s="79"/>
      <c r="GTA37" s="79"/>
      <c r="GTB37" s="79"/>
      <c r="GTC37" s="79"/>
      <c r="GTD37" s="79"/>
      <c r="GTE37" s="79"/>
      <c r="GTF37" s="79"/>
      <c r="GTG37" s="79"/>
      <c r="GTH37" s="79"/>
      <c r="GTI37" s="79"/>
      <c r="GTJ37" s="79"/>
      <c r="GTK37" s="79"/>
      <c r="GTL37" s="79"/>
      <c r="GTM37" s="79"/>
      <c r="GTN37" s="79"/>
      <c r="GTO37" s="79"/>
      <c r="GTP37" s="79"/>
      <c r="GTQ37" s="79"/>
      <c r="GTR37" s="79"/>
      <c r="GTS37" s="79"/>
      <c r="GTT37" s="79"/>
      <c r="GTU37" s="79"/>
      <c r="GTV37" s="79"/>
      <c r="GTW37" s="79"/>
      <c r="GTX37" s="79"/>
      <c r="GTY37" s="79"/>
      <c r="GTZ37" s="79"/>
      <c r="GUA37" s="79"/>
      <c r="GUB37" s="79"/>
      <c r="GUC37" s="79"/>
      <c r="GUD37" s="79"/>
      <c r="GUE37" s="79"/>
      <c r="GUF37" s="79"/>
      <c r="GUG37" s="79"/>
      <c r="GUH37" s="79"/>
      <c r="GUI37" s="79"/>
      <c r="GUJ37" s="79"/>
      <c r="GUK37" s="79"/>
      <c r="GUL37" s="79"/>
      <c r="GUM37" s="79"/>
      <c r="GUN37" s="79"/>
      <c r="GUO37" s="79"/>
      <c r="GUP37" s="79"/>
      <c r="GUQ37" s="79"/>
      <c r="GUR37" s="79"/>
      <c r="GUS37" s="79"/>
      <c r="GUT37" s="79"/>
      <c r="GUU37" s="79"/>
      <c r="GUV37" s="79"/>
      <c r="GUW37" s="79"/>
      <c r="GUX37" s="79"/>
      <c r="GUY37" s="79"/>
      <c r="GUZ37" s="79"/>
      <c r="GVA37" s="79"/>
      <c r="GVB37" s="79"/>
      <c r="GVC37" s="79"/>
      <c r="GVD37" s="79"/>
      <c r="GVE37" s="79"/>
      <c r="GVF37" s="79"/>
      <c r="GVG37" s="79"/>
      <c r="GVH37" s="79"/>
      <c r="GVI37" s="79"/>
      <c r="GVJ37" s="79"/>
      <c r="GVK37" s="79"/>
      <c r="GVL37" s="79"/>
      <c r="GVM37" s="79"/>
      <c r="GVN37" s="79"/>
      <c r="GVO37" s="79"/>
      <c r="GVP37" s="79"/>
      <c r="GVQ37" s="79"/>
      <c r="GVR37" s="79"/>
      <c r="GVS37" s="79"/>
      <c r="GVT37" s="79"/>
      <c r="GVU37" s="79"/>
      <c r="GVV37" s="79"/>
      <c r="GVW37" s="79"/>
      <c r="GVX37" s="79"/>
      <c r="GVY37" s="79"/>
      <c r="GVZ37" s="79"/>
      <c r="GWA37" s="79"/>
      <c r="GWB37" s="79"/>
      <c r="GWC37" s="79"/>
      <c r="GWD37" s="79"/>
      <c r="GWE37" s="79"/>
      <c r="GWF37" s="79"/>
      <c r="GWG37" s="79"/>
      <c r="GWH37" s="79"/>
      <c r="GWI37" s="79"/>
      <c r="GWJ37" s="79"/>
      <c r="GWK37" s="79"/>
      <c r="GWL37" s="79"/>
      <c r="GWM37" s="79"/>
      <c r="GWN37" s="79"/>
      <c r="GWO37" s="79"/>
      <c r="GWP37" s="79"/>
      <c r="GWQ37" s="79"/>
      <c r="GWR37" s="79"/>
      <c r="GWS37" s="79"/>
      <c r="GWT37" s="79"/>
      <c r="GWU37" s="79"/>
      <c r="GWV37" s="79"/>
      <c r="GWW37" s="79"/>
      <c r="GWX37" s="79"/>
      <c r="GWY37" s="79"/>
      <c r="GWZ37" s="79"/>
      <c r="GXA37" s="79"/>
      <c r="GXB37" s="79"/>
      <c r="GXC37" s="79"/>
      <c r="GXD37" s="79"/>
      <c r="GXE37" s="79"/>
      <c r="GXF37" s="79"/>
      <c r="GXG37" s="79"/>
      <c r="GXH37" s="79"/>
      <c r="GXI37" s="79"/>
      <c r="GXJ37" s="79"/>
      <c r="GXK37" s="79"/>
      <c r="GXL37" s="79"/>
      <c r="GXM37" s="79"/>
      <c r="GXN37" s="79"/>
      <c r="GXO37" s="79"/>
      <c r="GXP37" s="79"/>
      <c r="GXQ37" s="79"/>
      <c r="GXR37" s="79"/>
      <c r="GXS37" s="79"/>
      <c r="GXT37" s="79"/>
      <c r="GXU37" s="79"/>
      <c r="GXV37" s="79"/>
      <c r="GXW37" s="79"/>
      <c r="GXX37" s="79"/>
      <c r="GXY37" s="79"/>
      <c r="GXZ37" s="79"/>
      <c r="GYA37" s="79"/>
      <c r="GYB37" s="79"/>
      <c r="GYC37" s="79"/>
      <c r="GYD37" s="79"/>
      <c r="GYE37" s="79"/>
      <c r="GYF37" s="79"/>
      <c r="GYG37" s="79"/>
      <c r="GYH37" s="79"/>
      <c r="GYI37" s="79"/>
      <c r="GYJ37" s="79"/>
      <c r="GYK37" s="79"/>
      <c r="GYL37" s="79"/>
      <c r="GYM37" s="79"/>
      <c r="GYN37" s="79"/>
      <c r="GYO37" s="79"/>
      <c r="GYP37" s="79"/>
      <c r="GYQ37" s="79"/>
      <c r="GYR37" s="79"/>
      <c r="GYS37" s="79"/>
      <c r="GYT37" s="79"/>
      <c r="GYU37" s="79"/>
      <c r="GYV37" s="79"/>
      <c r="GYW37" s="79"/>
      <c r="GYX37" s="79"/>
      <c r="GYY37" s="79"/>
      <c r="GYZ37" s="79"/>
      <c r="GZA37" s="79"/>
      <c r="GZB37" s="79"/>
      <c r="GZC37" s="79"/>
      <c r="GZD37" s="79"/>
      <c r="GZE37" s="79"/>
      <c r="GZF37" s="79"/>
      <c r="GZG37" s="79"/>
      <c r="GZH37" s="79"/>
      <c r="GZI37" s="79"/>
      <c r="GZJ37" s="79"/>
      <c r="GZK37" s="79"/>
      <c r="GZL37" s="79"/>
      <c r="GZM37" s="79"/>
      <c r="GZN37" s="79"/>
      <c r="GZO37" s="79"/>
      <c r="GZP37" s="79"/>
      <c r="GZQ37" s="79"/>
      <c r="GZR37" s="79"/>
      <c r="GZS37" s="79"/>
      <c r="GZT37" s="79"/>
      <c r="GZU37" s="79"/>
      <c r="GZV37" s="79"/>
      <c r="GZW37" s="79"/>
      <c r="GZX37" s="79"/>
      <c r="GZY37" s="79"/>
      <c r="GZZ37" s="79"/>
      <c r="HAA37" s="79"/>
      <c r="HAB37" s="79"/>
      <c r="HAC37" s="79"/>
      <c r="HAD37" s="79"/>
      <c r="HAE37" s="79"/>
      <c r="HAF37" s="79"/>
      <c r="HAG37" s="79"/>
      <c r="HAH37" s="79"/>
      <c r="HAI37" s="79"/>
      <c r="HAJ37" s="79"/>
      <c r="HAK37" s="79"/>
      <c r="HAL37" s="79"/>
      <c r="HAM37" s="79"/>
      <c r="HAN37" s="79"/>
      <c r="HAO37" s="79"/>
      <c r="HAP37" s="79"/>
      <c r="HAQ37" s="79"/>
      <c r="HAR37" s="79"/>
      <c r="HAS37" s="79"/>
      <c r="HAT37" s="79"/>
      <c r="HAU37" s="79"/>
      <c r="HAV37" s="79"/>
      <c r="HAW37" s="79"/>
      <c r="HAX37" s="79"/>
      <c r="HAY37" s="79"/>
      <c r="HAZ37" s="79"/>
      <c r="HBA37" s="79"/>
      <c r="HBB37" s="79"/>
      <c r="HBC37" s="79"/>
      <c r="HBD37" s="79"/>
      <c r="HBE37" s="79"/>
      <c r="HBF37" s="79"/>
      <c r="HBG37" s="79"/>
      <c r="HBH37" s="79"/>
      <c r="HBI37" s="79"/>
      <c r="HBJ37" s="79"/>
      <c r="HBK37" s="79"/>
      <c r="HBL37" s="79"/>
      <c r="HBM37" s="79"/>
      <c r="HBN37" s="79"/>
      <c r="HBO37" s="79"/>
      <c r="HBP37" s="79"/>
      <c r="HBQ37" s="79"/>
      <c r="HBR37" s="79"/>
      <c r="HBS37" s="79"/>
      <c r="HBT37" s="79"/>
      <c r="HBU37" s="79"/>
      <c r="HBV37" s="79"/>
      <c r="HBW37" s="79"/>
      <c r="HBX37" s="79"/>
      <c r="HBY37" s="79"/>
      <c r="HBZ37" s="79"/>
      <c r="HCA37" s="79"/>
      <c r="HCB37" s="79"/>
      <c r="HCC37" s="79"/>
      <c r="HCD37" s="79"/>
      <c r="HCE37" s="79"/>
      <c r="HCF37" s="79"/>
      <c r="HCG37" s="79"/>
      <c r="HCH37" s="79"/>
      <c r="HCI37" s="79"/>
      <c r="HCJ37" s="79"/>
      <c r="HCK37" s="79"/>
      <c r="HCL37" s="79"/>
      <c r="HCM37" s="79"/>
      <c r="HCN37" s="79"/>
      <c r="HCO37" s="79"/>
      <c r="HCP37" s="79"/>
      <c r="HCQ37" s="79"/>
      <c r="HCR37" s="79"/>
      <c r="HCS37" s="79"/>
      <c r="HCT37" s="79"/>
      <c r="HCU37" s="79"/>
      <c r="HCV37" s="79"/>
      <c r="HCW37" s="79"/>
      <c r="HCX37" s="79"/>
      <c r="HCY37" s="79"/>
      <c r="HCZ37" s="79"/>
      <c r="HDA37" s="79"/>
      <c r="HDB37" s="79"/>
      <c r="HDC37" s="79"/>
      <c r="HDD37" s="79"/>
      <c r="HDE37" s="79"/>
      <c r="HDF37" s="79"/>
      <c r="HDG37" s="79"/>
      <c r="HDH37" s="79"/>
      <c r="HDI37" s="79"/>
      <c r="HDJ37" s="79"/>
      <c r="HDK37" s="79"/>
      <c r="HDL37" s="79"/>
      <c r="HDM37" s="79"/>
      <c r="HDN37" s="79"/>
      <c r="HDO37" s="79"/>
      <c r="HDP37" s="79"/>
      <c r="HDQ37" s="79"/>
      <c r="HDR37" s="79"/>
      <c r="HDS37" s="79"/>
      <c r="HDT37" s="79"/>
      <c r="HDU37" s="79"/>
      <c r="HDV37" s="79"/>
      <c r="HDW37" s="79"/>
      <c r="HDX37" s="79"/>
      <c r="HDY37" s="79"/>
      <c r="HDZ37" s="79"/>
      <c r="HEA37" s="79"/>
      <c r="HEB37" s="79"/>
      <c r="HEC37" s="79"/>
      <c r="HED37" s="79"/>
      <c r="HEE37" s="79"/>
      <c r="HEF37" s="79"/>
      <c r="HEG37" s="79"/>
      <c r="HEH37" s="79"/>
      <c r="HEI37" s="79"/>
      <c r="HEJ37" s="79"/>
      <c r="HEK37" s="79"/>
      <c r="HEL37" s="79"/>
      <c r="HEM37" s="79"/>
      <c r="HEN37" s="79"/>
      <c r="HEO37" s="79"/>
      <c r="HEP37" s="79"/>
      <c r="HEQ37" s="79"/>
      <c r="HER37" s="79"/>
      <c r="HES37" s="79"/>
      <c r="HET37" s="79"/>
      <c r="HEU37" s="79"/>
      <c r="HEV37" s="79"/>
      <c r="HEW37" s="79"/>
      <c r="HEX37" s="79"/>
      <c r="HEY37" s="79"/>
      <c r="HEZ37" s="79"/>
      <c r="HFA37" s="79"/>
      <c r="HFB37" s="79"/>
      <c r="HFC37" s="79"/>
      <c r="HFD37" s="79"/>
      <c r="HFE37" s="79"/>
      <c r="HFF37" s="79"/>
      <c r="HFG37" s="79"/>
      <c r="HFH37" s="79"/>
      <c r="HFI37" s="79"/>
      <c r="HFJ37" s="79"/>
      <c r="HFK37" s="79"/>
      <c r="HFL37" s="79"/>
      <c r="HFM37" s="79"/>
      <c r="HFN37" s="79"/>
      <c r="HFO37" s="79"/>
      <c r="HFP37" s="79"/>
      <c r="HFQ37" s="79"/>
      <c r="HFR37" s="79"/>
      <c r="HFS37" s="79"/>
      <c r="HFT37" s="79"/>
      <c r="HFU37" s="79"/>
      <c r="HFV37" s="79"/>
      <c r="HFW37" s="79"/>
      <c r="HFX37" s="79"/>
      <c r="HFY37" s="79"/>
      <c r="HFZ37" s="79"/>
      <c r="HGA37" s="79"/>
      <c r="HGB37" s="79"/>
      <c r="HGC37" s="79"/>
      <c r="HGD37" s="79"/>
      <c r="HGE37" s="79"/>
      <c r="HGF37" s="79"/>
      <c r="HGG37" s="79"/>
      <c r="HGH37" s="79"/>
      <c r="HGI37" s="79"/>
      <c r="HGJ37" s="79"/>
      <c r="HGK37" s="79"/>
      <c r="HGL37" s="79"/>
      <c r="HGM37" s="79"/>
      <c r="HGN37" s="79"/>
      <c r="HGO37" s="79"/>
      <c r="HGP37" s="79"/>
      <c r="HGQ37" s="79"/>
      <c r="HGR37" s="79"/>
      <c r="HGS37" s="79"/>
      <c r="HGT37" s="79"/>
      <c r="HGU37" s="79"/>
      <c r="HGV37" s="79"/>
      <c r="HGW37" s="79"/>
      <c r="HGX37" s="79"/>
      <c r="HGY37" s="79"/>
      <c r="HGZ37" s="79"/>
      <c r="HHA37" s="79"/>
      <c r="HHB37" s="79"/>
      <c r="HHC37" s="79"/>
      <c r="HHD37" s="79"/>
      <c r="HHE37" s="79"/>
      <c r="HHF37" s="79"/>
      <c r="HHG37" s="79"/>
      <c r="HHH37" s="79"/>
      <c r="HHI37" s="79"/>
      <c r="HHJ37" s="79"/>
      <c r="HHK37" s="79"/>
      <c r="HHL37" s="79"/>
      <c r="HHM37" s="79"/>
      <c r="HHN37" s="79"/>
      <c r="HHO37" s="79"/>
      <c r="HHP37" s="79"/>
      <c r="HHQ37" s="79"/>
      <c r="HHR37" s="79"/>
      <c r="HHS37" s="79"/>
      <c r="HHT37" s="79"/>
      <c r="HHU37" s="79"/>
      <c r="HHV37" s="79"/>
      <c r="HHW37" s="79"/>
      <c r="HHX37" s="79"/>
      <c r="HHY37" s="79"/>
      <c r="HHZ37" s="79"/>
      <c r="HIA37" s="79"/>
      <c r="HIB37" s="79"/>
      <c r="HIC37" s="79"/>
      <c r="HID37" s="79"/>
      <c r="HIE37" s="79"/>
      <c r="HIF37" s="79"/>
      <c r="HIG37" s="79"/>
      <c r="HIH37" s="79"/>
      <c r="HII37" s="79"/>
      <c r="HIJ37" s="79"/>
      <c r="HIK37" s="79"/>
      <c r="HIL37" s="79"/>
      <c r="HIM37" s="79"/>
      <c r="HIN37" s="79"/>
      <c r="HIO37" s="79"/>
      <c r="HIP37" s="79"/>
      <c r="HIQ37" s="79"/>
      <c r="HIR37" s="79"/>
      <c r="HIS37" s="79"/>
      <c r="HIT37" s="79"/>
      <c r="HIU37" s="79"/>
      <c r="HIV37" s="79"/>
      <c r="HIW37" s="79"/>
      <c r="HIX37" s="79"/>
      <c r="HIY37" s="79"/>
      <c r="HIZ37" s="79"/>
      <c r="HJA37" s="79"/>
      <c r="HJB37" s="79"/>
      <c r="HJC37" s="79"/>
      <c r="HJD37" s="79"/>
      <c r="HJE37" s="79"/>
      <c r="HJF37" s="79"/>
      <c r="HJG37" s="79"/>
      <c r="HJH37" s="79"/>
      <c r="HJI37" s="79"/>
      <c r="HJJ37" s="79"/>
      <c r="HJK37" s="79"/>
      <c r="HJL37" s="79"/>
      <c r="HJM37" s="79"/>
      <c r="HJN37" s="79"/>
      <c r="HJO37" s="79"/>
      <c r="HJP37" s="79"/>
      <c r="HJQ37" s="79"/>
      <c r="HJR37" s="79"/>
      <c r="HJS37" s="79"/>
      <c r="HJT37" s="79"/>
      <c r="HJU37" s="79"/>
      <c r="HJV37" s="79"/>
      <c r="HJW37" s="79"/>
      <c r="HJX37" s="79"/>
      <c r="HJY37" s="79"/>
      <c r="HJZ37" s="79"/>
      <c r="HKA37" s="79"/>
      <c r="HKB37" s="79"/>
      <c r="HKC37" s="79"/>
      <c r="HKD37" s="79"/>
      <c r="HKE37" s="79"/>
      <c r="HKF37" s="79"/>
      <c r="HKG37" s="79"/>
      <c r="HKH37" s="79"/>
      <c r="HKI37" s="79"/>
      <c r="HKJ37" s="79"/>
      <c r="HKK37" s="79"/>
      <c r="HKL37" s="79"/>
      <c r="HKM37" s="79"/>
      <c r="HKN37" s="79"/>
      <c r="HKO37" s="79"/>
      <c r="HKP37" s="79"/>
      <c r="HKQ37" s="79"/>
      <c r="HKR37" s="79"/>
      <c r="HKS37" s="79"/>
      <c r="HKT37" s="79"/>
      <c r="HKU37" s="79"/>
      <c r="HKV37" s="79"/>
      <c r="HKW37" s="79"/>
      <c r="HKX37" s="79"/>
      <c r="HKY37" s="79"/>
      <c r="HKZ37" s="79"/>
      <c r="HLA37" s="79"/>
      <c r="HLB37" s="79"/>
      <c r="HLC37" s="79"/>
      <c r="HLD37" s="79"/>
      <c r="HLE37" s="79"/>
      <c r="HLF37" s="79"/>
      <c r="HLG37" s="79"/>
      <c r="HLH37" s="79"/>
      <c r="HLI37" s="79"/>
      <c r="HLJ37" s="79"/>
      <c r="HLK37" s="79"/>
      <c r="HLL37" s="79"/>
      <c r="HLM37" s="79"/>
      <c r="HLN37" s="79"/>
      <c r="HLO37" s="79"/>
      <c r="HLP37" s="79"/>
      <c r="HLQ37" s="79"/>
      <c r="HLR37" s="79"/>
      <c r="HLS37" s="79"/>
      <c r="HLT37" s="79"/>
      <c r="HLU37" s="79"/>
      <c r="HLV37" s="79"/>
      <c r="HLW37" s="79"/>
      <c r="HLX37" s="79"/>
      <c r="HLY37" s="79"/>
      <c r="HLZ37" s="79"/>
      <c r="HMA37" s="79"/>
      <c r="HMB37" s="79"/>
      <c r="HMC37" s="79"/>
      <c r="HMD37" s="79"/>
      <c r="HME37" s="79"/>
      <c r="HMF37" s="79"/>
      <c r="HMG37" s="79"/>
      <c r="HMH37" s="79"/>
      <c r="HMI37" s="79"/>
      <c r="HMJ37" s="79"/>
      <c r="HMK37" s="79"/>
      <c r="HML37" s="79"/>
      <c r="HMM37" s="79"/>
      <c r="HMN37" s="79"/>
      <c r="HMO37" s="79"/>
      <c r="HMP37" s="79"/>
      <c r="HMQ37" s="79"/>
      <c r="HMR37" s="79"/>
      <c r="HMS37" s="79"/>
      <c r="HMT37" s="79"/>
      <c r="HMU37" s="79"/>
      <c r="HMV37" s="79"/>
      <c r="HMW37" s="79"/>
      <c r="HMX37" s="79"/>
      <c r="HMY37" s="79"/>
      <c r="HMZ37" s="79"/>
      <c r="HNA37" s="79"/>
      <c r="HNB37" s="79"/>
      <c r="HNC37" s="79"/>
      <c r="HND37" s="79"/>
      <c r="HNE37" s="79"/>
      <c r="HNF37" s="79"/>
      <c r="HNG37" s="79"/>
      <c r="HNH37" s="79"/>
      <c r="HNI37" s="79"/>
      <c r="HNJ37" s="79"/>
      <c r="HNK37" s="79"/>
      <c r="HNL37" s="79"/>
      <c r="HNM37" s="79"/>
      <c r="HNN37" s="79"/>
      <c r="HNO37" s="79"/>
      <c r="HNP37" s="79"/>
      <c r="HNQ37" s="79"/>
      <c r="HNR37" s="79"/>
      <c r="HNS37" s="79"/>
      <c r="HNT37" s="79"/>
      <c r="HNU37" s="79"/>
      <c r="HNV37" s="79"/>
      <c r="HNW37" s="79"/>
      <c r="HNX37" s="79"/>
      <c r="HNY37" s="79"/>
      <c r="HNZ37" s="79"/>
      <c r="HOA37" s="79"/>
      <c r="HOB37" s="79"/>
      <c r="HOC37" s="79"/>
      <c r="HOD37" s="79"/>
      <c r="HOE37" s="79"/>
      <c r="HOF37" s="79"/>
      <c r="HOG37" s="79"/>
      <c r="HOH37" s="79"/>
      <c r="HOI37" s="79"/>
      <c r="HOJ37" s="79"/>
      <c r="HOK37" s="79"/>
      <c r="HOL37" s="79"/>
      <c r="HOM37" s="79"/>
      <c r="HON37" s="79"/>
      <c r="HOO37" s="79"/>
      <c r="HOP37" s="79"/>
      <c r="HOQ37" s="79"/>
      <c r="HOR37" s="79"/>
      <c r="HOS37" s="79"/>
      <c r="HOT37" s="79"/>
      <c r="HOU37" s="79"/>
      <c r="HOV37" s="79"/>
      <c r="HOW37" s="79"/>
      <c r="HOX37" s="79"/>
      <c r="HOY37" s="79"/>
      <c r="HOZ37" s="79"/>
      <c r="HPA37" s="79"/>
      <c r="HPB37" s="79"/>
      <c r="HPC37" s="79"/>
      <c r="HPD37" s="79"/>
      <c r="HPE37" s="79"/>
      <c r="HPF37" s="79"/>
      <c r="HPG37" s="79"/>
      <c r="HPH37" s="79"/>
      <c r="HPI37" s="79"/>
      <c r="HPJ37" s="79"/>
      <c r="HPK37" s="79"/>
      <c r="HPL37" s="79"/>
      <c r="HPM37" s="79"/>
      <c r="HPN37" s="79"/>
      <c r="HPO37" s="79"/>
      <c r="HPP37" s="79"/>
      <c r="HPQ37" s="79"/>
      <c r="HPR37" s="79"/>
      <c r="HPS37" s="79"/>
      <c r="HPT37" s="79"/>
      <c r="HPU37" s="79"/>
      <c r="HPV37" s="79"/>
      <c r="HPW37" s="79"/>
      <c r="HPX37" s="79"/>
      <c r="HPY37" s="79"/>
      <c r="HPZ37" s="79"/>
      <c r="HQA37" s="79"/>
      <c r="HQB37" s="79"/>
      <c r="HQC37" s="79"/>
      <c r="HQD37" s="79"/>
      <c r="HQE37" s="79"/>
      <c r="HQF37" s="79"/>
      <c r="HQG37" s="79"/>
      <c r="HQH37" s="79"/>
      <c r="HQI37" s="79"/>
      <c r="HQJ37" s="79"/>
      <c r="HQK37" s="79"/>
      <c r="HQL37" s="79"/>
      <c r="HQM37" s="79"/>
      <c r="HQN37" s="79"/>
      <c r="HQO37" s="79"/>
      <c r="HQP37" s="79"/>
      <c r="HQQ37" s="79"/>
      <c r="HQR37" s="79"/>
      <c r="HQS37" s="79"/>
      <c r="HQT37" s="79"/>
      <c r="HQU37" s="79"/>
      <c r="HQV37" s="79"/>
      <c r="HQW37" s="79"/>
      <c r="HQX37" s="79"/>
      <c r="HQY37" s="79"/>
      <c r="HQZ37" s="79"/>
      <c r="HRA37" s="79"/>
      <c r="HRB37" s="79"/>
      <c r="HRC37" s="79"/>
      <c r="HRD37" s="79"/>
      <c r="HRE37" s="79"/>
      <c r="HRF37" s="79"/>
      <c r="HRG37" s="79"/>
      <c r="HRH37" s="79"/>
      <c r="HRI37" s="79"/>
      <c r="HRJ37" s="79"/>
      <c r="HRK37" s="79"/>
      <c r="HRL37" s="79"/>
      <c r="HRM37" s="79"/>
      <c r="HRN37" s="79"/>
      <c r="HRO37" s="79"/>
      <c r="HRP37" s="79"/>
      <c r="HRQ37" s="79"/>
      <c r="HRR37" s="79"/>
      <c r="HRS37" s="79"/>
      <c r="HRT37" s="79"/>
      <c r="HRU37" s="79"/>
      <c r="HRV37" s="79"/>
      <c r="HRW37" s="79"/>
      <c r="HRX37" s="79"/>
      <c r="HRY37" s="79"/>
      <c r="HRZ37" s="79"/>
      <c r="HSA37" s="79"/>
      <c r="HSB37" s="79"/>
      <c r="HSC37" s="79"/>
      <c r="HSD37" s="79"/>
      <c r="HSE37" s="79"/>
      <c r="HSF37" s="79"/>
      <c r="HSG37" s="79"/>
      <c r="HSH37" s="79"/>
      <c r="HSI37" s="79"/>
      <c r="HSJ37" s="79"/>
      <c r="HSK37" s="79"/>
      <c r="HSL37" s="79"/>
      <c r="HSM37" s="79"/>
      <c r="HSN37" s="79"/>
      <c r="HSO37" s="79"/>
      <c r="HSP37" s="79"/>
      <c r="HSQ37" s="79"/>
      <c r="HSR37" s="79"/>
      <c r="HSS37" s="79"/>
      <c r="HST37" s="79"/>
      <c r="HSU37" s="79"/>
      <c r="HSV37" s="79"/>
      <c r="HSW37" s="79"/>
      <c r="HSX37" s="79"/>
      <c r="HSY37" s="79"/>
      <c r="HSZ37" s="79"/>
      <c r="HTA37" s="79"/>
      <c r="HTB37" s="79"/>
      <c r="HTC37" s="79"/>
      <c r="HTD37" s="79"/>
      <c r="HTE37" s="79"/>
      <c r="HTF37" s="79"/>
      <c r="HTG37" s="79"/>
      <c r="HTH37" s="79"/>
      <c r="HTI37" s="79"/>
      <c r="HTJ37" s="79"/>
      <c r="HTK37" s="79"/>
      <c r="HTL37" s="79"/>
      <c r="HTM37" s="79"/>
      <c r="HTN37" s="79"/>
      <c r="HTO37" s="79"/>
      <c r="HTP37" s="79"/>
      <c r="HTQ37" s="79"/>
      <c r="HTR37" s="79"/>
      <c r="HTS37" s="79"/>
      <c r="HTT37" s="79"/>
      <c r="HTU37" s="79"/>
      <c r="HTV37" s="79"/>
      <c r="HTW37" s="79"/>
      <c r="HTX37" s="79"/>
      <c r="HTY37" s="79"/>
      <c r="HTZ37" s="79"/>
      <c r="HUA37" s="79"/>
      <c r="HUB37" s="79"/>
      <c r="HUC37" s="79"/>
      <c r="HUD37" s="79"/>
      <c r="HUE37" s="79"/>
      <c r="HUF37" s="79"/>
      <c r="HUG37" s="79"/>
      <c r="HUH37" s="79"/>
      <c r="HUI37" s="79"/>
      <c r="HUJ37" s="79"/>
      <c r="HUK37" s="79"/>
      <c r="HUL37" s="79"/>
      <c r="HUM37" s="79"/>
      <c r="HUN37" s="79"/>
      <c r="HUO37" s="79"/>
      <c r="HUP37" s="79"/>
      <c r="HUQ37" s="79"/>
      <c r="HUR37" s="79"/>
      <c r="HUS37" s="79"/>
      <c r="HUT37" s="79"/>
      <c r="HUU37" s="79"/>
      <c r="HUV37" s="79"/>
      <c r="HUW37" s="79"/>
      <c r="HUX37" s="79"/>
      <c r="HUY37" s="79"/>
      <c r="HUZ37" s="79"/>
      <c r="HVA37" s="79"/>
      <c r="HVB37" s="79"/>
      <c r="HVC37" s="79"/>
      <c r="HVD37" s="79"/>
      <c r="HVE37" s="79"/>
      <c r="HVF37" s="79"/>
      <c r="HVG37" s="79"/>
      <c r="HVH37" s="79"/>
      <c r="HVI37" s="79"/>
      <c r="HVJ37" s="79"/>
      <c r="HVK37" s="79"/>
      <c r="HVL37" s="79"/>
      <c r="HVM37" s="79"/>
      <c r="HVN37" s="79"/>
      <c r="HVO37" s="79"/>
      <c r="HVP37" s="79"/>
      <c r="HVQ37" s="79"/>
      <c r="HVR37" s="79"/>
      <c r="HVS37" s="79"/>
      <c r="HVT37" s="79"/>
      <c r="HVU37" s="79"/>
      <c r="HVV37" s="79"/>
      <c r="HVW37" s="79"/>
      <c r="HVX37" s="79"/>
      <c r="HVY37" s="79"/>
      <c r="HVZ37" s="79"/>
      <c r="HWA37" s="79"/>
      <c r="HWB37" s="79"/>
      <c r="HWC37" s="79"/>
      <c r="HWD37" s="79"/>
      <c r="HWE37" s="79"/>
      <c r="HWF37" s="79"/>
      <c r="HWG37" s="79"/>
      <c r="HWH37" s="79"/>
      <c r="HWI37" s="79"/>
      <c r="HWJ37" s="79"/>
      <c r="HWK37" s="79"/>
      <c r="HWL37" s="79"/>
      <c r="HWM37" s="79"/>
      <c r="HWN37" s="79"/>
      <c r="HWO37" s="79"/>
      <c r="HWP37" s="79"/>
      <c r="HWQ37" s="79"/>
      <c r="HWR37" s="79"/>
      <c r="HWS37" s="79"/>
      <c r="HWT37" s="79"/>
      <c r="HWU37" s="79"/>
      <c r="HWV37" s="79"/>
      <c r="HWW37" s="79"/>
      <c r="HWX37" s="79"/>
      <c r="HWY37" s="79"/>
      <c r="HWZ37" s="79"/>
      <c r="HXA37" s="79"/>
      <c r="HXB37" s="79"/>
      <c r="HXC37" s="79"/>
      <c r="HXD37" s="79"/>
      <c r="HXE37" s="79"/>
      <c r="HXF37" s="79"/>
      <c r="HXG37" s="79"/>
      <c r="HXH37" s="79"/>
      <c r="HXI37" s="79"/>
      <c r="HXJ37" s="79"/>
      <c r="HXK37" s="79"/>
      <c r="HXL37" s="79"/>
      <c r="HXM37" s="79"/>
      <c r="HXN37" s="79"/>
      <c r="HXO37" s="79"/>
      <c r="HXP37" s="79"/>
      <c r="HXQ37" s="79"/>
      <c r="HXR37" s="79"/>
      <c r="HXS37" s="79"/>
      <c r="HXT37" s="79"/>
      <c r="HXU37" s="79"/>
      <c r="HXV37" s="79"/>
      <c r="HXW37" s="79"/>
      <c r="HXX37" s="79"/>
      <c r="HXY37" s="79"/>
      <c r="HXZ37" s="79"/>
      <c r="HYA37" s="79"/>
      <c r="HYB37" s="79"/>
      <c r="HYC37" s="79"/>
      <c r="HYD37" s="79"/>
      <c r="HYE37" s="79"/>
      <c r="HYF37" s="79"/>
      <c r="HYG37" s="79"/>
      <c r="HYH37" s="79"/>
      <c r="HYI37" s="79"/>
      <c r="HYJ37" s="79"/>
      <c r="HYK37" s="79"/>
      <c r="HYL37" s="79"/>
      <c r="HYM37" s="79"/>
      <c r="HYN37" s="79"/>
      <c r="HYO37" s="79"/>
      <c r="HYP37" s="79"/>
      <c r="HYQ37" s="79"/>
      <c r="HYR37" s="79"/>
      <c r="HYS37" s="79"/>
      <c r="HYT37" s="79"/>
      <c r="HYU37" s="79"/>
      <c r="HYV37" s="79"/>
      <c r="HYW37" s="79"/>
      <c r="HYX37" s="79"/>
      <c r="HYY37" s="79"/>
      <c r="HYZ37" s="79"/>
      <c r="HZA37" s="79"/>
      <c r="HZB37" s="79"/>
      <c r="HZC37" s="79"/>
      <c r="HZD37" s="79"/>
      <c r="HZE37" s="79"/>
      <c r="HZF37" s="79"/>
      <c r="HZG37" s="79"/>
      <c r="HZH37" s="79"/>
      <c r="HZI37" s="79"/>
      <c r="HZJ37" s="79"/>
      <c r="HZK37" s="79"/>
      <c r="HZL37" s="79"/>
      <c r="HZM37" s="79"/>
      <c r="HZN37" s="79"/>
      <c r="HZO37" s="79"/>
      <c r="HZP37" s="79"/>
      <c r="HZQ37" s="79"/>
      <c r="HZR37" s="79"/>
      <c r="HZS37" s="79"/>
      <c r="HZT37" s="79"/>
      <c r="HZU37" s="79"/>
      <c r="HZV37" s="79"/>
      <c r="HZW37" s="79"/>
      <c r="HZX37" s="79"/>
      <c r="HZY37" s="79"/>
      <c r="HZZ37" s="79"/>
      <c r="IAA37" s="79"/>
      <c r="IAB37" s="79"/>
      <c r="IAC37" s="79"/>
      <c r="IAD37" s="79"/>
      <c r="IAE37" s="79"/>
      <c r="IAF37" s="79"/>
      <c r="IAG37" s="79"/>
      <c r="IAH37" s="79"/>
      <c r="IAI37" s="79"/>
      <c r="IAJ37" s="79"/>
      <c r="IAK37" s="79"/>
      <c r="IAL37" s="79"/>
      <c r="IAM37" s="79"/>
      <c r="IAN37" s="79"/>
      <c r="IAO37" s="79"/>
      <c r="IAP37" s="79"/>
      <c r="IAQ37" s="79"/>
      <c r="IAR37" s="79"/>
      <c r="IAS37" s="79"/>
      <c r="IAT37" s="79"/>
      <c r="IAU37" s="79"/>
      <c r="IAV37" s="79"/>
      <c r="IAW37" s="79"/>
      <c r="IAX37" s="79"/>
      <c r="IAY37" s="79"/>
      <c r="IAZ37" s="79"/>
      <c r="IBA37" s="79"/>
      <c r="IBB37" s="79"/>
      <c r="IBC37" s="79"/>
      <c r="IBD37" s="79"/>
      <c r="IBE37" s="79"/>
      <c r="IBF37" s="79"/>
      <c r="IBG37" s="79"/>
      <c r="IBH37" s="79"/>
      <c r="IBI37" s="79"/>
      <c r="IBJ37" s="79"/>
      <c r="IBK37" s="79"/>
      <c r="IBL37" s="79"/>
      <c r="IBM37" s="79"/>
      <c r="IBN37" s="79"/>
      <c r="IBO37" s="79"/>
      <c r="IBP37" s="79"/>
      <c r="IBQ37" s="79"/>
      <c r="IBR37" s="79"/>
      <c r="IBS37" s="79"/>
      <c r="IBT37" s="79"/>
      <c r="IBU37" s="79"/>
      <c r="IBV37" s="79"/>
      <c r="IBW37" s="79"/>
      <c r="IBX37" s="79"/>
      <c r="IBY37" s="79"/>
      <c r="IBZ37" s="79"/>
      <c r="ICA37" s="79"/>
      <c r="ICB37" s="79"/>
      <c r="ICC37" s="79"/>
      <c r="ICD37" s="79"/>
      <c r="ICE37" s="79"/>
      <c r="ICF37" s="79"/>
      <c r="ICG37" s="79"/>
      <c r="ICH37" s="79"/>
      <c r="ICI37" s="79"/>
      <c r="ICJ37" s="79"/>
      <c r="ICK37" s="79"/>
      <c r="ICL37" s="79"/>
      <c r="ICM37" s="79"/>
      <c r="ICN37" s="79"/>
      <c r="ICO37" s="79"/>
      <c r="ICP37" s="79"/>
      <c r="ICQ37" s="79"/>
      <c r="ICR37" s="79"/>
      <c r="ICS37" s="79"/>
      <c r="ICT37" s="79"/>
      <c r="ICU37" s="79"/>
      <c r="ICV37" s="79"/>
      <c r="ICW37" s="79"/>
      <c r="ICX37" s="79"/>
      <c r="ICY37" s="79"/>
      <c r="ICZ37" s="79"/>
      <c r="IDA37" s="79"/>
      <c r="IDB37" s="79"/>
      <c r="IDC37" s="79"/>
      <c r="IDD37" s="79"/>
      <c r="IDE37" s="79"/>
      <c r="IDF37" s="79"/>
      <c r="IDG37" s="79"/>
      <c r="IDH37" s="79"/>
      <c r="IDI37" s="79"/>
      <c r="IDJ37" s="79"/>
      <c r="IDK37" s="79"/>
      <c r="IDL37" s="79"/>
      <c r="IDM37" s="79"/>
      <c r="IDN37" s="79"/>
      <c r="IDO37" s="79"/>
      <c r="IDP37" s="79"/>
      <c r="IDQ37" s="79"/>
      <c r="IDR37" s="79"/>
      <c r="IDS37" s="79"/>
      <c r="IDT37" s="79"/>
      <c r="IDU37" s="79"/>
      <c r="IDV37" s="79"/>
      <c r="IDW37" s="79"/>
      <c r="IDX37" s="79"/>
      <c r="IDY37" s="79"/>
      <c r="IDZ37" s="79"/>
      <c r="IEA37" s="79"/>
      <c r="IEB37" s="79"/>
      <c r="IEC37" s="79"/>
      <c r="IED37" s="79"/>
      <c r="IEE37" s="79"/>
      <c r="IEF37" s="79"/>
      <c r="IEG37" s="79"/>
      <c r="IEH37" s="79"/>
      <c r="IEI37" s="79"/>
      <c r="IEJ37" s="79"/>
      <c r="IEK37" s="79"/>
      <c r="IEL37" s="79"/>
      <c r="IEM37" s="79"/>
      <c r="IEN37" s="79"/>
      <c r="IEO37" s="79"/>
      <c r="IEP37" s="79"/>
      <c r="IEQ37" s="79"/>
      <c r="IER37" s="79"/>
      <c r="IES37" s="79"/>
      <c r="IET37" s="79"/>
      <c r="IEU37" s="79"/>
      <c r="IEV37" s="79"/>
      <c r="IEW37" s="79"/>
      <c r="IEX37" s="79"/>
      <c r="IEY37" s="79"/>
      <c r="IEZ37" s="79"/>
      <c r="IFA37" s="79"/>
      <c r="IFB37" s="79"/>
      <c r="IFC37" s="79"/>
      <c r="IFD37" s="79"/>
      <c r="IFE37" s="79"/>
      <c r="IFF37" s="79"/>
      <c r="IFG37" s="79"/>
      <c r="IFH37" s="79"/>
      <c r="IFI37" s="79"/>
      <c r="IFJ37" s="79"/>
      <c r="IFK37" s="79"/>
      <c r="IFL37" s="79"/>
      <c r="IFM37" s="79"/>
      <c r="IFN37" s="79"/>
      <c r="IFO37" s="79"/>
      <c r="IFP37" s="79"/>
      <c r="IFQ37" s="79"/>
      <c r="IFR37" s="79"/>
      <c r="IFS37" s="79"/>
      <c r="IFT37" s="79"/>
      <c r="IFU37" s="79"/>
      <c r="IFV37" s="79"/>
      <c r="IFW37" s="79"/>
      <c r="IFX37" s="79"/>
      <c r="IFY37" s="79"/>
      <c r="IFZ37" s="79"/>
      <c r="IGA37" s="79"/>
      <c r="IGB37" s="79"/>
      <c r="IGC37" s="79"/>
      <c r="IGD37" s="79"/>
      <c r="IGE37" s="79"/>
      <c r="IGF37" s="79"/>
      <c r="IGG37" s="79"/>
      <c r="IGH37" s="79"/>
      <c r="IGI37" s="79"/>
      <c r="IGJ37" s="79"/>
      <c r="IGK37" s="79"/>
      <c r="IGL37" s="79"/>
      <c r="IGM37" s="79"/>
      <c r="IGN37" s="79"/>
      <c r="IGO37" s="79"/>
      <c r="IGP37" s="79"/>
      <c r="IGQ37" s="79"/>
      <c r="IGR37" s="79"/>
      <c r="IGS37" s="79"/>
      <c r="IGT37" s="79"/>
      <c r="IGU37" s="79"/>
      <c r="IGV37" s="79"/>
      <c r="IGW37" s="79"/>
      <c r="IGX37" s="79"/>
      <c r="IGY37" s="79"/>
      <c r="IGZ37" s="79"/>
      <c r="IHA37" s="79"/>
      <c r="IHB37" s="79"/>
      <c r="IHC37" s="79"/>
      <c r="IHD37" s="79"/>
      <c r="IHE37" s="79"/>
      <c r="IHF37" s="79"/>
      <c r="IHG37" s="79"/>
      <c r="IHH37" s="79"/>
      <c r="IHI37" s="79"/>
      <c r="IHJ37" s="79"/>
      <c r="IHK37" s="79"/>
      <c r="IHL37" s="79"/>
      <c r="IHM37" s="79"/>
      <c r="IHN37" s="79"/>
      <c r="IHO37" s="79"/>
      <c r="IHP37" s="79"/>
      <c r="IHQ37" s="79"/>
      <c r="IHR37" s="79"/>
      <c r="IHS37" s="79"/>
      <c r="IHT37" s="79"/>
      <c r="IHU37" s="79"/>
      <c r="IHV37" s="79"/>
      <c r="IHW37" s="79"/>
      <c r="IHX37" s="79"/>
      <c r="IHY37" s="79"/>
      <c r="IHZ37" s="79"/>
      <c r="IIA37" s="79"/>
      <c r="IIB37" s="79"/>
      <c r="IIC37" s="79"/>
      <c r="IID37" s="79"/>
      <c r="IIE37" s="79"/>
      <c r="IIF37" s="79"/>
      <c r="IIG37" s="79"/>
      <c r="IIH37" s="79"/>
      <c r="III37" s="79"/>
      <c r="IIJ37" s="79"/>
      <c r="IIK37" s="79"/>
      <c r="IIL37" s="79"/>
      <c r="IIM37" s="79"/>
      <c r="IIN37" s="79"/>
      <c r="IIO37" s="79"/>
      <c r="IIP37" s="79"/>
      <c r="IIQ37" s="79"/>
      <c r="IIR37" s="79"/>
      <c r="IIS37" s="79"/>
      <c r="IIT37" s="79"/>
      <c r="IIU37" s="79"/>
      <c r="IIV37" s="79"/>
      <c r="IIW37" s="79"/>
      <c r="IIX37" s="79"/>
      <c r="IIY37" s="79"/>
      <c r="IIZ37" s="79"/>
      <c r="IJA37" s="79"/>
      <c r="IJB37" s="79"/>
      <c r="IJC37" s="79"/>
      <c r="IJD37" s="79"/>
      <c r="IJE37" s="79"/>
      <c r="IJF37" s="79"/>
      <c r="IJG37" s="79"/>
      <c r="IJH37" s="79"/>
      <c r="IJI37" s="79"/>
      <c r="IJJ37" s="79"/>
      <c r="IJK37" s="79"/>
      <c r="IJL37" s="79"/>
      <c r="IJM37" s="79"/>
      <c r="IJN37" s="79"/>
      <c r="IJO37" s="79"/>
      <c r="IJP37" s="79"/>
      <c r="IJQ37" s="79"/>
      <c r="IJR37" s="79"/>
      <c r="IJS37" s="79"/>
      <c r="IJT37" s="79"/>
      <c r="IJU37" s="79"/>
      <c r="IJV37" s="79"/>
      <c r="IJW37" s="79"/>
      <c r="IJX37" s="79"/>
      <c r="IJY37" s="79"/>
      <c r="IJZ37" s="79"/>
      <c r="IKA37" s="79"/>
      <c r="IKB37" s="79"/>
      <c r="IKC37" s="79"/>
      <c r="IKD37" s="79"/>
      <c r="IKE37" s="79"/>
      <c r="IKF37" s="79"/>
      <c r="IKG37" s="79"/>
      <c r="IKH37" s="79"/>
      <c r="IKI37" s="79"/>
      <c r="IKJ37" s="79"/>
      <c r="IKK37" s="79"/>
      <c r="IKL37" s="79"/>
      <c r="IKM37" s="79"/>
      <c r="IKN37" s="79"/>
      <c r="IKO37" s="79"/>
      <c r="IKP37" s="79"/>
      <c r="IKQ37" s="79"/>
      <c r="IKR37" s="79"/>
      <c r="IKS37" s="79"/>
      <c r="IKT37" s="79"/>
      <c r="IKU37" s="79"/>
      <c r="IKV37" s="79"/>
      <c r="IKW37" s="79"/>
      <c r="IKX37" s="79"/>
      <c r="IKY37" s="79"/>
      <c r="IKZ37" s="79"/>
      <c r="ILA37" s="79"/>
      <c r="ILB37" s="79"/>
      <c r="ILC37" s="79"/>
      <c r="ILD37" s="79"/>
      <c r="ILE37" s="79"/>
      <c r="ILF37" s="79"/>
      <c r="ILG37" s="79"/>
      <c r="ILH37" s="79"/>
      <c r="ILI37" s="79"/>
      <c r="ILJ37" s="79"/>
      <c r="ILK37" s="79"/>
      <c r="ILL37" s="79"/>
      <c r="ILM37" s="79"/>
      <c r="ILN37" s="79"/>
      <c r="ILO37" s="79"/>
      <c r="ILP37" s="79"/>
      <c r="ILQ37" s="79"/>
      <c r="ILR37" s="79"/>
      <c r="ILS37" s="79"/>
      <c r="ILT37" s="79"/>
      <c r="ILU37" s="79"/>
      <c r="ILV37" s="79"/>
      <c r="ILW37" s="79"/>
      <c r="ILX37" s="79"/>
      <c r="ILY37" s="79"/>
      <c r="ILZ37" s="79"/>
      <c r="IMA37" s="79"/>
      <c r="IMB37" s="79"/>
      <c r="IMC37" s="79"/>
      <c r="IMD37" s="79"/>
      <c r="IME37" s="79"/>
      <c r="IMF37" s="79"/>
      <c r="IMG37" s="79"/>
      <c r="IMH37" s="79"/>
      <c r="IMI37" s="79"/>
      <c r="IMJ37" s="79"/>
      <c r="IMK37" s="79"/>
      <c r="IML37" s="79"/>
      <c r="IMM37" s="79"/>
      <c r="IMN37" s="79"/>
      <c r="IMO37" s="79"/>
      <c r="IMP37" s="79"/>
      <c r="IMQ37" s="79"/>
      <c r="IMR37" s="79"/>
      <c r="IMS37" s="79"/>
      <c r="IMT37" s="79"/>
      <c r="IMU37" s="79"/>
      <c r="IMV37" s="79"/>
      <c r="IMW37" s="79"/>
      <c r="IMX37" s="79"/>
      <c r="IMY37" s="79"/>
      <c r="IMZ37" s="79"/>
      <c r="INA37" s="79"/>
      <c r="INB37" s="79"/>
      <c r="INC37" s="79"/>
      <c r="IND37" s="79"/>
      <c r="INE37" s="79"/>
      <c r="INF37" s="79"/>
      <c r="ING37" s="79"/>
      <c r="INH37" s="79"/>
      <c r="INI37" s="79"/>
      <c r="INJ37" s="79"/>
      <c r="INK37" s="79"/>
      <c r="INL37" s="79"/>
      <c r="INM37" s="79"/>
      <c r="INN37" s="79"/>
      <c r="INO37" s="79"/>
      <c r="INP37" s="79"/>
      <c r="INQ37" s="79"/>
      <c r="INR37" s="79"/>
      <c r="INS37" s="79"/>
      <c r="INT37" s="79"/>
      <c r="INU37" s="79"/>
      <c r="INV37" s="79"/>
      <c r="INW37" s="79"/>
      <c r="INX37" s="79"/>
      <c r="INY37" s="79"/>
      <c r="INZ37" s="79"/>
      <c r="IOA37" s="79"/>
      <c r="IOB37" s="79"/>
      <c r="IOC37" s="79"/>
      <c r="IOD37" s="79"/>
      <c r="IOE37" s="79"/>
      <c r="IOF37" s="79"/>
      <c r="IOG37" s="79"/>
      <c r="IOH37" s="79"/>
      <c r="IOI37" s="79"/>
      <c r="IOJ37" s="79"/>
      <c r="IOK37" s="79"/>
      <c r="IOL37" s="79"/>
      <c r="IOM37" s="79"/>
      <c r="ION37" s="79"/>
      <c r="IOO37" s="79"/>
      <c r="IOP37" s="79"/>
      <c r="IOQ37" s="79"/>
      <c r="IOR37" s="79"/>
      <c r="IOS37" s="79"/>
      <c r="IOT37" s="79"/>
      <c r="IOU37" s="79"/>
      <c r="IOV37" s="79"/>
      <c r="IOW37" s="79"/>
      <c r="IOX37" s="79"/>
      <c r="IOY37" s="79"/>
      <c r="IOZ37" s="79"/>
      <c r="IPA37" s="79"/>
      <c r="IPB37" s="79"/>
      <c r="IPC37" s="79"/>
      <c r="IPD37" s="79"/>
      <c r="IPE37" s="79"/>
      <c r="IPF37" s="79"/>
      <c r="IPG37" s="79"/>
      <c r="IPH37" s="79"/>
      <c r="IPI37" s="79"/>
      <c r="IPJ37" s="79"/>
      <c r="IPK37" s="79"/>
      <c r="IPL37" s="79"/>
      <c r="IPM37" s="79"/>
      <c r="IPN37" s="79"/>
      <c r="IPO37" s="79"/>
      <c r="IPP37" s="79"/>
      <c r="IPQ37" s="79"/>
      <c r="IPR37" s="79"/>
      <c r="IPS37" s="79"/>
      <c r="IPT37" s="79"/>
      <c r="IPU37" s="79"/>
      <c r="IPV37" s="79"/>
      <c r="IPW37" s="79"/>
      <c r="IPX37" s="79"/>
      <c r="IPY37" s="79"/>
      <c r="IPZ37" s="79"/>
      <c r="IQA37" s="79"/>
      <c r="IQB37" s="79"/>
      <c r="IQC37" s="79"/>
      <c r="IQD37" s="79"/>
      <c r="IQE37" s="79"/>
      <c r="IQF37" s="79"/>
      <c r="IQG37" s="79"/>
      <c r="IQH37" s="79"/>
      <c r="IQI37" s="79"/>
      <c r="IQJ37" s="79"/>
      <c r="IQK37" s="79"/>
      <c r="IQL37" s="79"/>
      <c r="IQM37" s="79"/>
      <c r="IQN37" s="79"/>
      <c r="IQO37" s="79"/>
      <c r="IQP37" s="79"/>
      <c r="IQQ37" s="79"/>
      <c r="IQR37" s="79"/>
      <c r="IQS37" s="79"/>
      <c r="IQT37" s="79"/>
      <c r="IQU37" s="79"/>
      <c r="IQV37" s="79"/>
      <c r="IQW37" s="79"/>
      <c r="IQX37" s="79"/>
      <c r="IQY37" s="79"/>
      <c r="IQZ37" s="79"/>
      <c r="IRA37" s="79"/>
      <c r="IRB37" s="79"/>
      <c r="IRC37" s="79"/>
      <c r="IRD37" s="79"/>
      <c r="IRE37" s="79"/>
      <c r="IRF37" s="79"/>
      <c r="IRG37" s="79"/>
      <c r="IRH37" s="79"/>
      <c r="IRI37" s="79"/>
      <c r="IRJ37" s="79"/>
      <c r="IRK37" s="79"/>
      <c r="IRL37" s="79"/>
      <c r="IRM37" s="79"/>
      <c r="IRN37" s="79"/>
      <c r="IRO37" s="79"/>
      <c r="IRP37" s="79"/>
      <c r="IRQ37" s="79"/>
      <c r="IRR37" s="79"/>
      <c r="IRS37" s="79"/>
      <c r="IRT37" s="79"/>
      <c r="IRU37" s="79"/>
      <c r="IRV37" s="79"/>
      <c r="IRW37" s="79"/>
      <c r="IRX37" s="79"/>
      <c r="IRY37" s="79"/>
      <c r="IRZ37" s="79"/>
      <c r="ISA37" s="79"/>
      <c r="ISB37" s="79"/>
      <c r="ISC37" s="79"/>
      <c r="ISD37" s="79"/>
      <c r="ISE37" s="79"/>
      <c r="ISF37" s="79"/>
      <c r="ISG37" s="79"/>
      <c r="ISH37" s="79"/>
      <c r="ISI37" s="79"/>
      <c r="ISJ37" s="79"/>
      <c r="ISK37" s="79"/>
      <c r="ISL37" s="79"/>
      <c r="ISM37" s="79"/>
      <c r="ISN37" s="79"/>
      <c r="ISO37" s="79"/>
      <c r="ISP37" s="79"/>
      <c r="ISQ37" s="79"/>
      <c r="ISR37" s="79"/>
      <c r="ISS37" s="79"/>
      <c r="IST37" s="79"/>
      <c r="ISU37" s="79"/>
      <c r="ISV37" s="79"/>
      <c r="ISW37" s="79"/>
      <c r="ISX37" s="79"/>
      <c r="ISY37" s="79"/>
      <c r="ISZ37" s="79"/>
      <c r="ITA37" s="79"/>
      <c r="ITB37" s="79"/>
      <c r="ITC37" s="79"/>
      <c r="ITD37" s="79"/>
      <c r="ITE37" s="79"/>
      <c r="ITF37" s="79"/>
      <c r="ITG37" s="79"/>
      <c r="ITH37" s="79"/>
      <c r="ITI37" s="79"/>
      <c r="ITJ37" s="79"/>
      <c r="ITK37" s="79"/>
      <c r="ITL37" s="79"/>
      <c r="ITM37" s="79"/>
      <c r="ITN37" s="79"/>
      <c r="ITO37" s="79"/>
      <c r="ITP37" s="79"/>
      <c r="ITQ37" s="79"/>
      <c r="ITR37" s="79"/>
      <c r="ITS37" s="79"/>
      <c r="ITT37" s="79"/>
      <c r="ITU37" s="79"/>
      <c r="ITV37" s="79"/>
      <c r="ITW37" s="79"/>
      <c r="ITX37" s="79"/>
      <c r="ITY37" s="79"/>
      <c r="ITZ37" s="79"/>
      <c r="IUA37" s="79"/>
      <c r="IUB37" s="79"/>
      <c r="IUC37" s="79"/>
      <c r="IUD37" s="79"/>
      <c r="IUE37" s="79"/>
      <c r="IUF37" s="79"/>
      <c r="IUG37" s="79"/>
      <c r="IUH37" s="79"/>
      <c r="IUI37" s="79"/>
      <c r="IUJ37" s="79"/>
      <c r="IUK37" s="79"/>
      <c r="IUL37" s="79"/>
      <c r="IUM37" s="79"/>
      <c r="IUN37" s="79"/>
      <c r="IUO37" s="79"/>
      <c r="IUP37" s="79"/>
      <c r="IUQ37" s="79"/>
      <c r="IUR37" s="79"/>
      <c r="IUS37" s="79"/>
      <c r="IUT37" s="79"/>
      <c r="IUU37" s="79"/>
      <c r="IUV37" s="79"/>
      <c r="IUW37" s="79"/>
      <c r="IUX37" s="79"/>
      <c r="IUY37" s="79"/>
      <c r="IUZ37" s="79"/>
      <c r="IVA37" s="79"/>
      <c r="IVB37" s="79"/>
      <c r="IVC37" s="79"/>
      <c r="IVD37" s="79"/>
      <c r="IVE37" s="79"/>
      <c r="IVF37" s="79"/>
      <c r="IVG37" s="79"/>
      <c r="IVH37" s="79"/>
      <c r="IVI37" s="79"/>
      <c r="IVJ37" s="79"/>
      <c r="IVK37" s="79"/>
      <c r="IVL37" s="79"/>
      <c r="IVM37" s="79"/>
      <c r="IVN37" s="79"/>
      <c r="IVO37" s="79"/>
      <c r="IVP37" s="79"/>
      <c r="IVQ37" s="79"/>
      <c r="IVR37" s="79"/>
      <c r="IVS37" s="79"/>
      <c r="IVT37" s="79"/>
      <c r="IVU37" s="79"/>
      <c r="IVV37" s="79"/>
      <c r="IVW37" s="79"/>
      <c r="IVX37" s="79"/>
      <c r="IVY37" s="79"/>
      <c r="IVZ37" s="79"/>
      <c r="IWA37" s="79"/>
      <c r="IWB37" s="79"/>
      <c r="IWC37" s="79"/>
      <c r="IWD37" s="79"/>
      <c r="IWE37" s="79"/>
      <c r="IWF37" s="79"/>
      <c r="IWG37" s="79"/>
      <c r="IWH37" s="79"/>
      <c r="IWI37" s="79"/>
      <c r="IWJ37" s="79"/>
      <c r="IWK37" s="79"/>
      <c r="IWL37" s="79"/>
      <c r="IWM37" s="79"/>
      <c r="IWN37" s="79"/>
      <c r="IWO37" s="79"/>
      <c r="IWP37" s="79"/>
      <c r="IWQ37" s="79"/>
      <c r="IWR37" s="79"/>
      <c r="IWS37" s="79"/>
      <c r="IWT37" s="79"/>
      <c r="IWU37" s="79"/>
      <c r="IWV37" s="79"/>
      <c r="IWW37" s="79"/>
      <c r="IWX37" s="79"/>
      <c r="IWY37" s="79"/>
      <c r="IWZ37" s="79"/>
      <c r="IXA37" s="79"/>
      <c r="IXB37" s="79"/>
      <c r="IXC37" s="79"/>
      <c r="IXD37" s="79"/>
      <c r="IXE37" s="79"/>
      <c r="IXF37" s="79"/>
      <c r="IXG37" s="79"/>
      <c r="IXH37" s="79"/>
      <c r="IXI37" s="79"/>
      <c r="IXJ37" s="79"/>
      <c r="IXK37" s="79"/>
      <c r="IXL37" s="79"/>
      <c r="IXM37" s="79"/>
      <c r="IXN37" s="79"/>
      <c r="IXO37" s="79"/>
      <c r="IXP37" s="79"/>
      <c r="IXQ37" s="79"/>
      <c r="IXR37" s="79"/>
      <c r="IXS37" s="79"/>
      <c r="IXT37" s="79"/>
      <c r="IXU37" s="79"/>
      <c r="IXV37" s="79"/>
      <c r="IXW37" s="79"/>
      <c r="IXX37" s="79"/>
      <c r="IXY37" s="79"/>
      <c r="IXZ37" s="79"/>
      <c r="IYA37" s="79"/>
      <c r="IYB37" s="79"/>
      <c r="IYC37" s="79"/>
      <c r="IYD37" s="79"/>
      <c r="IYE37" s="79"/>
      <c r="IYF37" s="79"/>
      <c r="IYG37" s="79"/>
      <c r="IYH37" s="79"/>
      <c r="IYI37" s="79"/>
      <c r="IYJ37" s="79"/>
      <c r="IYK37" s="79"/>
      <c r="IYL37" s="79"/>
      <c r="IYM37" s="79"/>
      <c r="IYN37" s="79"/>
      <c r="IYO37" s="79"/>
      <c r="IYP37" s="79"/>
      <c r="IYQ37" s="79"/>
      <c r="IYR37" s="79"/>
      <c r="IYS37" s="79"/>
      <c r="IYT37" s="79"/>
      <c r="IYU37" s="79"/>
      <c r="IYV37" s="79"/>
      <c r="IYW37" s="79"/>
      <c r="IYX37" s="79"/>
      <c r="IYY37" s="79"/>
      <c r="IYZ37" s="79"/>
      <c r="IZA37" s="79"/>
      <c r="IZB37" s="79"/>
      <c r="IZC37" s="79"/>
      <c r="IZD37" s="79"/>
      <c r="IZE37" s="79"/>
      <c r="IZF37" s="79"/>
      <c r="IZG37" s="79"/>
      <c r="IZH37" s="79"/>
      <c r="IZI37" s="79"/>
      <c r="IZJ37" s="79"/>
      <c r="IZK37" s="79"/>
      <c r="IZL37" s="79"/>
      <c r="IZM37" s="79"/>
      <c r="IZN37" s="79"/>
      <c r="IZO37" s="79"/>
      <c r="IZP37" s="79"/>
      <c r="IZQ37" s="79"/>
      <c r="IZR37" s="79"/>
      <c r="IZS37" s="79"/>
      <c r="IZT37" s="79"/>
      <c r="IZU37" s="79"/>
      <c r="IZV37" s="79"/>
      <c r="IZW37" s="79"/>
      <c r="IZX37" s="79"/>
      <c r="IZY37" s="79"/>
      <c r="IZZ37" s="79"/>
      <c r="JAA37" s="79"/>
      <c r="JAB37" s="79"/>
      <c r="JAC37" s="79"/>
      <c r="JAD37" s="79"/>
      <c r="JAE37" s="79"/>
      <c r="JAF37" s="79"/>
      <c r="JAG37" s="79"/>
      <c r="JAH37" s="79"/>
      <c r="JAI37" s="79"/>
      <c r="JAJ37" s="79"/>
      <c r="JAK37" s="79"/>
      <c r="JAL37" s="79"/>
      <c r="JAM37" s="79"/>
      <c r="JAN37" s="79"/>
      <c r="JAO37" s="79"/>
      <c r="JAP37" s="79"/>
      <c r="JAQ37" s="79"/>
      <c r="JAR37" s="79"/>
      <c r="JAS37" s="79"/>
      <c r="JAT37" s="79"/>
      <c r="JAU37" s="79"/>
      <c r="JAV37" s="79"/>
      <c r="JAW37" s="79"/>
      <c r="JAX37" s="79"/>
      <c r="JAY37" s="79"/>
      <c r="JAZ37" s="79"/>
      <c r="JBA37" s="79"/>
      <c r="JBB37" s="79"/>
      <c r="JBC37" s="79"/>
      <c r="JBD37" s="79"/>
      <c r="JBE37" s="79"/>
      <c r="JBF37" s="79"/>
      <c r="JBG37" s="79"/>
      <c r="JBH37" s="79"/>
      <c r="JBI37" s="79"/>
      <c r="JBJ37" s="79"/>
      <c r="JBK37" s="79"/>
      <c r="JBL37" s="79"/>
      <c r="JBM37" s="79"/>
      <c r="JBN37" s="79"/>
      <c r="JBO37" s="79"/>
      <c r="JBP37" s="79"/>
      <c r="JBQ37" s="79"/>
      <c r="JBR37" s="79"/>
      <c r="JBS37" s="79"/>
      <c r="JBT37" s="79"/>
      <c r="JBU37" s="79"/>
      <c r="JBV37" s="79"/>
      <c r="JBW37" s="79"/>
      <c r="JBX37" s="79"/>
      <c r="JBY37" s="79"/>
      <c r="JBZ37" s="79"/>
      <c r="JCA37" s="79"/>
      <c r="JCB37" s="79"/>
      <c r="JCC37" s="79"/>
      <c r="JCD37" s="79"/>
      <c r="JCE37" s="79"/>
      <c r="JCF37" s="79"/>
      <c r="JCG37" s="79"/>
      <c r="JCH37" s="79"/>
      <c r="JCI37" s="79"/>
      <c r="JCJ37" s="79"/>
      <c r="JCK37" s="79"/>
      <c r="JCL37" s="79"/>
      <c r="JCM37" s="79"/>
      <c r="JCN37" s="79"/>
      <c r="JCO37" s="79"/>
      <c r="JCP37" s="79"/>
      <c r="JCQ37" s="79"/>
      <c r="JCR37" s="79"/>
      <c r="JCS37" s="79"/>
      <c r="JCT37" s="79"/>
      <c r="JCU37" s="79"/>
      <c r="JCV37" s="79"/>
      <c r="JCW37" s="79"/>
      <c r="JCX37" s="79"/>
      <c r="JCY37" s="79"/>
      <c r="JCZ37" s="79"/>
      <c r="JDA37" s="79"/>
      <c r="JDB37" s="79"/>
      <c r="JDC37" s="79"/>
      <c r="JDD37" s="79"/>
      <c r="JDE37" s="79"/>
      <c r="JDF37" s="79"/>
      <c r="JDG37" s="79"/>
      <c r="JDH37" s="79"/>
      <c r="JDI37" s="79"/>
      <c r="JDJ37" s="79"/>
      <c r="JDK37" s="79"/>
      <c r="JDL37" s="79"/>
      <c r="JDM37" s="79"/>
      <c r="JDN37" s="79"/>
      <c r="JDO37" s="79"/>
      <c r="JDP37" s="79"/>
      <c r="JDQ37" s="79"/>
      <c r="JDR37" s="79"/>
      <c r="JDS37" s="79"/>
      <c r="JDT37" s="79"/>
      <c r="JDU37" s="79"/>
      <c r="JDV37" s="79"/>
      <c r="JDW37" s="79"/>
      <c r="JDX37" s="79"/>
      <c r="JDY37" s="79"/>
      <c r="JDZ37" s="79"/>
      <c r="JEA37" s="79"/>
      <c r="JEB37" s="79"/>
      <c r="JEC37" s="79"/>
      <c r="JED37" s="79"/>
      <c r="JEE37" s="79"/>
      <c r="JEF37" s="79"/>
      <c r="JEG37" s="79"/>
      <c r="JEH37" s="79"/>
      <c r="JEI37" s="79"/>
      <c r="JEJ37" s="79"/>
      <c r="JEK37" s="79"/>
      <c r="JEL37" s="79"/>
      <c r="JEM37" s="79"/>
      <c r="JEN37" s="79"/>
      <c r="JEO37" s="79"/>
      <c r="JEP37" s="79"/>
      <c r="JEQ37" s="79"/>
      <c r="JER37" s="79"/>
      <c r="JES37" s="79"/>
      <c r="JET37" s="79"/>
      <c r="JEU37" s="79"/>
      <c r="JEV37" s="79"/>
      <c r="JEW37" s="79"/>
      <c r="JEX37" s="79"/>
      <c r="JEY37" s="79"/>
      <c r="JEZ37" s="79"/>
      <c r="JFA37" s="79"/>
      <c r="JFB37" s="79"/>
      <c r="JFC37" s="79"/>
      <c r="JFD37" s="79"/>
      <c r="JFE37" s="79"/>
      <c r="JFF37" s="79"/>
      <c r="JFG37" s="79"/>
      <c r="JFH37" s="79"/>
      <c r="JFI37" s="79"/>
      <c r="JFJ37" s="79"/>
      <c r="JFK37" s="79"/>
      <c r="JFL37" s="79"/>
      <c r="JFM37" s="79"/>
      <c r="JFN37" s="79"/>
      <c r="JFO37" s="79"/>
      <c r="JFP37" s="79"/>
      <c r="JFQ37" s="79"/>
      <c r="JFR37" s="79"/>
      <c r="JFS37" s="79"/>
      <c r="JFT37" s="79"/>
      <c r="JFU37" s="79"/>
      <c r="JFV37" s="79"/>
      <c r="JFW37" s="79"/>
      <c r="JFX37" s="79"/>
      <c r="JFY37" s="79"/>
      <c r="JFZ37" s="79"/>
      <c r="JGA37" s="79"/>
      <c r="JGB37" s="79"/>
      <c r="JGC37" s="79"/>
      <c r="JGD37" s="79"/>
      <c r="JGE37" s="79"/>
      <c r="JGF37" s="79"/>
      <c r="JGG37" s="79"/>
      <c r="JGH37" s="79"/>
      <c r="JGI37" s="79"/>
      <c r="JGJ37" s="79"/>
      <c r="JGK37" s="79"/>
      <c r="JGL37" s="79"/>
      <c r="JGM37" s="79"/>
      <c r="JGN37" s="79"/>
      <c r="JGO37" s="79"/>
      <c r="JGP37" s="79"/>
      <c r="JGQ37" s="79"/>
      <c r="JGR37" s="79"/>
      <c r="JGS37" s="79"/>
      <c r="JGT37" s="79"/>
      <c r="JGU37" s="79"/>
      <c r="JGV37" s="79"/>
      <c r="JGW37" s="79"/>
      <c r="JGX37" s="79"/>
      <c r="JGY37" s="79"/>
      <c r="JGZ37" s="79"/>
      <c r="JHA37" s="79"/>
      <c r="JHB37" s="79"/>
      <c r="JHC37" s="79"/>
      <c r="JHD37" s="79"/>
      <c r="JHE37" s="79"/>
      <c r="JHF37" s="79"/>
      <c r="JHG37" s="79"/>
      <c r="JHH37" s="79"/>
      <c r="JHI37" s="79"/>
      <c r="JHJ37" s="79"/>
      <c r="JHK37" s="79"/>
      <c r="JHL37" s="79"/>
      <c r="JHM37" s="79"/>
      <c r="JHN37" s="79"/>
      <c r="JHO37" s="79"/>
      <c r="JHP37" s="79"/>
      <c r="JHQ37" s="79"/>
      <c r="JHR37" s="79"/>
      <c r="JHS37" s="79"/>
      <c r="JHT37" s="79"/>
      <c r="JHU37" s="79"/>
      <c r="JHV37" s="79"/>
      <c r="JHW37" s="79"/>
      <c r="JHX37" s="79"/>
      <c r="JHY37" s="79"/>
      <c r="JHZ37" s="79"/>
      <c r="JIA37" s="79"/>
      <c r="JIB37" s="79"/>
      <c r="JIC37" s="79"/>
      <c r="JID37" s="79"/>
      <c r="JIE37" s="79"/>
      <c r="JIF37" s="79"/>
      <c r="JIG37" s="79"/>
      <c r="JIH37" s="79"/>
      <c r="JII37" s="79"/>
      <c r="JIJ37" s="79"/>
      <c r="JIK37" s="79"/>
      <c r="JIL37" s="79"/>
      <c r="JIM37" s="79"/>
      <c r="JIN37" s="79"/>
      <c r="JIO37" s="79"/>
      <c r="JIP37" s="79"/>
      <c r="JIQ37" s="79"/>
      <c r="JIR37" s="79"/>
      <c r="JIS37" s="79"/>
      <c r="JIT37" s="79"/>
      <c r="JIU37" s="79"/>
      <c r="JIV37" s="79"/>
      <c r="JIW37" s="79"/>
      <c r="JIX37" s="79"/>
      <c r="JIY37" s="79"/>
      <c r="JIZ37" s="79"/>
      <c r="JJA37" s="79"/>
      <c r="JJB37" s="79"/>
      <c r="JJC37" s="79"/>
      <c r="JJD37" s="79"/>
      <c r="JJE37" s="79"/>
      <c r="JJF37" s="79"/>
      <c r="JJG37" s="79"/>
      <c r="JJH37" s="79"/>
      <c r="JJI37" s="79"/>
      <c r="JJJ37" s="79"/>
      <c r="JJK37" s="79"/>
      <c r="JJL37" s="79"/>
      <c r="JJM37" s="79"/>
      <c r="JJN37" s="79"/>
      <c r="JJO37" s="79"/>
      <c r="JJP37" s="79"/>
      <c r="JJQ37" s="79"/>
      <c r="JJR37" s="79"/>
      <c r="JJS37" s="79"/>
      <c r="JJT37" s="79"/>
      <c r="JJU37" s="79"/>
      <c r="JJV37" s="79"/>
      <c r="JJW37" s="79"/>
      <c r="JJX37" s="79"/>
      <c r="JJY37" s="79"/>
      <c r="JJZ37" s="79"/>
      <c r="JKA37" s="79"/>
      <c r="JKB37" s="79"/>
      <c r="JKC37" s="79"/>
      <c r="JKD37" s="79"/>
      <c r="JKE37" s="79"/>
      <c r="JKF37" s="79"/>
      <c r="JKG37" s="79"/>
      <c r="JKH37" s="79"/>
      <c r="JKI37" s="79"/>
      <c r="JKJ37" s="79"/>
      <c r="JKK37" s="79"/>
      <c r="JKL37" s="79"/>
      <c r="JKM37" s="79"/>
      <c r="JKN37" s="79"/>
      <c r="JKO37" s="79"/>
      <c r="JKP37" s="79"/>
      <c r="JKQ37" s="79"/>
      <c r="JKR37" s="79"/>
      <c r="JKS37" s="79"/>
      <c r="JKT37" s="79"/>
      <c r="JKU37" s="79"/>
      <c r="JKV37" s="79"/>
      <c r="JKW37" s="79"/>
      <c r="JKX37" s="79"/>
      <c r="JKY37" s="79"/>
      <c r="JKZ37" s="79"/>
      <c r="JLA37" s="79"/>
      <c r="JLB37" s="79"/>
      <c r="JLC37" s="79"/>
      <c r="JLD37" s="79"/>
      <c r="JLE37" s="79"/>
      <c r="JLF37" s="79"/>
      <c r="JLG37" s="79"/>
      <c r="JLH37" s="79"/>
      <c r="JLI37" s="79"/>
      <c r="JLJ37" s="79"/>
      <c r="JLK37" s="79"/>
      <c r="JLL37" s="79"/>
      <c r="JLM37" s="79"/>
      <c r="JLN37" s="79"/>
      <c r="JLO37" s="79"/>
      <c r="JLP37" s="79"/>
      <c r="JLQ37" s="79"/>
      <c r="JLR37" s="79"/>
      <c r="JLS37" s="79"/>
      <c r="JLT37" s="79"/>
      <c r="JLU37" s="79"/>
      <c r="JLV37" s="79"/>
      <c r="JLW37" s="79"/>
      <c r="JLX37" s="79"/>
      <c r="JLY37" s="79"/>
      <c r="JLZ37" s="79"/>
      <c r="JMA37" s="79"/>
      <c r="JMB37" s="79"/>
      <c r="JMC37" s="79"/>
      <c r="JMD37" s="79"/>
      <c r="JME37" s="79"/>
      <c r="JMF37" s="79"/>
      <c r="JMG37" s="79"/>
      <c r="JMH37" s="79"/>
      <c r="JMI37" s="79"/>
      <c r="JMJ37" s="79"/>
      <c r="JMK37" s="79"/>
      <c r="JML37" s="79"/>
      <c r="JMM37" s="79"/>
      <c r="JMN37" s="79"/>
      <c r="JMO37" s="79"/>
      <c r="JMP37" s="79"/>
      <c r="JMQ37" s="79"/>
      <c r="JMR37" s="79"/>
      <c r="JMS37" s="79"/>
      <c r="JMT37" s="79"/>
      <c r="JMU37" s="79"/>
      <c r="JMV37" s="79"/>
      <c r="JMW37" s="79"/>
      <c r="JMX37" s="79"/>
      <c r="JMY37" s="79"/>
      <c r="JMZ37" s="79"/>
      <c r="JNA37" s="79"/>
      <c r="JNB37" s="79"/>
      <c r="JNC37" s="79"/>
      <c r="JND37" s="79"/>
      <c r="JNE37" s="79"/>
      <c r="JNF37" s="79"/>
      <c r="JNG37" s="79"/>
      <c r="JNH37" s="79"/>
      <c r="JNI37" s="79"/>
      <c r="JNJ37" s="79"/>
      <c r="JNK37" s="79"/>
      <c r="JNL37" s="79"/>
      <c r="JNM37" s="79"/>
      <c r="JNN37" s="79"/>
      <c r="JNO37" s="79"/>
      <c r="JNP37" s="79"/>
      <c r="JNQ37" s="79"/>
      <c r="JNR37" s="79"/>
      <c r="JNS37" s="79"/>
      <c r="JNT37" s="79"/>
      <c r="JNU37" s="79"/>
      <c r="JNV37" s="79"/>
      <c r="JNW37" s="79"/>
      <c r="JNX37" s="79"/>
      <c r="JNY37" s="79"/>
      <c r="JNZ37" s="79"/>
      <c r="JOA37" s="79"/>
      <c r="JOB37" s="79"/>
      <c r="JOC37" s="79"/>
      <c r="JOD37" s="79"/>
      <c r="JOE37" s="79"/>
      <c r="JOF37" s="79"/>
      <c r="JOG37" s="79"/>
      <c r="JOH37" s="79"/>
      <c r="JOI37" s="79"/>
      <c r="JOJ37" s="79"/>
      <c r="JOK37" s="79"/>
      <c r="JOL37" s="79"/>
      <c r="JOM37" s="79"/>
      <c r="JON37" s="79"/>
      <c r="JOO37" s="79"/>
      <c r="JOP37" s="79"/>
      <c r="JOQ37" s="79"/>
      <c r="JOR37" s="79"/>
      <c r="JOS37" s="79"/>
      <c r="JOT37" s="79"/>
      <c r="JOU37" s="79"/>
      <c r="JOV37" s="79"/>
      <c r="JOW37" s="79"/>
      <c r="JOX37" s="79"/>
      <c r="JOY37" s="79"/>
      <c r="JOZ37" s="79"/>
      <c r="JPA37" s="79"/>
      <c r="JPB37" s="79"/>
      <c r="JPC37" s="79"/>
      <c r="JPD37" s="79"/>
      <c r="JPE37" s="79"/>
      <c r="JPF37" s="79"/>
      <c r="JPG37" s="79"/>
      <c r="JPH37" s="79"/>
      <c r="JPI37" s="79"/>
      <c r="JPJ37" s="79"/>
      <c r="JPK37" s="79"/>
      <c r="JPL37" s="79"/>
      <c r="JPM37" s="79"/>
      <c r="JPN37" s="79"/>
      <c r="JPO37" s="79"/>
      <c r="JPP37" s="79"/>
      <c r="JPQ37" s="79"/>
      <c r="JPR37" s="79"/>
      <c r="JPS37" s="79"/>
      <c r="JPT37" s="79"/>
      <c r="JPU37" s="79"/>
      <c r="JPV37" s="79"/>
      <c r="JPW37" s="79"/>
      <c r="JPX37" s="79"/>
      <c r="JPY37" s="79"/>
      <c r="JPZ37" s="79"/>
      <c r="JQA37" s="79"/>
      <c r="JQB37" s="79"/>
      <c r="JQC37" s="79"/>
      <c r="JQD37" s="79"/>
      <c r="JQE37" s="79"/>
      <c r="JQF37" s="79"/>
      <c r="JQG37" s="79"/>
      <c r="JQH37" s="79"/>
      <c r="JQI37" s="79"/>
      <c r="JQJ37" s="79"/>
      <c r="JQK37" s="79"/>
      <c r="JQL37" s="79"/>
      <c r="JQM37" s="79"/>
      <c r="JQN37" s="79"/>
      <c r="JQO37" s="79"/>
      <c r="JQP37" s="79"/>
      <c r="JQQ37" s="79"/>
      <c r="JQR37" s="79"/>
      <c r="JQS37" s="79"/>
      <c r="JQT37" s="79"/>
      <c r="JQU37" s="79"/>
      <c r="JQV37" s="79"/>
      <c r="JQW37" s="79"/>
      <c r="JQX37" s="79"/>
      <c r="JQY37" s="79"/>
      <c r="JQZ37" s="79"/>
      <c r="JRA37" s="79"/>
      <c r="JRB37" s="79"/>
      <c r="JRC37" s="79"/>
      <c r="JRD37" s="79"/>
      <c r="JRE37" s="79"/>
      <c r="JRF37" s="79"/>
      <c r="JRG37" s="79"/>
      <c r="JRH37" s="79"/>
      <c r="JRI37" s="79"/>
      <c r="JRJ37" s="79"/>
      <c r="JRK37" s="79"/>
      <c r="JRL37" s="79"/>
      <c r="JRM37" s="79"/>
      <c r="JRN37" s="79"/>
      <c r="JRO37" s="79"/>
      <c r="JRP37" s="79"/>
      <c r="JRQ37" s="79"/>
      <c r="JRR37" s="79"/>
      <c r="JRS37" s="79"/>
      <c r="JRT37" s="79"/>
      <c r="JRU37" s="79"/>
      <c r="JRV37" s="79"/>
      <c r="JRW37" s="79"/>
      <c r="JRX37" s="79"/>
      <c r="JRY37" s="79"/>
      <c r="JRZ37" s="79"/>
      <c r="JSA37" s="79"/>
      <c r="JSB37" s="79"/>
      <c r="JSC37" s="79"/>
      <c r="JSD37" s="79"/>
      <c r="JSE37" s="79"/>
      <c r="JSF37" s="79"/>
      <c r="JSG37" s="79"/>
      <c r="JSH37" s="79"/>
      <c r="JSI37" s="79"/>
      <c r="JSJ37" s="79"/>
      <c r="JSK37" s="79"/>
      <c r="JSL37" s="79"/>
      <c r="JSM37" s="79"/>
      <c r="JSN37" s="79"/>
      <c r="JSO37" s="79"/>
      <c r="JSP37" s="79"/>
      <c r="JSQ37" s="79"/>
      <c r="JSR37" s="79"/>
      <c r="JSS37" s="79"/>
      <c r="JST37" s="79"/>
      <c r="JSU37" s="79"/>
      <c r="JSV37" s="79"/>
      <c r="JSW37" s="79"/>
      <c r="JSX37" s="79"/>
      <c r="JSY37" s="79"/>
      <c r="JSZ37" s="79"/>
      <c r="JTA37" s="79"/>
      <c r="JTB37" s="79"/>
      <c r="JTC37" s="79"/>
      <c r="JTD37" s="79"/>
      <c r="JTE37" s="79"/>
      <c r="JTF37" s="79"/>
      <c r="JTG37" s="79"/>
      <c r="JTH37" s="79"/>
      <c r="JTI37" s="79"/>
      <c r="JTJ37" s="79"/>
      <c r="JTK37" s="79"/>
      <c r="JTL37" s="79"/>
      <c r="JTM37" s="79"/>
      <c r="JTN37" s="79"/>
      <c r="JTO37" s="79"/>
      <c r="JTP37" s="79"/>
      <c r="JTQ37" s="79"/>
      <c r="JTR37" s="79"/>
      <c r="JTS37" s="79"/>
      <c r="JTT37" s="79"/>
      <c r="JTU37" s="79"/>
      <c r="JTV37" s="79"/>
      <c r="JTW37" s="79"/>
      <c r="JTX37" s="79"/>
      <c r="JTY37" s="79"/>
      <c r="JTZ37" s="79"/>
      <c r="JUA37" s="79"/>
      <c r="JUB37" s="79"/>
      <c r="JUC37" s="79"/>
      <c r="JUD37" s="79"/>
      <c r="JUE37" s="79"/>
      <c r="JUF37" s="79"/>
      <c r="JUG37" s="79"/>
      <c r="JUH37" s="79"/>
      <c r="JUI37" s="79"/>
      <c r="JUJ37" s="79"/>
      <c r="JUK37" s="79"/>
      <c r="JUL37" s="79"/>
      <c r="JUM37" s="79"/>
      <c r="JUN37" s="79"/>
      <c r="JUO37" s="79"/>
      <c r="JUP37" s="79"/>
      <c r="JUQ37" s="79"/>
      <c r="JUR37" s="79"/>
      <c r="JUS37" s="79"/>
      <c r="JUT37" s="79"/>
      <c r="JUU37" s="79"/>
      <c r="JUV37" s="79"/>
      <c r="JUW37" s="79"/>
      <c r="JUX37" s="79"/>
      <c r="JUY37" s="79"/>
      <c r="JUZ37" s="79"/>
      <c r="JVA37" s="79"/>
      <c r="JVB37" s="79"/>
      <c r="JVC37" s="79"/>
      <c r="JVD37" s="79"/>
      <c r="JVE37" s="79"/>
      <c r="JVF37" s="79"/>
      <c r="JVG37" s="79"/>
      <c r="JVH37" s="79"/>
      <c r="JVI37" s="79"/>
      <c r="JVJ37" s="79"/>
      <c r="JVK37" s="79"/>
      <c r="JVL37" s="79"/>
      <c r="JVM37" s="79"/>
      <c r="JVN37" s="79"/>
      <c r="JVO37" s="79"/>
      <c r="JVP37" s="79"/>
      <c r="JVQ37" s="79"/>
      <c r="JVR37" s="79"/>
      <c r="JVS37" s="79"/>
      <c r="JVT37" s="79"/>
      <c r="JVU37" s="79"/>
      <c r="JVV37" s="79"/>
      <c r="JVW37" s="79"/>
      <c r="JVX37" s="79"/>
      <c r="JVY37" s="79"/>
      <c r="JVZ37" s="79"/>
      <c r="JWA37" s="79"/>
      <c r="JWB37" s="79"/>
      <c r="JWC37" s="79"/>
      <c r="JWD37" s="79"/>
      <c r="JWE37" s="79"/>
      <c r="JWF37" s="79"/>
      <c r="JWG37" s="79"/>
      <c r="JWH37" s="79"/>
      <c r="JWI37" s="79"/>
      <c r="JWJ37" s="79"/>
      <c r="JWK37" s="79"/>
      <c r="JWL37" s="79"/>
      <c r="JWM37" s="79"/>
      <c r="JWN37" s="79"/>
      <c r="JWO37" s="79"/>
      <c r="JWP37" s="79"/>
      <c r="JWQ37" s="79"/>
      <c r="JWR37" s="79"/>
      <c r="JWS37" s="79"/>
      <c r="JWT37" s="79"/>
      <c r="JWU37" s="79"/>
      <c r="JWV37" s="79"/>
      <c r="JWW37" s="79"/>
      <c r="JWX37" s="79"/>
      <c r="JWY37" s="79"/>
      <c r="JWZ37" s="79"/>
      <c r="JXA37" s="79"/>
      <c r="JXB37" s="79"/>
      <c r="JXC37" s="79"/>
      <c r="JXD37" s="79"/>
      <c r="JXE37" s="79"/>
      <c r="JXF37" s="79"/>
      <c r="JXG37" s="79"/>
      <c r="JXH37" s="79"/>
      <c r="JXI37" s="79"/>
      <c r="JXJ37" s="79"/>
      <c r="JXK37" s="79"/>
      <c r="JXL37" s="79"/>
      <c r="JXM37" s="79"/>
      <c r="JXN37" s="79"/>
      <c r="JXO37" s="79"/>
      <c r="JXP37" s="79"/>
      <c r="JXQ37" s="79"/>
      <c r="JXR37" s="79"/>
      <c r="JXS37" s="79"/>
      <c r="JXT37" s="79"/>
      <c r="JXU37" s="79"/>
      <c r="JXV37" s="79"/>
      <c r="JXW37" s="79"/>
      <c r="JXX37" s="79"/>
      <c r="JXY37" s="79"/>
      <c r="JXZ37" s="79"/>
      <c r="JYA37" s="79"/>
      <c r="JYB37" s="79"/>
      <c r="JYC37" s="79"/>
      <c r="JYD37" s="79"/>
      <c r="JYE37" s="79"/>
      <c r="JYF37" s="79"/>
      <c r="JYG37" s="79"/>
      <c r="JYH37" s="79"/>
      <c r="JYI37" s="79"/>
      <c r="JYJ37" s="79"/>
      <c r="JYK37" s="79"/>
      <c r="JYL37" s="79"/>
      <c r="JYM37" s="79"/>
      <c r="JYN37" s="79"/>
      <c r="JYO37" s="79"/>
      <c r="JYP37" s="79"/>
      <c r="JYQ37" s="79"/>
      <c r="JYR37" s="79"/>
      <c r="JYS37" s="79"/>
      <c r="JYT37" s="79"/>
      <c r="JYU37" s="79"/>
      <c r="JYV37" s="79"/>
      <c r="JYW37" s="79"/>
      <c r="JYX37" s="79"/>
      <c r="JYY37" s="79"/>
      <c r="JYZ37" s="79"/>
      <c r="JZA37" s="79"/>
      <c r="JZB37" s="79"/>
      <c r="JZC37" s="79"/>
      <c r="JZD37" s="79"/>
      <c r="JZE37" s="79"/>
      <c r="JZF37" s="79"/>
      <c r="JZG37" s="79"/>
      <c r="JZH37" s="79"/>
      <c r="JZI37" s="79"/>
      <c r="JZJ37" s="79"/>
      <c r="JZK37" s="79"/>
      <c r="JZL37" s="79"/>
      <c r="JZM37" s="79"/>
      <c r="JZN37" s="79"/>
      <c r="JZO37" s="79"/>
      <c r="JZP37" s="79"/>
      <c r="JZQ37" s="79"/>
      <c r="JZR37" s="79"/>
      <c r="JZS37" s="79"/>
      <c r="JZT37" s="79"/>
      <c r="JZU37" s="79"/>
      <c r="JZV37" s="79"/>
      <c r="JZW37" s="79"/>
      <c r="JZX37" s="79"/>
      <c r="JZY37" s="79"/>
      <c r="JZZ37" s="79"/>
      <c r="KAA37" s="79"/>
      <c r="KAB37" s="79"/>
      <c r="KAC37" s="79"/>
      <c r="KAD37" s="79"/>
      <c r="KAE37" s="79"/>
      <c r="KAF37" s="79"/>
      <c r="KAG37" s="79"/>
      <c r="KAH37" s="79"/>
      <c r="KAI37" s="79"/>
      <c r="KAJ37" s="79"/>
      <c r="KAK37" s="79"/>
      <c r="KAL37" s="79"/>
      <c r="KAM37" s="79"/>
      <c r="KAN37" s="79"/>
      <c r="KAO37" s="79"/>
      <c r="KAP37" s="79"/>
      <c r="KAQ37" s="79"/>
      <c r="KAR37" s="79"/>
      <c r="KAS37" s="79"/>
      <c r="KAT37" s="79"/>
      <c r="KAU37" s="79"/>
      <c r="KAV37" s="79"/>
      <c r="KAW37" s="79"/>
      <c r="KAX37" s="79"/>
      <c r="KAY37" s="79"/>
      <c r="KAZ37" s="79"/>
      <c r="KBA37" s="79"/>
      <c r="KBB37" s="79"/>
      <c r="KBC37" s="79"/>
      <c r="KBD37" s="79"/>
      <c r="KBE37" s="79"/>
      <c r="KBF37" s="79"/>
      <c r="KBG37" s="79"/>
      <c r="KBH37" s="79"/>
      <c r="KBI37" s="79"/>
      <c r="KBJ37" s="79"/>
      <c r="KBK37" s="79"/>
      <c r="KBL37" s="79"/>
      <c r="KBM37" s="79"/>
      <c r="KBN37" s="79"/>
      <c r="KBO37" s="79"/>
      <c r="KBP37" s="79"/>
      <c r="KBQ37" s="79"/>
      <c r="KBR37" s="79"/>
      <c r="KBS37" s="79"/>
      <c r="KBT37" s="79"/>
      <c r="KBU37" s="79"/>
      <c r="KBV37" s="79"/>
      <c r="KBW37" s="79"/>
      <c r="KBX37" s="79"/>
      <c r="KBY37" s="79"/>
      <c r="KBZ37" s="79"/>
      <c r="KCA37" s="79"/>
      <c r="KCB37" s="79"/>
      <c r="KCC37" s="79"/>
      <c r="KCD37" s="79"/>
      <c r="KCE37" s="79"/>
      <c r="KCF37" s="79"/>
      <c r="KCG37" s="79"/>
      <c r="KCH37" s="79"/>
      <c r="KCI37" s="79"/>
      <c r="KCJ37" s="79"/>
      <c r="KCK37" s="79"/>
      <c r="KCL37" s="79"/>
      <c r="KCM37" s="79"/>
      <c r="KCN37" s="79"/>
      <c r="KCO37" s="79"/>
      <c r="KCP37" s="79"/>
      <c r="KCQ37" s="79"/>
      <c r="KCR37" s="79"/>
      <c r="KCS37" s="79"/>
      <c r="KCT37" s="79"/>
      <c r="KCU37" s="79"/>
      <c r="KCV37" s="79"/>
      <c r="KCW37" s="79"/>
      <c r="KCX37" s="79"/>
      <c r="KCY37" s="79"/>
      <c r="KCZ37" s="79"/>
      <c r="KDA37" s="79"/>
      <c r="KDB37" s="79"/>
      <c r="KDC37" s="79"/>
      <c r="KDD37" s="79"/>
      <c r="KDE37" s="79"/>
      <c r="KDF37" s="79"/>
      <c r="KDG37" s="79"/>
      <c r="KDH37" s="79"/>
      <c r="KDI37" s="79"/>
      <c r="KDJ37" s="79"/>
      <c r="KDK37" s="79"/>
      <c r="KDL37" s="79"/>
      <c r="KDM37" s="79"/>
      <c r="KDN37" s="79"/>
      <c r="KDO37" s="79"/>
      <c r="KDP37" s="79"/>
      <c r="KDQ37" s="79"/>
      <c r="KDR37" s="79"/>
      <c r="KDS37" s="79"/>
      <c r="KDT37" s="79"/>
      <c r="KDU37" s="79"/>
      <c r="KDV37" s="79"/>
      <c r="KDW37" s="79"/>
      <c r="KDX37" s="79"/>
      <c r="KDY37" s="79"/>
      <c r="KDZ37" s="79"/>
      <c r="KEA37" s="79"/>
      <c r="KEB37" s="79"/>
      <c r="KEC37" s="79"/>
      <c r="KED37" s="79"/>
      <c r="KEE37" s="79"/>
      <c r="KEF37" s="79"/>
      <c r="KEG37" s="79"/>
      <c r="KEH37" s="79"/>
      <c r="KEI37" s="79"/>
      <c r="KEJ37" s="79"/>
      <c r="KEK37" s="79"/>
      <c r="KEL37" s="79"/>
      <c r="KEM37" s="79"/>
      <c r="KEN37" s="79"/>
      <c r="KEO37" s="79"/>
      <c r="KEP37" s="79"/>
      <c r="KEQ37" s="79"/>
      <c r="KER37" s="79"/>
      <c r="KES37" s="79"/>
      <c r="KET37" s="79"/>
      <c r="KEU37" s="79"/>
      <c r="KEV37" s="79"/>
      <c r="KEW37" s="79"/>
      <c r="KEX37" s="79"/>
      <c r="KEY37" s="79"/>
      <c r="KEZ37" s="79"/>
      <c r="KFA37" s="79"/>
      <c r="KFB37" s="79"/>
      <c r="KFC37" s="79"/>
      <c r="KFD37" s="79"/>
      <c r="KFE37" s="79"/>
      <c r="KFF37" s="79"/>
      <c r="KFG37" s="79"/>
      <c r="KFH37" s="79"/>
      <c r="KFI37" s="79"/>
      <c r="KFJ37" s="79"/>
      <c r="KFK37" s="79"/>
      <c r="KFL37" s="79"/>
      <c r="KFM37" s="79"/>
      <c r="KFN37" s="79"/>
      <c r="KFO37" s="79"/>
      <c r="KFP37" s="79"/>
      <c r="KFQ37" s="79"/>
      <c r="KFR37" s="79"/>
      <c r="KFS37" s="79"/>
      <c r="KFT37" s="79"/>
      <c r="KFU37" s="79"/>
      <c r="KFV37" s="79"/>
      <c r="KFW37" s="79"/>
      <c r="KFX37" s="79"/>
      <c r="KFY37" s="79"/>
      <c r="KFZ37" s="79"/>
      <c r="KGA37" s="79"/>
      <c r="KGB37" s="79"/>
      <c r="KGC37" s="79"/>
      <c r="KGD37" s="79"/>
      <c r="KGE37" s="79"/>
      <c r="KGF37" s="79"/>
      <c r="KGG37" s="79"/>
      <c r="KGH37" s="79"/>
      <c r="KGI37" s="79"/>
      <c r="KGJ37" s="79"/>
      <c r="KGK37" s="79"/>
      <c r="KGL37" s="79"/>
      <c r="KGM37" s="79"/>
      <c r="KGN37" s="79"/>
      <c r="KGO37" s="79"/>
      <c r="KGP37" s="79"/>
      <c r="KGQ37" s="79"/>
      <c r="KGR37" s="79"/>
      <c r="KGS37" s="79"/>
      <c r="KGT37" s="79"/>
      <c r="KGU37" s="79"/>
      <c r="KGV37" s="79"/>
      <c r="KGW37" s="79"/>
      <c r="KGX37" s="79"/>
      <c r="KGY37" s="79"/>
      <c r="KGZ37" s="79"/>
      <c r="KHA37" s="79"/>
      <c r="KHB37" s="79"/>
      <c r="KHC37" s="79"/>
      <c r="KHD37" s="79"/>
      <c r="KHE37" s="79"/>
      <c r="KHF37" s="79"/>
      <c r="KHG37" s="79"/>
      <c r="KHH37" s="79"/>
      <c r="KHI37" s="79"/>
      <c r="KHJ37" s="79"/>
      <c r="KHK37" s="79"/>
      <c r="KHL37" s="79"/>
      <c r="KHM37" s="79"/>
      <c r="KHN37" s="79"/>
      <c r="KHO37" s="79"/>
      <c r="KHP37" s="79"/>
      <c r="KHQ37" s="79"/>
      <c r="KHR37" s="79"/>
      <c r="KHS37" s="79"/>
      <c r="KHT37" s="79"/>
      <c r="KHU37" s="79"/>
      <c r="KHV37" s="79"/>
      <c r="KHW37" s="79"/>
      <c r="KHX37" s="79"/>
      <c r="KHY37" s="79"/>
      <c r="KHZ37" s="79"/>
      <c r="KIA37" s="79"/>
      <c r="KIB37" s="79"/>
      <c r="KIC37" s="79"/>
      <c r="KID37" s="79"/>
      <c r="KIE37" s="79"/>
      <c r="KIF37" s="79"/>
      <c r="KIG37" s="79"/>
      <c r="KIH37" s="79"/>
      <c r="KII37" s="79"/>
      <c r="KIJ37" s="79"/>
      <c r="KIK37" s="79"/>
      <c r="KIL37" s="79"/>
      <c r="KIM37" s="79"/>
      <c r="KIN37" s="79"/>
      <c r="KIO37" s="79"/>
      <c r="KIP37" s="79"/>
      <c r="KIQ37" s="79"/>
      <c r="KIR37" s="79"/>
      <c r="KIS37" s="79"/>
      <c r="KIT37" s="79"/>
      <c r="KIU37" s="79"/>
      <c r="KIV37" s="79"/>
      <c r="KIW37" s="79"/>
      <c r="KIX37" s="79"/>
      <c r="KIY37" s="79"/>
      <c r="KIZ37" s="79"/>
      <c r="KJA37" s="79"/>
      <c r="KJB37" s="79"/>
      <c r="KJC37" s="79"/>
      <c r="KJD37" s="79"/>
      <c r="KJE37" s="79"/>
      <c r="KJF37" s="79"/>
      <c r="KJG37" s="79"/>
      <c r="KJH37" s="79"/>
      <c r="KJI37" s="79"/>
      <c r="KJJ37" s="79"/>
      <c r="KJK37" s="79"/>
      <c r="KJL37" s="79"/>
      <c r="KJM37" s="79"/>
      <c r="KJN37" s="79"/>
      <c r="KJO37" s="79"/>
      <c r="KJP37" s="79"/>
      <c r="KJQ37" s="79"/>
      <c r="KJR37" s="79"/>
      <c r="KJS37" s="79"/>
      <c r="KJT37" s="79"/>
      <c r="KJU37" s="79"/>
      <c r="KJV37" s="79"/>
      <c r="KJW37" s="79"/>
      <c r="KJX37" s="79"/>
      <c r="KJY37" s="79"/>
      <c r="KJZ37" s="79"/>
      <c r="KKA37" s="79"/>
      <c r="KKB37" s="79"/>
      <c r="KKC37" s="79"/>
      <c r="KKD37" s="79"/>
      <c r="KKE37" s="79"/>
      <c r="KKF37" s="79"/>
      <c r="KKG37" s="79"/>
      <c r="KKH37" s="79"/>
      <c r="KKI37" s="79"/>
      <c r="KKJ37" s="79"/>
      <c r="KKK37" s="79"/>
      <c r="KKL37" s="79"/>
      <c r="KKM37" s="79"/>
      <c r="KKN37" s="79"/>
      <c r="KKO37" s="79"/>
      <c r="KKP37" s="79"/>
      <c r="KKQ37" s="79"/>
      <c r="KKR37" s="79"/>
      <c r="KKS37" s="79"/>
      <c r="KKT37" s="79"/>
      <c r="KKU37" s="79"/>
      <c r="KKV37" s="79"/>
      <c r="KKW37" s="79"/>
      <c r="KKX37" s="79"/>
      <c r="KKY37" s="79"/>
      <c r="KKZ37" s="79"/>
      <c r="KLA37" s="79"/>
      <c r="KLB37" s="79"/>
      <c r="KLC37" s="79"/>
      <c r="KLD37" s="79"/>
      <c r="KLE37" s="79"/>
      <c r="KLF37" s="79"/>
      <c r="KLG37" s="79"/>
      <c r="KLH37" s="79"/>
      <c r="KLI37" s="79"/>
      <c r="KLJ37" s="79"/>
      <c r="KLK37" s="79"/>
      <c r="KLL37" s="79"/>
      <c r="KLM37" s="79"/>
      <c r="KLN37" s="79"/>
      <c r="KLO37" s="79"/>
      <c r="KLP37" s="79"/>
      <c r="KLQ37" s="79"/>
      <c r="KLR37" s="79"/>
      <c r="KLS37" s="79"/>
      <c r="KLT37" s="79"/>
      <c r="KLU37" s="79"/>
      <c r="KLV37" s="79"/>
      <c r="KLW37" s="79"/>
      <c r="KLX37" s="79"/>
      <c r="KLY37" s="79"/>
      <c r="KLZ37" s="79"/>
      <c r="KMA37" s="79"/>
      <c r="KMB37" s="79"/>
      <c r="KMC37" s="79"/>
      <c r="KMD37" s="79"/>
      <c r="KME37" s="79"/>
      <c r="KMF37" s="79"/>
      <c r="KMG37" s="79"/>
      <c r="KMH37" s="79"/>
      <c r="KMI37" s="79"/>
      <c r="KMJ37" s="79"/>
      <c r="KMK37" s="79"/>
      <c r="KML37" s="79"/>
      <c r="KMM37" s="79"/>
      <c r="KMN37" s="79"/>
      <c r="KMO37" s="79"/>
      <c r="KMP37" s="79"/>
      <c r="KMQ37" s="79"/>
      <c r="KMR37" s="79"/>
      <c r="KMS37" s="79"/>
      <c r="KMT37" s="79"/>
      <c r="KMU37" s="79"/>
      <c r="KMV37" s="79"/>
      <c r="KMW37" s="79"/>
      <c r="KMX37" s="79"/>
      <c r="KMY37" s="79"/>
      <c r="KMZ37" s="79"/>
      <c r="KNA37" s="79"/>
      <c r="KNB37" s="79"/>
      <c r="KNC37" s="79"/>
      <c r="KND37" s="79"/>
      <c r="KNE37" s="79"/>
      <c r="KNF37" s="79"/>
      <c r="KNG37" s="79"/>
      <c r="KNH37" s="79"/>
      <c r="KNI37" s="79"/>
      <c r="KNJ37" s="79"/>
      <c r="KNK37" s="79"/>
      <c r="KNL37" s="79"/>
      <c r="KNM37" s="79"/>
      <c r="KNN37" s="79"/>
      <c r="KNO37" s="79"/>
      <c r="KNP37" s="79"/>
      <c r="KNQ37" s="79"/>
      <c r="KNR37" s="79"/>
      <c r="KNS37" s="79"/>
      <c r="KNT37" s="79"/>
      <c r="KNU37" s="79"/>
      <c r="KNV37" s="79"/>
      <c r="KNW37" s="79"/>
      <c r="KNX37" s="79"/>
      <c r="KNY37" s="79"/>
      <c r="KNZ37" s="79"/>
      <c r="KOA37" s="79"/>
      <c r="KOB37" s="79"/>
      <c r="KOC37" s="79"/>
      <c r="KOD37" s="79"/>
      <c r="KOE37" s="79"/>
      <c r="KOF37" s="79"/>
      <c r="KOG37" s="79"/>
      <c r="KOH37" s="79"/>
      <c r="KOI37" s="79"/>
      <c r="KOJ37" s="79"/>
      <c r="KOK37" s="79"/>
      <c r="KOL37" s="79"/>
      <c r="KOM37" s="79"/>
      <c r="KON37" s="79"/>
      <c r="KOO37" s="79"/>
      <c r="KOP37" s="79"/>
      <c r="KOQ37" s="79"/>
      <c r="KOR37" s="79"/>
      <c r="KOS37" s="79"/>
      <c r="KOT37" s="79"/>
      <c r="KOU37" s="79"/>
      <c r="KOV37" s="79"/>
      <c r="KOW37" s="79"/>
      <c r="KOX37" s="79"/>
      <c r="KOY37" s="79"/>
      <c r="KOZ37" s="79"/>
      <c r="KPA37" s="79"/>
      <c r="KPB37" s="79"/>
      <c r="KPC37" s="79"/>
      <c r="KPD37" s="79"/>
      <c r="KPE37" s="79"/>
      <c r="KPF37" s="79"/>
      <c r="KPG37" s="79"/>
      <c r="KPH37" s="79"/>
      <c r="KPI37" s="79"/>
      <c r="KPJ37" s="79"/>
      <c r="KPK37" s="79"/>
      <c r="KPL37" s="79"/>
      <c r="KPM37" s="79"/>
      <c r="KPN37" s="79"/>
      <c r="KPO37" s="79"/>
      <c r="KPP37" s="79"/>
      <c r="KPQ37" s="79"/>
      <c r="KPR37" s="79"/>
      <c r="KPS37" s="79"/>
      <c r="KPT37" s="79"/>
      <c r="KPU37" s="79"/>
      <c r="KPV37" s="79"/>
      <c r="KPW37" s="79"/>
      <c r="KPX37" s="79"/>
      <c r="KPY37" s="79"/>
      <c r="KPZ37" s="79"/>
      <c r="KQA37" s="79"/>
      <c r="KQB37" s="79"/>
      <c r="KQC37" s="79"/>
      <c r="KQD37" s="79"/>
      <c r="KQE37" s="79"/>
      <c r="KQF37" s="79"/>
      <c r="KQG37" s="79"/>
      <c r="KQH37" s="79"/>
      <c r="KQI37" s="79"/>
      <c r="KQJ37" s="79"/>
      <c r="KQK37" s="79"/>
      <c r="KQL37" s="79"/>
      <c r="KQM37" s="79"/>
      <c r="KQN37" s="79"/>
      <c r="KQO37" s="79"/>
      <c r="KQP37" s="79"/>
      <c r="KQQ37" s="79"/>
      <c r="KQR37" s="79"/>
      <c r="KQS37" s="79"/>
      <c r="KQT37" s="79"/>
      <c r="KQU37" s="79"/>
      <c r="KQV37" s="79"/>
      <c r="KQW37" s="79"/>
      <c r="KQX37" s="79"/>
      <c r="KQY37" s="79"/>
      <c r="KQZ37" s="79"/>
      <c r="KRA37" s="79"/>
      <c r="KRB37" s="79"/>
      <c r="KRC37" s="79"/>
      <c r="KRD37" s="79"/>
      <c r="KRE37" s="79"/>
      <c r="KRF37" s="79"/>
      <c r="KRG37" s="79"/>
      <c r="KRH37" s="79"/>
      <c r="KRI37" s="79"/>
      <c r="KRJ37" s="79"/>
      <c r="KRK37" s="79"/>
      <c r="KRL37" s="79"/>
      <c r="KRM37" s="79"/>
      <c r="KRN37" s="79"/>
      <c r="KRO37" s="79"/>
      <c r="KRP37" s="79"/>
      <c r="KRQ37" s="79"/>
      <c r="KRR37" s="79"/>
      <c r="KRS37" s="79"/>
      <c r="KRT37" s="79"/>
      <c r="KRU37" s="79"/>
      <c r="KRV37" s="79"/>
      <c r="KRW37" s="79"/>
      <c r="KRX37" s="79"/>
      <c r="KRY37" s="79"/>
      <c r="KRZ37" s="79"/>
      <c r="KSA37" s="79"/>
      <c r="KSB37" s="79"/>
      <c r="KSC37" s="79"/>
      <c r="KSD37" s="79"/>
      <c r="KSE37" s="79"/>
      <c r="KSF37" s="79"/>
      <c r="KSG37" s="79"/>
      <c r="KSH37" s="79"/>
      <c r="KSI37" s="79"/>
      <c r="KSJ37" s="79"/>
      <c r="KSK37" s="79"/>
      <c r="KSL37" s="79"/>
      <c r="KSM37" s="79"/>
      <c r="KSN37" s="79"/>
      <c r="KSO37" s="79"/>
      <c r="KSP37" s="79"/>
      <c r="KSQ37" s="79"/>
      <c r="KSR37" s="79"/>
      <c r="KSS37" s="79"/>
      <c r="KST37" s="79"/>
      <c r="KSU37" s="79"/>
      <c r="KSV37" s="79"/>
      <c r="KSW37" s="79"/>
      <c r="KSX37" s="79"/>
      <c r="KSY37" s="79"/>
      <c r="KSZ37" s="79"/>
      <c r="KTA37" s="79"/>
      <c r="KTB37" s="79"/>
      <c r="KTC37" s="79"/>
      <c r="KTD37" s="79"/>
      <c r="KTE37" s="79"/>
      <c r="KTF37" s="79"/>
      <c r="KTG37" s="79"/>
      <c r="KTH37" s="79"/>
      <c r="KTI37" s="79"/>
      <c r="KTJ37" s="79"/>
      <c r="KTK37" s="79"/>
      <c r="KTL37" s="79"/>
      <c r="KTM37" s="79"/>
      <c r="KTN37" s="79"/>
      <c r="KTO37" s="79"/>
      <c r="KTP37" s="79"/>
      <c r="KTQ37" s="79"/>
      <c r="KTR37" s="79"/>
      <c r="KTS37" s="79"/>
      <c r="KTT37" s="79"/>
      <c r="KTU37" s="79"/>
      <c r="KTV37" s="79"/>
      <c r="KTW37" s="79"/>
      <c r="KTX37" s="79"/>
      <c r="KTY37" s="79"/>
      <c r="KTZ37" s="79"/>
      <c r="KUA37" s="79"/>
      <c r="KUB37" s="79"/>
      <c r="KUC37" s="79"/>
      <c r="KUD37" s="79"/>
      <c r="KUE37" s="79"/>
      <c r="KUF37" s="79"/>
      <c r="KUG37" s="79"/>
      <c r="KUH37" s="79"/>
      <c r="KUI37" s="79"/>
      <c r="KUJ37" s="79"/>
      <c r="KUK37" s="79"/>
      <c r="KUL37" s="79"/>
      <c r="KUM37" s="79"/>
      <c r="KUN37" s="79"/>
      <c r="KUO37" s="79"/>
      <c r="KUP37" s="79"/>
      <c r="KUQ37" s="79"/>
      <c r="KUR37" s="79"/>
      <c r="KUS37" s="79"/>
      <c r="KUT37" s="79"/>
      <c r="KUU37" s="79"/>
      <c r="KUV37" s="79"/>
      <c r="KUW37" s="79"/>
      <c r="KUX37" s="79"/>
      <c r="KUY37" s="79"/>
      <c r="KUZ37" s="79"/>
      <c r="KVA37" s="79"/>
      <c r="KVB37" s="79"/>
      <c r="KVC37" s="79"/>
      <c r="KVD37" s="79"/>
      <c r="KVE37" s="79"/>
      <c r="KVF37" s="79"/>
      <c r="KVG37" s="79"/>
      <c r="KVH37" s="79"/>
      <c r="KVI37" s="79"/>
      <c r="KVJ37" s="79"/>
      <c r="KVK37" s="79"/>
      <c r="KVL37" s="79"/>
      <c r="KVM37" s="79"/>
      <c r="KVN37" s="79"/>
      <c r="KVO37" s="79"/>
      <c r="KVP37" s="79"/>
      <c r="KVQ37" s="79"/>
      <c r="KVR37" s="79"/>
      <c r="KVS37" s="79"/>
      <c r="KVT37" s="79"/>
      <c r="KVU37" s="79"/>
      <c r="KVV37" s="79"/>
      <c r="KVW37" s="79"/>
      <c r="KVX37" s="79"/>
      <c r="KVY37" s="79"/>
      <c r="KVZ37" s="79"/>
      <c r="KWA37" s="79"/>
      <c r="KWB37" s="79"/>
      <c r="KWC37" s="79"/>
      <c r="KWD37" s="79"/>
      <c r="KWE37" s="79"/>
      <c r="KWF37" s="79"/>
      <c r="KWG37" s="79"/>
      <c r="KWH37" s="79"/>
      <c r="KWI37" s="79"/>
      <c r="KWJ37" s="79"/>
      <c r="KWK37" s="79"/>
      <c r="KWL37" s="79"/>
      <c r="KWM37" s="79"/>
      <c r="KWN37" s="79"/>
      <c r="KWO37" s="79"/>
      <c r="KWP37" s="79"/>
      <c r="KWQ37" s="79"/>
      <c r="KWR37" s="79"/>
      <c r="KWS37" s="79"/>
      <c r="KWT37" s="79"/>
      <c r="KWU37" s="79"/>
      <c r="KWV37" s="79"/>
      <c r="KWW37" s="79"/>
      <c r="KWX37" s="79"/>
      <c r="KWY37" s="79"/>
      <c r="KWZ37" s="79"/>
      <c r="KXA37" s="79"/>
      <c r="KXB37" s="79"/>
      <c r="KXC37" s="79"/>
      <c r="KXD37" s="79"/>
      <c r="KXE37" s="79"/>
      <c r="KXF37" s="79"/>
      <c r="KXG37" s="79"/>
      <c r="KXH37" s="79"/>
      <c r="KXI37" s="79"/>
      <c r="KXJ37" s="79"/>
      <c r="KXK37" s="79"/>
      <c r="KXL37" s="79"/>
      <c r="KXM37" s="79"/>
      <c r="KXN37" s="79"/>
      <c r="KXO37" s="79"/>
      <c r="KXP37" s="79"/>
      <c r="KXQ37" s="79"/>
      <c r="KXR37" s="79"/>
      <c r="KXS37" s="79"/>
      <c r="KXT37" s="79"/>
      <c r="KXU37" s="79"/>
      <c r="KXV37" s="79"/>
      <c r="KXW37" s="79"/>
      <c r="KXX37" s="79"/>
      <c r="KXY37" s="79"/>
      <c r="KXZ37" s="79"/>
      <c r="KYA37" s="79"/>
      <c r="KYB37" s="79"/>
      <c r="KYC37" s="79"/>
      <c r="KYD37" s="79"/>
      <c r="KYE37" s="79"/>
      <c r="KYF37" s="79"/>
      <c r="KYG37" s="79"/>
      <c r="KYH37" s="79"/>
      <c r="KYI37" s="79"/>
      <c r="KYJ37" s="79"/>
      <c r="KYK37" s="79"/>
      <c r="KYL37" s="79"/>
      <c r="KYM37" s="79"/>
      <c r="KYN37" s="79"/>
      <c r="KYO37" s="79"/>
      <c r="KYP37" s="79"/>
      <c r="KYQ37" s="79"/>
      <c r="KYR37" s="79"/>
      <c r="KYS37" s="79"/>
      <c r="KYT37" s="79"/>
      <c r="KYU37" s="79"/>
      <c r="KYV37" s="79"/>
      <c r="KYW37" s="79"/>
      <c r="KYX37" s="79"/>
      <c r="KYY37" s="79"/>
      <c r="KYZ37" s="79"/>
      <c r="KZA37" s="79"/>
      <c r="KZB37" s="79"/>
      <c r="KZC37" s="79"/>
      <c r="KZD37" s="79"/>
      <c r="KZE37" s="79"/>
      <c r="KZF37" s="79"/>
      <c r="KZG37" s="79"/>
      <c r="KZH37" s="79"/>
      <c r="KZI37" s="79"/>
      <c r="KZJ37" s="79"/>
      <c r="KZK37" s="79"/>
      <c r="KZL37" s="79"/>
      <c r="KZM37" s="79"/>
      <c r="KZN37" s="79"/>
      <c r="KZO37" s="79"/>
      <c r="KZP37" s="79"/>
      <c r="KZQ37" s="79"/>
      <c r="KZR37" s="79"/>
      <c r="KZS37" s="79"/>
      <c r="KZT37" s="79"/>
      <c r="KZU37" s="79"/>
      <c r="KZV37" s="79"/>
      <c r="KZW37" s="79"/>
      <c r="KZX37" s="79"/>
      <c r="KZY37" s="79"/>
      <c r="KZZ37" s="79"/>
      <c r="LAA37" s="79"/>
      <c r="LAB37" s="79"/>
      <c r="LAC37" s="79"/>
      <c r="LAD37" s="79"/>
      <c r="LAE37" s="79"/>
      <c r="LAF37" s="79"/>
      <c r="LAG37" s="79"/>
      <c r="LAH37" s="79"/>
      <c r="LAI37" s="79"/>
      <c r="LAJ37" s="79"/>
      <c r="LAK37" s="79"/>
      <c r="LAL37" s="79"/>
      <c r="LAM37" s="79"/>
      <c r="LAN37" s="79"/>
      <c r="LAO37" s="79"/>
      <c r="LAP37" s="79"/>
      <c r="LAQ37" s="79"/>
      <c r="LAR37" s="79"/>
      <c r="LAS37" s="79"/>
      <c r="LAT37" s="79"/>
      <c r="LAU37" s="79"/>
      <c r="LAV37" s="79"/>
      <c r="LAW37" s="79"/>
      <c r="LAX37" s="79"/>
      <c r="LAY37" s="79"/>
      <c r="LAZ37" s="79"/>
      <c r="LBA37" s="79"/>
      <c r="LBB37" s="79"/>
      <c r="LBC37" s="79"/>
      <c r="LBD37" s="79"/>
      <c r="LBE37" s="79"/>
      <c r="LBF37" s="79"/>
      <c r="LBG37" s="79"/>
      <c r="LBH37" s="79"/>
      <c r="LBI37" s="79"/>
      <c r="LBJ37" s="79"/>
      <c r="LBK37" s="79"/>
      <c r="LBL37" s="79"/>
      <c r="LBM37" s="79"/>
      <c r="LBN37" s="79"/>
      <c r="LBO37" s="79"/>
      <c r="LBP37" s="79"/>
      <c r="LBQ37" s="79"/>
      <c r="LBR37" s="79"/>
      <c r="LBS37" s="79"/>
      <c r="LBT37" s="79"/>
      <c r="LBU37" s="79"/>
      <c r="LBV37" s="79"/>
      <c r="LBW37" s="79"/>
      <c r="LBX37" s="79"/>
      <c r="LBY37" s="79"/>
      <c r="LBZ37" s="79"/>
      <c r="LCA37" s="79"/>
      <c r="LCB37" s="79"/>
      <c r="LCC37" s="79"/>
      <c r="LCD37" s="79"/>
      <c r="LCE37" s="79"/>
      <c r="LCF37" s="79"/>
      <c r="LCG37" s="79"/>
      <c r="LCH37" s="79"/>
      <c r="LCI37" s="79"/>
      <c r="LCJ37" s="79"/>
      <c r="LCK37" s="79"/>
      <c r="LCL37" s="79"/>
      <c r="LCM37" s="79"/>
      <c r="LCN37" s="79"/>
      <c r="LCO37" s="79"/>
      <c r="LCP37" s="79"/>
      <c r="LCQ37" s="79"/>
      <c r="LCR37" s="79"/>
      <c r="LCS37" s="79"/>
      <c r="LCT37" s="79"/>
      <c r="LCU37" s="79"/>
      <c r="LCV37" s="79"/>
      <c r="LCW37" s="79"/>
      <c r="LCX37" s="79"/>
      <c r="LCY37" s="79"/>
      <c r="LCZ37" s="79"/>
      <c r="LDA37" s="79"/>
      <c r="LDB37" s="79"/>
      <c r="LDC37" s="79"/>
      <c r="LDD37" s="79"/>
      <c r="LDE37" s="79"/>
      <c r="LDF37" s="79"/>
      <c r="LDG37" s="79"/>
      <c r="LDH37" s="79"/>
      <c r="LDI37" s="79"/>
      <c r="LDJ37" s="79"/>
      <c r="LDK37" s="79"/>
      <c r="LDL37" s="79"/>
      <c r="LDM37" s="79"/>
      <c r="LDN37" s="79"/>
      <c r="LDO37" s="79"/>
      <c r="LDP37" s="79"/>
      <c r="LDQ37" s="79"/>
      <c r="LDR37" s="79"/>
      <c r="LDS37" s="79"/>
      <c r="LDT37" s="79"/>
      <c r="LDU37" s="79"/>
      <c r="LDV37" s="79"/>
      <c r="LDW37" s="79"/>
      <c r="LDX37" s="79"/>
      <c r="LDY37" s="79"/>
      <c r="LDZ37" s="79"/>
      <c r="LEA37" s="79"/>
      <c r="LEB37" s="79"/>
      <c r="LEC37" s="79"/>
      <c r="LED37" s="79"/>
      <c r="LEE37" s="79"/>
      <c r="LEF37" s="79"/>
      <c r="LEG37" s="79"/>
      <c r="LEH37" s="79"/>
      <c r="LEI37" s="79"/>
      <c r="LEJ37" s="79"/>
      <c r="LEK37" s="79"/>
      <c r="LEL37" s="79"/>
      <c r="LEM37" s="79"/>
      <c r="LEN37" s="79"/>
      <c r="LEO37" s="79"/>
      <c r="LEP37" s="79"/>
      <c r="LEQ37" s="79"/>
      <c r="LER37" s="79"/>
      <c r="LES37" s="79"/>
      <c r="LET37" s="79"/>
      <c r="LEU37" s="79"/>
      <c r="LEV37" s="79"/>
      <c r="LEW37" s="79"/>
      <c r="LEX37" s="79"/>
      <c r="LEY37" s="79"/>
      <c r="LEZ37" s="79"/>
      <c r="LFA37" s="79"/>
      <c r="LFB37" s="79"/>
      <c r="LFC37" s="79"/>
      <c r="LFD37" s="79"/>
      <c r="LFE37" s="79"/>
      <c r="LFF37" s="79"/>
      <c r="LFG37" s="79"/>
      <c r="LFH37" s="79"/>
      <c r="LFI37" s="79"/>
      <c r="LFJ37" s="79"/>
      <c r="LFK37" s="79"/>
      <c r="LFL37" s="79"/>
      <c r="LFM37" s="79"/>
      <c r="LFN37" s="79"/>
      <c r="LFO37" s="79"/>
      <c r="LFP37" s="79"/>
      <c r="LFQ37" s="79"/>
      <c r="LFR37" s="79"/>
      <c r="LFS37" s="79"/>
      <c r="LFT37" s="79"/>
      <c r="LFU37" s="79"/>
      <c r="LFV37" s="79"/>
      <c r="LFW37" s="79"/>
      <c r="LFX37" s="79"/>
      <c r="LFY37" s="79"/>
      <c r="LFZ37" s="79"/>
      <c r="LGA37" s="79"/>
      <c r="LGB37" s="79"/>
      <c r="LGC37" s="79"/>
      <c r="LGD37" s="79"/>
      <c r="LGE37" s="79"/>
      <c r="LGF37" s="79"/>
      <c r="LGG37" s="79"/>
      <c r="LGH37" s="79"/>
      <c r="LGI37" s="79"/>
      <c r="LGJ37" s="79"/>
      <c r="LGK37" s="79"/>
      <c r="LGL37" s="79"/>
      <c r="LGM37" s="79"/>
      <c r="LGN37" s="79"/>
      <c r="LGO37" s="79"/>
      <c r="LGP37" s="79"/>
      <c r="LGQ37" s="79"/>
      <c r="LGR37" s="79"/>
      <c r="LGS37" s="79"/>
      <c r="LGT37" s="79"/>
      <c r="LGU37" s="79"/>
      <c r="LGV37" s="79"/>
      <c r="LGW37" s="79"/>
      <c r="LGX37" s="79"/>
      <c r="LGY37" s="79"/>
      <c r="LGZ37" s="79"/>
      <c r="LHA37" s="79"/>
      <c r="LHB37" s="79"/>
      <c r="LHC37" s="79"/>
      <c r="LHD37" s="79"/>
      <c r="LHE37" s="79"/>
      <c r="LHF37" s="79"/>
      <c r="LHG37" s="79"/>
      <c r="LHH37" s="79"/>
      <c r="LHI37" s="79"/>
      <c r="LHJ37" s="79"/>
      <c r="LHK37" s="79"/>
      <c r="LHL37" s="79"/>
      <c r="LHM37" s="79"/>
      <c r="LHN37" s="79"/>
      <c r="LHO37" s="79"/>
      <c r="LHP37" s="79"/>
      <c r="LHQ37" s="79"/>
      <c r="LHR37" s="79"/>
      <c r="LHS37" s="79"/>
      <c r="LHT37" s="79"/>
      <c r="LHU37" s="79"/>
      <c r="LHV37" s="79"/>
      <c r="LHW37" s="79"/>
      <c r="LHX37" s="79"/>
      <c r="LHY37" s="79"/>
      <c r="LHZ37" s="79"/>
      <c r="LIA37" s="79"/>
      <c r="LIB37" s="79"/>
      <c r="LIC37" s="79"/>
      <c r="LID37" s="79"/>
      <c r="LIE37" s="79"/>
      <c r="LIF37" s="79"/>
      <c r="LIG37" s="79"/>
      <c r="LIH37" s="79"/>
      <c r="LII37" s="79"/>
      <c r="LIJ37" s="79"/>
      <c r="LIK37" s="79"/>
      <c r="LIL37" s="79"/>
      <c r="LIM37" s="79"/>
      <c r="LIN37" s="79"/>
      <c r="LIO37" s="79"/>
      <c r="LIP37" s="79"/>
      <c r="LIQ37" s="79"/>
      <c r="LIR37" s="79"/>
      <c r="LIS37" s="79"/>
      <c r="LIT37" s="79"/>
      <c r="LIU37" s="79"/>
      <c r="LIV37" s="79"/>
      <c r="LIW37" s="79"/>
      <c r="LIX37" s="79"/>
      <c r="LIY37" s="79"/>
      <c r="LIZ37" s="79"/>
      <c r="LJA37" s="79"/>
      <c r="LJB37" s="79"/>
      <c r="LJC37" s="79"/>
      <c r="LJD37" s="79"/>
      <c r="LJE37" s="79"/>
      <c r="LJF37" s="79"/>
      <c r="LJG37" s="79"/>
      <c r="LJH37" s="79"/>
      <c r="LJI37" s="79"/>
      <c r="LJJ37" s="79"/>
      <c r="LJK37" s="79"/>
      <c r="LJL37" s="79"/>
      <c r="LJM37" s="79"/>
      <c r="LJN37" s="79"/>
      <c r="LJO37" s="79"/>
      <c r="LJP37" s="79"/>
      <c r="LJQ37" s="79"/>
      <c r="LJR37" s="79"/>
      <c r="LJS37" s="79"/>
      <c r="LJT37" s="79"/>
      <c r="LJU37" s="79"/>
      <c r="LJV37" s="79"/>
      <c r="LJW37" s="79"/>
      <c r="LJX37" s="79"/>
      <c r="LJY37" s="79"/>
      <c r="LJZ37" s="79"/>
      <c r="LKA37" s="79"/>
      <c r="LKB37" s="79"/>
      <c r="LKC37" s="79"/>
      <c r="LKD37" s="79"/>
      <c r="LKE37" s="79"/>
      <c r="LKF37" s="79"/>
      <c r="LKG37" s="79"/>
      <c r="LKH37" s="79"/>
      <c r="LKI37" s="79"/>
      <c r="LKJ37" s="79"/>
      <c r="LKK37" s="79"/>
      <c r="LKL37" s="79"/>
      <c r="LKM37" s="79"/>
      <c r="LKN37" s="79"/>
      <c r="LKO37" s="79"/>
      <c r="LKP37" s="79"/>
      <c r="LKQ37" s="79"/>
      <c r="LKR37" s="79"/>
      <c r="LKS37" s="79"/>
      <c r="LKT37" s="79"/>
      <c r="LKU37" s="79"/>
      <c r="LKV37" s="79"/>
      <c r="LKW37" s="79"/>
      <c r="LKX37" s="79"/>
      <c r="LKY37" s="79"/>
      <c r="LKZ37" s="79"/>
      <c r="LLA37" s="79"/>
      <c r="LLB37" s="79"/>
      <c r="LLC37" s="79"/>
      <c r="LLD37" s="79"/>
      <c r="LLE37" s="79"/>
      <c r="LLF37" s="79"/>
      <c r="LLG37" s="79"/>
      <c r="LLH37" s="79"/>
      <c r="LLI37" s="79"/>
      <c r="LLJ37" s="79"/>
      <c r="LLK37" s="79"/>
      <c r="LLL37" s="79"/>
      <c r="LLM37" s="79"/>
      <c r="LLN37" s="79"/>
      <c r="LLO37" s="79"/>
      <c r="LLP37" s="79"/>
      <c r="LLQ37" s="79"/>
      <c r="LLR37" s="79"/>
      <c r="LLS37" s="79"/>
      <c r="LLT37" s="79"/>
      <c r="LLU37" s="79"/>
      <c r="LLV37" s="79"/>
      <c r="LLW37" s="79"/>
      <c r="LLX37" s="79"/>
      <c r="LLY37" s="79"/>
      <c r="LLZ37" s="79"/>
      <c r="LMA37" s="79"/>
      <c r="LMB37" s="79"/>
      <c r="LMC37" s="79"/>
      <c r="LMD37" s="79"/>
      <c r="LME37" s="79"/>
      <c r="LMF37" s="79"/>
      <c r="LMG37" s="79"/>
      <c r="LMH37" s="79"/>
      <c r="LMI37" s="79"/>
      <c r="LMJ37" s="79"/>
      <c r="LMK37" s="79"/>
      <c r="LML37" s="79"/>
      <c r="LMM37" s="79"/>
      <c r="LMN37" s="79"/>
      <c r="LMO37" s="79"/>
      <c r="LMP37" s="79"/>
      <c r="LMQ37" s="79"/>
      <c r="LMR37" s="79"/>
      <c r="LMS37" s="79"/>
      <c r="LMT37" s="79"/>
      <c r="LMU37" s="79"/>
      <c r="LMV37" s="79"/>
      <c r="LMW37" s="79"/>
      <c r="LMX37" s="79"/>
      <c r="LMY37" s="79"/>
      <c r="LMZ37" s="79"/>
      <c r="LNA37" s="79"/>
      <c r="LNB37" s="79"/>
      <c r="LNC37" s="79"/>
      <c r="LND37" s="79"/>
      <c r="LNE37" s="79"/>
      <c r="LNF37" s="79"/>
      <c r="LNG37" s="79"/>
      <c r="LNH37" s="79"/>
      <c r="LNI37" s="79"/>
      <c r="LNJ37" s="79"/>
      <c r="LNK37" s="79"/>
      <c r="LNL37" s="79"/>
      <c r="LNM37" s="79"/>
      <c r="LNN37" s="79"/>
      <c r="LNO37" s="79"/>
      <c r="LNP37" s="79"/>
      <c r="LNQ37" s="79"/>
      <c r="LNR37" s="79"/>
      <c r="LNS37" s="79"/>
      <c r="LNT37" s="79"/>
      <c r="LNU37" s="79"/>
      <c r="LNV37" s="79"/>
      <c r="LNW37" s="79"/>
      <c r="LNX37" s="79"/>
      <c r="LNY37" s="79"/>
      <c r="LNZ37" s="79"/>
      <c r="LOA37" s="79"/>
      <c r="LOB37" s="79"/>
      <c r="LOC37" s="79"/>
      <c r="LOD37" s="79"/>
      <c r="LOE37" s="79"/>
      <c r="LOF37" s="79"/>
      <c r="LOG37" s="79"/>
      <c r="LOH37" s="79"/>
      <c r="LOI37" s="79"/>
      <c r="LOJ37" s="79"/>
      <c r="LOK37" s="79"/>
      <c r="LOL37" s="79"/>
      <c r="LOM37" s="79"/>
      <c r="LON37" s="79"/>
      <c r="LOO37" s="79"/>
      <c r="LOP37" s="79"/>
      <c r="LOQ37" s="79"/>
      <c r="LOR37" s="79"/>
      <c r="LOS37" s="79"/>
      <c r="LOT37" s="79"/>
      <c r="LOU37" s="79"/>
      <c r="LOV37" s="79"/>
      <c r="LOW37" s="79"/>
      <c r="LOX37" s="79"/>
      <c r="LOY37" s="79"/>
      <c r="LOZ37" s="79"/>
      <c r="LPA37" s="79"/>
      <c r="LPB37" s="79"/>
      <c r="LPC37" s="79"/>
      <c r="LPD37" s="79"/>
      <c r="LPE37" s="79"/>
      <c r="LPF37" s="79"/>
      <c r="LPG37" s="79"/>
      <c r="LPH37" s="79"/>
      <c r="LPI37" s="79"/>
      <c r="LPJ37" s="79"/>
      <c r="LPK37" s="79"/>
      <c r="LPL37" s="79"/>
      <c r="LPM37" s="79"/>
      <c r="LPN37" s="79"/>
      <c r="LPO37" s="79"/>
      <c r="LPP37" s="79"/>
      <c r="LPQ37" s="79"/>
      <c r="LPR37" s="79"/>
      <c r="LPS37" s="79"/>
      <c r="LPT37" s="79"/>
      <c r="LPU37" s="79"/>
      <c r="LPV37" s="79"/>
      <c r="LPW37" s="79"/>
      <c r="LPX37" s="79"/>
      <c r="LPY37" s="79"/>
      <c r="LPZ37" s="79"/>
      <c r="LQA37" s="79"/>
      <c r="LQB37" s="79"/>
      <c r="LQC37" s="79"/>
      <c r="LQD37" s="79"/>
      <c r="LQE37" s="79"/>
      <c r="LQF37" s="79"/>
      <c r="LQG37" s="79"/>
      <c r="LQH37" s="79"/>
      <c r="LQI37" s="79"/>
      <c r="LQJ37" s="79"/>
      <c r="LQK37" s="79"/>
      <c r="LQL37" s="79"/>
      <c r="LQM37" s="79"/>
      <c r="LQN37" s="79"/>
      <c r="LQO37" s="79"/>
      <c r="LQP37" s="79"/>
      <c r="LQQ37" s="79"/>
      <c r="LQR37" s="79"/>
      <c r="LQS37" s="79"/>
      <c r="LQT37" s="79"/>
      <c r="LQU37" s="79"/>
      <c r="LQV37" s="79"/>
      <c r="LQW37" s="79"/>
      <c r="LQX37" s="79"/>
      <c r="LQY37" s="79"/>
      <c r="LQZ37" s="79"/>
      <c r="LRA37" s="79"/>
      <c r="LRB37" s="79"/>
      <c r="LRC37" s="79"/>
      <c r="LRD37" s="79"/>
      <c r="LRE37" s="79"/>
      <c r="LRF37" s="79"/>
      <c r="LRG37" s="79"/>
      <c r="LRH37" s="79"/>
      <c r="LRI37" s="79"/>
      <c r="LRJ37" s="79"/>
      <c r="LRK37" s="79"/>
      <c r="LRL37" s="79"/>
      <c r="LRM37" s="79"/>
      <c r="LRN37" s="79"/>
      <c r="LRO37" s="79"/>
      <c r="LRP37" s="79"/>
      <c r="LRQ37" s="79"/>
      <c r="LRR37" s="79"/>
      <c r="LRS37" s="79"/>
      <c r="LRT37" s="79"/>
      <c r="LRU37" s="79"/>
      <c r="LRV37" s="79"/>
      <c r="LRW37" s="79"/>
      <c r="LRX37" s="79"/>
      <c r="LRY37" s="79"/>
      <c r="LRZ37" s="79"/>
      <c r="LSA37" s="79"/>
      <c r="LSB37" s="79"/>
      <c r="LSC37" s="79"/>
      <c r="LSD37" s="79"/>
      <c r="LSE37" s="79"/>
      <c r="LSF37" s="79"/>
      <c r="LSG37" s="79"/>
      <c r="LSH37" s="79"/>
      <c r="LSI37" s="79"/>
      <c r="LSJ37" s="79"/>
      <c r="LSK37" s="79"/>
      <c r="LSL37" s="79"/>
      <c r="LSM37" s="79"/>
      <c r="LSN37" s="79"/>
      <c r="LSO37" s="79"/>
      <c r="LSP37" s="79"/>
      <c r="LSQ37" s="79"/>
      <c r="LSR37" s="79"/>
      <c r="LSS37" s="79"/>
      <c r="LST37" s="79"/>
      <c r="LSU37" s="79"/>
      <c r="LSV37" s="79"/>
      <c r="LSW37" s="79"/>
      <c r="LSX37" s="79"/>
      <c r="LSY37" s="79"/>
      <c r="LSZ37" s="79"/>
      <c r="LTA37" s="79"/>
      <c r="LTB37" s="79"/>
      <c r="LTC37" s="79"/>
      <c r="LTD37" s="79"/>
      <c r="LTE37" s="79"/>
      <c r="LTF37" s="79"/>
      <c r="LTG37" s="79"/>
      <c r="LTH37" s="79"/>
      <c r="LTI37" s="79"/>
      <c r="LTJ37" s="79"/>
      <c r="LTK37" s="79"/>
      <c r="LTL37" s="79"/>
      <c r="LTM37" s="79"/>
      <c r="LTN37" s="79"/>
      <c r="LTO37" s="79"/>
      <c r="LTP37" s="79"/>
      <c r="LTQ37" s="79"/>
      <c r="LTR37" s="79"/>
      <c r="LTS37" s="79"/>
      <c r="LTT37" s="79"/>
      <c r="LTU37" s="79"/>
      <c r="LTV37" s="79"/>
      <c r="LTW37" s="79"/>
      <c r="LTX37" s="79"/>
      <c r="LTY37" s="79"/>
      <c r="LTZ37" s="79"/>
      <c r="LUA37" s="79"/>
      <c r="LUB37" s="79"/>
      <c r="LUC37" s="79"/>
      <c r="LUD37" s="79"/>
      <c r="LUE37" s="79"/>
      <c r="LUF37" s="79"/>
      <c r="LUG37" s="79"/>
      <c r="LUH37" s="79"/>
      <c r="LUI37" s="79"/>
      <c r="LUJ37" s="79"/>
      <c r="LUK37" s="79"/>
      <c r="LUL37" s="79"/>
      <c r="LUM37" s="79"/>
      <c r="LUN37" s="79"/>
      <c r="LUO37" s="79"/>
      <c r="LUP37" s="79"/>
      <c r="LUQ37" s="79"/>
      <c r="LUR37" s="79"/>
      <c r="LUS37" s="79"/>
      <c r="LUT37" s="79"/>
      <c r="LUU37" s="79"/>
      <c r="LUV37" s="79"/>
      <c r="LUW37" s="79"/>
      <c r="LUX37" s="79"/>
      <c r="LUY37" s="79"/>
      <c r="LUZ37" s="79"/>
      <c r="LVA37" s="79"/>
      <c r="LVB37" s="79"/>
      <c r="LVC37" s="79"/>
      <c r="LVD37" s="79"/>
      <c r="LVE37" s="79"/>
      <c r="LVF37" s="79"/>
      <c r="LVG37" s="79"/>
      <c r="LVH37" s="79"/>
      <c r="LVI37" s="79"/>
      <c r="LVJ37" s="79"/>
      <c r="LVK37" s="79"/>
      <c r="LVL37" s="79"/>
      <c r="LVM37" s="79"/>
      <c r="LVN37" s="79"/>
      <c r="LVO37" s="79"/>
      <c r="LVP37" s="79"/>
      <c r="LVQ37" s="79"/>
      <c r="LVR37" s="79"/>
      <c r="LVS37" s="79"/>
      <c r="LVT37" s="79"/>
      <c r="LVU37" s="79"/>
      <c r="LVV37" s="79"/>
      <c r="LVW37" s="79"/>
      <c r="LVX37" s="79"/>
      <c r="LVY37" s="79"/>
      <c r="LVZ37" s="79"/>
      <c r="LWA37" s="79"/>
      <c r="LWB37" s="79"/>
      <c r="LWC37" s="79"/>
      <c r="LWD37" s="79"/>
      <c r="LWE37" s="79"/>
      <c r="LWF37" s="79"/>
      <c r="LWG37" s="79"/>
      <c r="LWH37" s="79"/>
      <c r="LWI37" s="79"/>
      <c r="LWJ37" s="79"/>
      <c r="LWK37" s="79"/>
      <c r="LWL37" s="79"/>
      <c r="LWM37" s="79"/>
      <c r="LWN37" s="79"/>
      <c r="LWO37" s="79"/>
      <c r="LWP37" s="79"/>
      <c r="LWQ37" s="79"/>
      <c r="LWR37" s="79"/>
      <c r="LWS37" s="79"/>
      <c r="LWT37" s="79"/>
      <c r="LWU37" s="79"/>
      <c r="LWV37" s="79"/>
      <c r="LWW37" s="79"/>
      <c r="LWX37" s="79"/>
      <c r="LWY37" s="79"/>
      <c r="LWZ37" s="79"/>
      <c r="LXA37" s="79"/>
      <c r="LXB37" s="79"/>
      <c r="LXC37" s="79"/>
      <c r="LXD37" s="79"/>
      <c r="LXE37" s="79"/>
      <c r="LXF37" s="79"/>
      <c r="LXG37" s="79"/>
      <c r="LXH37" s="79"/>
      <c r="LXI37" s="79"/>
      <c r="LXJ37" s="79"/>
      <c r="LXK37" s="79"/>
      <c r="LXL37" s="79"/>
      <c r="LXM37" s="79"/>
      <c r="LXN37" s="79"/>
      <c r="LXO37" s="79"/>
      <c r="LXP37" s="79"/>
      <c r="LXQ37" s="79"/>
      <c r="LXR37" s="79"/>
      <c r="LXS37" s="79"/>
      <c r="LXT37" s="79"/>
      <c r="LXU37" s="79"/>
      <c r="LXV37" s="79"/>
      <c r="LXW37" s="79"/>
      <c r="LXX37" s="79"/>
      <c r="LXY37" s="79"/>
      <c r="LXZ37" s="79"/>
      <c r="LYA37" s="79"/>
      <c r="LYB37" s="79"/>
      <c r="LYC37" s="79"/>
      <c r="LYD37" s="79"/>
      <c r="LYE37" s="79"/>
      <c r="LYF37" s="79"/>
      <c r="LYG37" s="79"/>
      <c r="LYH37" s="79"/>
      <c r="LYI37" s="79"/>
      <c r="LYJ37" s="79"/>
      <c r="LYK37" s="79"/>
      <c r="LYL37" s="79"/>
      <c r="LYM37" s="79"/>
      <c r="LYN37" s="79"/>
      <c r="LYO37" s="79"/>
      <c r="LYP37" s="79"/>
      <c r="LYQ37" s="79"/>
      <c r="LYR37" s="79"/>
      <c r="LYS37" s="79"/>
      <c r="LYT37" s="79"/>
      <c r="LYU37" s="79"/>
      <c r="LYV37" s="79"/>
      <c r="LYW37" s="79"/>
      <c r="LYX37" s="79"/>
      <c r="LYY37" s="79"/>
      <c r="LYZ37" s="79"/>
      <c r="LZA37" s="79"/>
      <c r="LZB37" s="79"/>
      <c r="LZC37" s="79"/>
      <c r="LZD37" s="79"/>
      <c r="LZE37" s="79"/>
      <c r="LZF37" s="79"/>
      <c r="LZG37" s="79"/>
      <c r="LZH37" s="79"/>
      <c r="LZI37" s="79"/>
      <c r="LZJ37" s="79"/>
      <c r="LZK37" s="79"/>
      <c r="LZL37" s="79"/>
      <c r="LZM37" s="79"/>
      <c r="LZN37" s="79"/>
      <c r="LZO37" s="79"/>
      <c r="LZP37" s="79"/>
      <c r="LZQ37" s="79"/>
      <c r="LZR37" s="79"/>
      <c r="LZS37" s="79"/>
      <c r="LZT37" s="79"/>
      <c r="LZU37" s="79"/>
      <c r="LZV37" s="79"/>
      <c r="LZW37" s="79"/>
      <c r="LZX37" s="79"/>
      <c r="LZY37" s="79"/>
      <c r="LZZ37" s="79"/>
      <c r="MAA37" s="79"/>
      <c r="MAB37" s="79"/>
      <c r="MAC37" s="79"/>
      <c r="MAD37" s="79"/>
      <c r="MAE37" s="79"/>
      <c r="MAF37" s="79"/>
      <c r="MAG37" s="79"/>
      <c r="MAH37" s="79"/>
      <c r="MAI37" s="79"/>
      <c r="MAJ37" s="79"/>
      <c r="MAK37" s="79"/>
      <c r="MAL37" s="79"/>
      <c r="MAM37" s="79"/>
      <c r="MAN37" s="79"/>
      <c r="MAO37" s="79"/>
      <c r="MAP37" s="79"/>
      <c r="MAQ37" s="79"/>
      <c r="MAR37" s="79"/>
      <c r="MAS37" s="79"/>
      <c r="MAT37" s="79"/>
      <c r="MAU37" s="79"/>
      <c r="MAV37" s="79"/>
      <c r="MAW37" s="79"/>
      <c r="MAX37" s="79"/>
      <c r="MAY37" s="79"/>
      <c r="MAZ37" s="79"/>
      <c r="MBA37" s="79"/>
      <c r="MBB37" s="79"/>
      <c r="MBC37" s="79"/>
      <c r="MBD37" s="79"/>
      <c r="MBE37" s="79"/>
      <c r="MBF37" s="79"/>
      <c r="MBG37" s="79"/>
      <c r="MBH37" s="79"/>
      <c r="MBI37" s="79"/>
      <c r="MBJ37" s="79"/>
      <c r="MBK37" s="79"/>
      <c r="MBL37" s="79"/>
      <c r="MBM37" s="79"/>
      <c r="MBN37" s="79"/>
      <c r="MBO37" s="79"/>
      <c r="MBP37" s="79"/>
      <c r="MBQ37" s="79"/>
      <c r="MBR37" s="79"/>
      <c r="MBS37" s="79"/>
      <c r="MBT37" s="79"/>
      <c r="MBU37" s="79"/>
      <c r="MBV37" s="79"/>
      <c r="MBW37" s="79"/>
      <c r="MBX37" s="79"/>
      <c r="MBY37" s="79"/>
      <c r="MBZ37" s="79"/>
      <c r="MCA37" s="79"/>
      <c r="MCB37" s="79"/>
      <c r="MCC37" s="79"/>
      <c r="MCD37" s="79"/>
      <c r="MCE37" s="79"/>
      <c r="MCF37" s="79"/>
      <c r="MCG37" s="79"/>
      <c r="MCH37" s="79"/>
      <c r="MCI37" s="79"/>
      <c r="MCJ37" s="79"/>
      <c r="MCK37" s="79"/>
      <c r="MCL37" s="79"/>
      <c r="MCM37" s="79"/>
      <c r="MCN37" s="79"/>
      <c r="MCO37" s="79"/>
      <c r="MCP37" s="79"/>
      <c r="MCQ37" s="79"/>
      <c r="MCR37" s="79"/>
      <c r="MCS37" s="79"/>
      <c r="MCT37" s="79"/>
      <c r="MCU37" s="79"/>
      <c r="MCV37" s="79"/>
      <c r="MCW37" s="79"/>
      <c r="MCX37" s="79"/>
      <c r="MCY37" s="79"/>
      <c r="MCZ37" s="79"/>
      <c r="MDA37" s="79"/>
      <c r="MDB37" s="79"/>
      <c r="MDC37" s="79"/>
      <c r="MDD37" s="79"/>
      <c r="MDE37" s="79"/>
      <c r="MDF37" s="79"/>
      <c r="MDG37" s="79"/>
      <c r="MDH37" s="79"/>
      <c r="MDI37" s="79"/>
      <c r="MDJ37" s="79"/>
      <c r="MDK37" s="79"/>
      <c r="MDL37" s="79"/>
      <c r="MDM37" s="79"/>
      <c r="MDN37" s="79"/>
      <c r="MDO37" s="79"/>
      <c r="MDP37" s="79"/>
      <c r="MDQ37" s="79"/>
      <c r="MDR37" s="79"/>
      <c r="MDS37" s="79"/>
      <c r="MDT37" s="79"/>
      <c r="MDU37" s="79"/>
      <c r="MDV37" s="79"/>
      <c r="MDW37" s="79"/>
      <c r="MDX37" s="79"/>
      <c r="MDY37" s="79"/>
      <c r="MDZ37" s="79"/>
      <c r="MEA37" s="79"/>
      <c r="MEB37" s="79"/>
      <c r="MEC37" s="79"/>
      <c r="MED37" s="79"/>
      <c r="MEE37" s="79"/>
      <c r="MEF37" s="79"/>
      <c r="MEG37" s="79"/>
      <c r="MEH37" s="79"/>
      <c r="MEI37" s="79"/>
      <c r="MEJ37" s="79"/>
      <c r="MEK37" s="79"/>
      <c r="MEL37" s="79"/>
      <c r="MEM37" s="79"/>
      <c r="MEN37" s="79"/>
      <c r="MEO37" s="79"/>
      <c r="MEP37" s="79"/>
      <c r="MEQ37" s="79"/>
      <c r="MER37" s="79"/>
      <c r="MES37" s="79"/>
      <c r="MET37" s="79"/>
      <c r="MEU37" s="79"/>
      <c r="MEV37" s="79"/>
      <c r="MEW37" s="79"/>
      <c r="MEX37" s="79"/>
      <c r="MEY37" s="79"/>
      <c r="MEZ37" s="79"/>
      <c r="MFA37" s="79"/>
      <c r="MFB37" s="79"/>
      <c r="MFC37" s="79"/>
      <c r="MFD37" s="79"/>
      <c r="MFE37" s="79"/>
      <c r="MFF37" s="79"/>
      <c r="MFG37" s="79"/>
      <c r="MFH37" s="79"/>
      <c r="MFI37" s="79"/>
      <c r="MFJ37" s="79"/>
      <c r="MFK37" s="79"/>
      <c r="MFL37" s="79"/>
      <c r="MFM37" s="79"/>
      <c r="MFN37" s="79"/>
      <c r="MFO37" s="79"/>
      <c r="MFP37" s="79"/>
      <c r="MFQ37" s="79"/>
      <c r="MFR37" s="79"/>
      <c r="MFS37" s="79"/>
      <c r="MFT37" s="79"/>
      <c r="MFU37" s="79"/>
      <c r="MFV37" s="79"/>
      <c r="MFW37" s="79"/>
      <c r="MFX37" s="79"/>
      <c r="MFY37" s="79"/>
      <c r="MFZ37" s="79"/>
      <c r="MGA37" s="79"/>
      <c r="MGB37" s="79"/>
      <c r="MGC37" s="79"/>
      <c r="MGD37" s="79"/>
      <c r="MGE37" s="79"/>
      <c r="MGF37" s="79"/>
      <c r="MGG37" s="79"/>
      <c r="MGH37" s="79"/>
      <c r="MGI37" s="79"/>
      <c r="MGJ37" s="79"/>
      <c r="MGK37" s="79"/>
      <c r="MGL37" s="79"/>
      <c r="MGM37" s="79"/>
      <c r="MGN37" s="79"/>
      <c r="MGO37" s="79"/>
      <c r="MGP37" s="79"/>
      <c r="MGQ37" s="79"/>
      <c r="MGR37" s="79"/>
      <c r="MGS37" s="79"/>
      <c r="MGT37" s="79"/>
      <c r="MGU37" s="79"/>
      <c r="MGV37" s="79"/>
      <c r="MGW37" s="79"/>
      <c r="MGX37" s="79"/>
      <c r="MGY37" s="79"/>
      <c r="MGZ37" s="79"/>
      <c r="MHA37" s="79"/>
      <c r="MHB37" s="79"/>
      <c r="MHC37" s="79"/>
      <c r="MHD37" s="79"/>
      <c r="MHE37" s="79"/>
      <c r="MHF37" s="79"/>
      <c r="MHG37" s="79"/>
      <c r="MHH37" s="79"/>
      <c r="MHI37" s="79"/>
      <c r="MHJ37" s="79"/>
      <c r="MHK37" s="79"/>
      <c r="MHL37" s="79"/>
      <c r="MHM37" s="79"/>
      <c r="MHN37" s="79"/>
      <c r="MHO37" s="79"/>
      <c r="MHP37" s="79"/>
      <c r="MHQ37" s="79"/>
      <c r="MHR37" s="79"/>
      <c r="MHS37" s="79"/>
      <c r="MHT37" s="79"/>
      <c r="MHU37" s="79"/>
      <c r="MHV37" s="79"/>
      <c r="MHW37" s="79"/>
      <c r="MHX37" s="79"/>
      <c r="MHY37" s="79"/>
      <c r="MHZ37" s="79"/>
      <c r="MIA37" s="79"/>
      <c r="MIB37" s="79"/>
      <c r="MIC37" s="79"/>
      <c r="MID37" s="79"/>
      <c r="MIE37" s="79"/>
      <c r="MIF37" s="79"/>
      <c r="MIG37" s="79"/>
      <c r="MIH37" s="79"/>
      <c r="MII37" s="79"/>
      <c r="MIJ37" s="79"/>
      <c r="MIK37" s="79"/>
      <c r="MIL37" s="79"/>
      <c r="MIM37" s="79"/>
      <c r="MIN37" s="79"/>
      <c r="MIO37" s="79"/>
      <c r="MIP37" s="79"/>
      <c r="MIQ37" s="79"/>
      <c r="MIR37" s="79"/>
      <c r="MIS37" s="79"/>
      <c r="MIT37" s="79"/>
      <c r="MIU37" s="79"/>
      <c r="MIV37" s="79"/>
      <c r="MIW37" s="79"/>
      <c r="MIX37" s="79"/>
      <c r="MIY37" s="79"/>
      <c r="MIZ37" s="79"/>
      <c r="MJA37" s="79"/>
      <c r="MJB37" s="79"/>
      <c r="MJC37" s="79"/>
      <c r="MJD37" s="79"/>
      <c r="MJE37" s="79"/>
      <c r="MJF37" s="79"/>
      <c r="MJG37" s="79"/>
      <c r="MJH37" s="79"/>
      <c r="MJI37" s="79"/>
      <c r="MJJ37" s="79"/>
      <c r="MJK37" s="79"/>
      <c r="MJL37" s="79"/>
      <c r="MJM37" s="79"/>
      <c r="MJN37" s="79"/>
      <c r="MJO37" s="79"/>
      <c r="MJP37" s="79"/>
      <c r="MJQ37" s="79"/>
      <c r="MJR37" s="79"/>
      <c r="MJS37" s="79"/>
      <c r="MJT37" s="79"/>
      <c r="MJU37" s="79"/>
      <c r="MJV37" s="79"/>
      <c r="MJW37" s="79"/>
      <c r="MJX37" s="79"/>
      <c r="MJY37" s="79"/>
      <c r="MJZ37" s="79"/>
      <c r="MKA37" s="79"/>
      <c r="MKB37" s="79"/>
      <c r="MKC37" s="79"/>
      <c r="MKD37" s="79"/>
      <c r="MKE37" s="79"/>
      <c r="MKF37" s="79"/>
      <c r="MKG37" s="79"/>
      <c r="MKH37" s="79"/>
      <c r="MKI37" s="79"/>
      <c r="MKJ37" s="79"/>
      <c r="MKK37" s="79"/>
      <c r="MKL37" s="79"/>
      <c r="MKM37" s="79"/>
      <c r="MKN37" s="79"/>
      <c r="MKO37" s="79"/>
      <c r="MKP37" s="79"/>
      <c r="MKQ37" s="79"/>
      <c r="MKR37" s="79"/>
      <c r="MKS37" s="79"/>
      <c r="MKT37" s="79"/>
      <c r="MKU37" s="79"/>
      <c r="MKV37" s="79"/>
      <c r="MKW37" s="79"/>
      <c r="MKX37" s="79"/>
      <c r="MKY37" s="79"/>
      <c r="MKZ37" s="79"/>
      <c r="MLA37" s="79"/>
      <c r="MLB37" s="79"/>
      <c r="MLC37" s="79"/>
      <c r="MLD37" s="79"/>
      <c r="MLE37" s="79"/>
      <c r="MLF37" s="79"/>
      <c r="MLG37" s="79"/>
      <c r="MLH37" s="79"/>
      <c r="MLI37" s="79"/>
      <c r="MLJ37" s="79"/>
      <c r="MLK37" s="79"/>
      <c r="MLL37" s="79"/>
      <c r="MLM37" s="79"/>
      <c r="MLN37" s="79"/>
      <c r="MLO37" s="79"/>
      <c r="MLP37" s="79"/>
      <c r="MLQ37" s="79"/>
      <c r="MLR37" s="79"/>
      <c r="MLS37" s="79"/>
      <c r="MLT37" s="79"/>
      <c r="MLU37" s="79"/>
      <c r="MLV37" s="79"/>
      <c r="MLW37" s="79"/>
      <c r="MLX37" s="79"/>
      <c r="MLY37" s="79"/>
      <c r="MLZ37" s="79"/>
      <c r="MMA37" s="79"/>
      <c r="MMB37" s="79"/>
      <c r="MMC37" s="79"/>
      <c r="MMD37" s="79"/>
      <c r="MME37" s="79"/>
      <c r="MMF37" s="79"/>
      <c r="MMG37" s="79"/>
      <c r="MMH37" s="79"/>
      <c r="MMI37" s="79"/>
      <c r="MMJ37" s="79"/>
      <c r="MMK37" s="79"/>
      <c r="MML37" s="79"/>
      <c r="MMM37" s="79"/>
      <c r="MMN37" s="79"/>
      <c r="MMO37" s="79"/>
      <c r="MMP37" s="79"/>
      <c r="MMQ37" s="79"/>
      <c r="MMR37" s="79"/>
      <c r="MMS37" s="79"/>
      <c r="MMT37" s="79"/>
      <c r="MMU37" s="79"/>
      <c r="MMV37" s="79"/>
      <c r="MMW37" s="79"/>
      <c r="MMX37" s="79"/>
      <c r="MMY37" s="79"/>
      <c r="MMZ37" s="79"/>
      <c r="MNA37" s="79"/>
      <c r="MNB37" s="79"/>
      <c r="MNC37" s="79"/>
      <c r="MND37" s="79"/>
      <c r="MNE37" s="79"/>
      <c r="MNF37" s="79"/>
      <c r="MNG37" s="79"/>
      <c r="MNH37" s="79"/>
      <c r="MNI37" s="79"/>
      <c r="MNJ37" s="79"/>
      <c r="MNK37" s="79"/>
      <c r="MNL37" s="79"/>
      <c r="MNM37" s="79"/>
      <c r="MNN37" s="79"/>
      <c r="MNO37" s="79"/>
      <c r="MNP37" s="79"/>
      <c r="MNQ37" s="79"/>
      <c r="MNR37" s="79"/>
      <c r="MNS37" s="79"/>
      <c r="MNT37" s="79"/>
      <c r="MNU37" s="79"/>
      <c r="MNV37" s="79"/>
      <c r="MNW37" s="79"/>
      <c r="MNX37" s="79"/>
      <c r="MNY37" s="79"/>
      <c r="MNZ37" s="79"/>
      <c r="MOA37" s="79"/>
      <c r="MOB37" s="79"/>
      <c r="MOC37" s="79"/>
      <c r="MOD37" s="79"/>
      <c r="MOE37" s="79"/>
      <c r="MOF37" s="79"/>
      <c r="MOG37" s="79"/>
      <c r="MOH37" s="79"/>
      <c r="MOI37" s="79"/>
      <c r="MOJ37" s="79"/>
      <c r="MOK37" s="79"/>
      <c r="MOL37" s="79"/>
      <c r="MOM37" s="79"/>
      <c r="MON37" s="79"/>
      <c r="MOO37" s="79"/>
      <c r="MOP37" s="79"/>
      <c r="MOQ37" s="79"/>
      <c r="MOR37" s="79"/>
      <c r="MOS37" s="79"/>
      <c r="MOT37" s="79"/>
      <c r="MOU37" s="79"/>
      <c r="MOV37" s="79"/>
      <c r="MOW37" s="79"/>
      <c r="MOX37" s="79"/>
      <c r="MOY37" s="79"/>
      <c r="MOZ37" s="79"/>
      <c r="MPA37" s="79"/>
      <c r="MPB37" s="79"/>
      <c r="MPC37" s="79"/>
      <c r="MPD37" s="79"/>
      <c r="MPE37" s="79"/>
      <c r="MPF37" s="79"/>
      <c r="MPG37" s="79"/>
      <c r="MPH37" s="79"/>
      <c r="MPI37" s="79"/>
      <c r="MPJ37" s="79"/>
      <c r="MPK37" s="79"/>
      <c r="MPL37" s="79"/>
      <c r="MPM37" s="79"/>
      <c r="MPN37" s="79"/>
      <c r="MPO37" s="79"/>
      <c r="MPP37" s="79"/>
      <c r="MPQ37" s="79"/>
      <c r="MPR37" s="79"/>
      <c r="MPS37" s="79"/>
      <c r="MPT37" s="79"/>
      <c r="MPU37" s="79"/>
      <c r="MPV37" s="79"/>
      <c r="MPW37" s="79"/>
      <c r="MPX37" s="79"/>
      <c r="MPY37" s="79"/>
      <c r="MPZ37" s="79"/>
      <c r="MQA37" s="79"/>
      <c r="MQB37" s="79"/>
      <c r="MQC37" s="79"/>
      <c r="MQD37" s="79"/>
      <c r="MQE37" s="79"/>
      <c r="MQF37" s="79"/>
      <c r="MQG37" s="79"/>
      <c r="MQH37" s="79"/>
      <c r="MQI37" s="79"/>
      <c r="MQJ37" s="79"/>
      <c r="MQK37" s="79"/>
      <c r="MQL37" s="79"/>
      <c r="MQM37" s="79"/>
      <c r="MQN37" s="79"/>
      <c r="MQO37" s="79"/>
      <c r="MQP37" s="79"/>
      <c r="MQQ37" s="79"/>
      <c r="MQR37" s="79"/>
      <c r="MQS37" s="79"/>
      <c r="MQT37" s="79"/>
      <c r="MQU37" s="79"/>
      <c r="MQV37" s="79"/>
      <c r="MQW37" s="79"/>
      <c r="MQX37" s="79"/>
      <c r="MQY37" s="79"/>
      <c r="MQZ37" s="79"/>
      <c r="MRA37" s="79"/>
      <c r="MRB37" s="79"/>
      <c r="MRC37" s="79"/>
      <c r="MRD37" s="79"/>
      <c r="MRE37" s="79"/>
      <c r="MRF37" s="79"/>
      <c r="MRG37" s="79"/>
      <c r="MRH37" s="79"/>
      <c r="MRI37" s="79"/>
      <c r="MRJ37" s="79"/>
      <c r="MRK37" s="79"/>
      <c r="MRL37" s="79"/>
      <c r="MRM37" s="79"/>
      <c r="MRN37" s="79"/>
      <c r="MRO37" s="79"/>
      <c r="MRP37" s="79"/>
      <c r="MRQ37" s="79"/>
      <c r="MRR37" s="79"/>
      <c r="MRS37" s="79"/>
      <c r="MRT37" s="79"/>
      <c r="MRU37" s="79"/>
      <c r="MRV37" s="79"/>
      <c r="MRW37" s="79"/>
      <c r="MRX37" s="79"/>
      <c r="MRY37" s="79"/>
      <c r="MRZ37" s="79"/>
      <c r="MSA37" s="79"/>
      <c r="MSB37" s="79"/>
      <c r="MSC37" s="79"/>
      <c r="MSD37" s="79"/>
      <c r="MSE37" s="79"/>
      <c r="MSF37" s="79"/>
      <c r="MSG37" s="79"/>
      <c r="MSH37" s="79"/>
      <c r="MSI37" s="79"/>
      <c r="MSJ37" s="79"/>
      <c r="MSK37" s="79"/>
      <c r="MSL37" s="79"/>
      <c r="MSM37" s="79"/>
      <c r="MSN37" s="79"/>
      <c r="MSO37" s="79"/>
      <c r="MSP37" s="79"/>
      <c r="MSQ37" s="79"/>
      <c r="MSR37" s="79"/>
      <c r="MSS37" s="79"/>
      <c r="MST37" s="79"/>
      <c r="MSU37" s="79"/>
      <c r="MSV37" s="79"/>
      <c r="MSW37" s="79"/>
      <c r="MSX37" s="79"/>
      <c r="MSY37" s="79"/>
      <c r="MSZ37" s="79"/>
      <c r="MTA37" s="79"/>
      <c r="MTB37" s="79"/>
      <c r="MTC37" s="79"/>
      <c r="MTD37" s="79"/>
      <c r="MTE37" s="79"/>
      <c r="MTF37" s="79"/>
      <c r="MTG37" s="79"/>
      <c r="MTH37" s="79"/>
      <c r="MTI37" s="79"/>
      <c r="MTJ37" s="79"/>
      <c r="MTK37" s="79"/>
      <c r="MTL37" s="79"/>
      <c r="MTM37" s="79"/>
      <c r="MTN37" s="79"/>
      <c r="MTO37" s="79"/>
      <c r="MTP37" s="79"/>
      <c r="MTQ37" s="79"/>
      <c r="MTR37" s="79"/>
      <c r="MTS37" s="79"/>
      <c r="MTT37" s="79"/>
      <c r="MTU37" s="79"/>
      <c r="MTV37" s="79"/>
      <c r="MTW37" s="79"/>
      <c r="MTX37" s="79"/>
      <c r="MTY37" s="79"/>
      <c r="MTZ37" s="79"/>
      <c r="MUA37" s="79"/>
      <c r="MUB37" s="79"/>
      <c r="MUC37" s="79"/>
      <c r="MUD37" s="79"/>
      <c r="MUE37" s="79"/>
      <c r="MUF37" s="79"/>
      <c r="MUG37" s="79"/>
      <c r="MUH37" s="79"/>
      <c r="MUI37" s="79"/>
      <c r="MUJ37" s="79"/>
      <c r="MUK37" s="79"/>
      <c r="MUL37" s="79"/>
      <c r="MUM37" s="79"/>
      <c r="MUN37" s="79"/>
      <c r="MUO37" s="79"/>
      <c r="MUP37" s="79"/>
      <c r="MUQ37" s="79"/>
      <c r="MUR37" s="79"/>
      <c r="MUS37" s="79"/>
      <c r="MUT37" s="79"/>
      <c r="MUU37" s="79"/>
      <c r="MUV37" s="79"/>
      <c r="MUW37" s="79"/>
      <c r="MUX37" s="79"/>
      <c r="MUY37" s="79"/>
      <c r="MUZ37" s="79"/>
      <c r="MVA37" s="79"/>
      <c r="MVB37" s="79"/>
      <c r="MVC37" s="79"/>
      <c r="MVD37" s="79"/>
      <c r="MVE37" s="79"/>
      <c r="MVF37" s="79"/>
      <c r="MVG37" s="79"/>
      <c r="MVH37" s="79"/>
      <c r="MVI37" s="79"/>
      <c r="MVJ37" s="79"/>
      <c r="MVK37" s="79"/>
      <c r="MVL37" s="79"/>
      <c r="MVM37" s="79"/>
      <c r="MVN37" s="79"/>
      <c r="MVO37" s="79"/>
      <c r="MVP37" s="79"/>
      <c r="MVQ37" s="79"/>
      <c r="MVR37" s="79"/>
      <c r="MVS37" s="79"/>
      <c r="MVT37" s="79"/>
      <c r="MVU37" s="79"/>
      <c r="MVV37" s="79"/>
      <c r="MVW37" s="79"/>
      <c r="MVX37" s="79"/>
      <c r="MVY37" s="79"/>
      <c r="MVZ37" s="79"/>
      <c r="MWA37" s="79"/>
      <c r="MWB37" s="79"/>
      <c r="MWC37" s="79"/>
      <c r="MWD37" s="79"/>
      <c r="MWE37" s="79"/>
      <c r="MWF37" s="79"/>
      <c r="MWG37" s="79"/>
      <c r="MWH37" s="79"/>
      <c r="MWI37" s="79"/>
      <c r="MWJ37" s="79"/>
      <c r="MWK37" s="79"/>
      <c r="MWL37" s="79"/>
      <c r="MWM37" s="79"/>
      <c r="MWN37" s="79"/>
      <c r="MWO37" s="79"/>
      <c r="MWP37" s="79"/>
      <c r="MWQ37" s="79"/>
      <c r="MWR37" s="79"/>
      <c r="MWS37" s="79"/>
      <c r="MWT37" s="79"/>
      <c r="MWU37" s="79"/>
      <c r="MWV37" s="79"/>
      <c r="MWW37" s="79"/>
      <c r="MWX37" s="79"/>
      <c r="MWY37" s="79"/>
      <c r="MWZ37" s="79"/>
      <c r="MXA37" s="79"/>
      <c r="MXB37" s="79"/>
      <c r="MXC37" s="79"/>
      <c r="MXD37" s="79"/>
      <c r="MXE37" s="79"/>
      <c r="MXF37" s="79"/>
      <c r="MXG37" s="79"/>
      <c r="MXH37" s="79"/>
      <c r="MXI37" s="79"/>
      <c r="MXJ37" s="79"/>
      <c r="MXK37" s="79"/>
      <c r="MXL37" s="79"/>
      <c r="MXM37" s="79"/>
      <c r="MXN37" s="79"/>
      <c r="MXO37" s="79"/>
      <c r="MXP37" s="79"/>
      <c r="MXQ37" s="79"/>
      <c r="MXR37" s="79"/>
      <c r="MXS37" s="79"/>
      <c r="MXT37" s="79"/>
      <c r="MXU37" s="79"/>
      <c r="MXV37" s="79"/>
      <c r="MXW37" s="79"/>
      <c r="MXX37" s="79"/>
      <c r="MXY37" s="79"/>
      <c r="MXZ37" s="79"/>
      <c r="MYA37" s="79"/>
      <c r="MYB37" s="79"/>
      <c r="MYC37" s="79"/>
      <c r="MYD37" s="79"/>
      <c r="MYE37" s="79"/>
      <c r="MYF37" s="79"/>
      <c r="MYG37" s="79"/>
      <c r="MYH37" s="79"/>
      <c r="MYI37" s="79"/>
      <c r="MYJ37" s="79"/>
      <c r="MYK37" s="79"/>
      <c r="MYL37" s="79"/>
      <c r="MYM37" s="79"/>
      <c r="MYN37" s="79"/>
      <c r="MYO37" s="79"/>
      <c r="MYP37" s="79"/>
      <c r="MYQ37" s="79"/>
      <c r="MYR37" s="79"/>
      <c r="MYS37" s="79"/>
      <c r="MYT37" s="79"/>
      <c r="MYU37" s="79"/>
      <c r="MYV37" s="79"/>
      <c r="MYW37" s="79"/>
      <c r="MYX37" s="79"/>
      <c r="MYY37" s="79"/>
      <c r="MYZ37" s="79"/>
      <c r="MZA37" s="79"/>
      <c r="MZB37" s="79"/>
      <c r="MZC37" s="79"/>
      <c r="MZD37" s="79"/>
      <c r="MZE37" s="79"/>
      <c r="MZF37" s="79"/>
      <c r="MZG37" s="79"/>
      <c r="MZH37" s="79"/>
      <c r="MZI37" s="79"/>
      <c r="MZJ37" s="79"/>
      <c r="MZK37" s="79"/>
      <c r="MZL37" s="79"/>
      <c r="MZM37" s="79"/>
      <c r="MZN37" s="79"/>
      <c r="MZO37" s="79"/>
      <c r="MZP37" s="79"/>
      <c r="MZQ37" s="79"/>
      <c r="MZR37" s="79"/>
      <c r="MZS37" s="79"/>
      <c r="MZT37" s="79"/>
      <c r="MZU37" s="79"/>
      <c r="MZV37" s="79"/>
      <c r="MZW37" s="79"/>
      <c r="MZX37" s="79"/>
      <c r="MZY37" s="79"/>
      <c r="MZZ37" s="79"/>
      <c r="NAA37" s="79"/>
      <c r="NAB37" s="79"/>
      <c r="NAC37" s="79"/>
      <c r="NAD37" s="79"/>
      <c r="NAE37" s="79"/>
      <c r="NAF37" s="79"/>
      <c r="NAG37" s="79"/>
      <c r="NAH37" s="79"/>
      <c r="NAI37" s="79"/>
      <c r="NAJ37" s="79"/>
      <c r="NAK37" s="79"/>
      <c r="NAL37" s="79"/>
      <c r="NAM37" s="79"/>
      <c r="NAN37" s="79"/>
      <c r="NAO37" s="79"/>
      <c r="NAP37" s="79"/>
      <c r="NAQ37" s="79"/>
      <c r="NAR37" s="79"/>
      <c r="NAS37" s="79"/>
      <c r="NAT37" s="79"/>
      <c r="NAU37" s="79"/>
      <c r="NAV37" s="79"/>
      <c r="NAW37" s="79"/>
      <c r="NAX37" s="79"/>
      <c r="NAY37" s="79"/>
      <c r="NAZ37" s="79"/>
      <c r="NBA37" s="79"/>
      <c r="NBB37" s="79"/>
      <c r="NBC37" s="79"/>
      <c r="NBD37" s="79"/>
      <c r="NBE37" s="79"/>
      <c r="NBF37" s="79"/>
      <c r="NBG37" s="79"/>
      <c r="NBH37" s="79"/>
      <c r="NBI37" s="79"/>
      <c r="NBJ37" s="79"/>
      <c r="NBK37" s="79"/>
      <c r="NBL37" s="79"/>
      <c r="NBM37" s="79"/>
      <c r="NBN37" s="79"/>
      <c r="NBO37" s="79"/>
      <c r="NBP37" s="79"/>
      <c r="NBQ37" s="79"/>
      <c r="NBR37" s="79"/>
      <c r="NBS37" s="79"/>
      <c r="NBT37" s="79"/>
      <c r="NBU37" s="79"/>
      <c r="NBV37" s="79"/>
      <c r="NBW37" s="79"/>
      <c r="NBX37" s="79"/>
      <c r="NBY37" s="79"/>
      <c r="NBZ37" s="79"/>
      <c r="NCA37" s="79"/>
      <c r="NCB37" s="79"/>
      <c r="NCC37" s="79"/>
      <c r="NCD37" s="79"/>
      <c r="NCE37" s="79"/>
      <c r="NCF37" s="79"/>
      <c r="NCG37" s="79"/>
      <c r="NCH37" s="79"/>
      <c r="NCI37" s="79"/>
      <c r="NCJ37" s="79"/>
      <c r="NCK37" s="79"/>
      <c r="NCL37" s="79"/>
      <c r="NCM37" s="79"/>
      <c r="NCN37" s="79"/>
      <c r="NCO37" s="79"/>
      <c r="NCP37" s="79"/>
      <c r="NCQ37" s="79"/>
      <c r="NCR37" s="79"/>
      <c r="NCS37" s="79"/>
      <c r="NCT37" s="79"/>
      <c r="NCU37" s="79"/>
      <c r="NCV37" s="79"/>
      <c r="NCW37" s="79"/>
      <c r="NCX37" s="79"/>
      <c r="NCY37" s="79"/>
      <c r="NCZ37" s="79"/>
      <c r="NDA37" s="79"/>
      <c r="NDB37" s="79"/>
      <c r="NDC37" s="79"/>
      <c r="NDD37" s="79"/>
      <c r="NDE37" s="79"/>
      <c r="NDF37" s="79"/>
      <c r="NDG37" s="79"/>
      <c r="NDH37" s="79"/>
      <c r="NDI37" s="79"/>
      <c r="NDJ37" s="79"/>
      <c r="NDK37" s="79"/>
      <c r="NDL37" s="79"/>
      <c r="NDM37" s="79"/>
      <c r="NDN37" s="79"/>
      <c r="NDO37" s="79"/>
      <c r="NDP37" s="79"/>
      <c r="NDQ37" s="79"/>
      <c r="NDR37" s="79"/>
      <c r="NDS37" s="79"/>
      <c r="NDT37" s="79"/>
      <c r="NDU37" s="79"/>
      <c r="NDV37" s="79"/>
      <c r="NDW37" s="79"/>
      <c r="NDX37" s="79"/>
      <c r="NDY37" s="79"/>
      <c r="NDZ37" s="79"/>
      <c r="NEA37" s="79"/>
      <c r="NEB37" s="79"/>
      <c r="NEC37" s="79"/>
      <c r="NED37" s="79"/>
      <c r="NEE37" s="79"/>
      <c r="NEF37" s="79"/>
      <c r="NEG37" s="79"/>
      <c r="NEH37" s="79"/>
      <c r="NEI37" s="79"/>
      <c r="NEJ37" s="79"/>
      <c r="NEK37" s="79"/>
      <c r="NEL37" s="79"/>
      <c r="NEM37" s="79"/>
      <c r="NEN37" s="79"/>
      <c r="NEO37" s="79"/>
      <c r="NEP37" s="79"/>
      <c r="NEQ37" s="79"/>
      <c r="NER37" s="79"/>
      <c r="NES37" s="79"/>
      <c r="NET37" s="79"/>
      <c r="NEU37" s="79"/>
      <c r="NEV37" s="79"/>
      <c r="NEW37" s="79"/>
      <c r="NEX37" s="79"/>
      <c r="NEY37" s="79"/>
      <c r="NEZ37" s="79"/>
      <c r="NFA37" s="79"/>
      <c r="NFB37" s="79"/>
      <c r="NFC37" s="79"/>
      <c r="NFD37" s="79"/>
      <c r="NFE37" s="79"/>
      <c r="NFF37" s="79"/>
      <c r="NFG37" s="79"/>
      <c r="NFH37" s="79"/>
      <c r="NFI37" s="79"/>
      <c r="NFJ37" s="79"/>
      <c r="NFK37" s="79"/>
      <c r="NFL37" s="79"/>
      <c r="NFM37" s="79"/>
      <c r="NFN37" s="79"/>
      <c r="NFO37" s="79"/>
      <c r="NFP37" s="79"/>
      <c r="NFQ37" s="79"/>
      <c r="NFR37" s="79"/>
      <c r="NFS37" s="79"/>
      <c r="NFT37" s="79"/>
      <c r="NFU37" s="79"/>
      <c r="NFV37" s="79"/>
      <c r="NFW37" s="79"/>
      <c r="NFX37" s="79"/>
      <c r="NFY37" s="79"/>
      <c r="NFZ37" s="79"/>
      <c r="NGA37" s="79"/>
      <c r="NGB37" s="79"/>
      <c r="NGC37" s="79"/>
      <c r="NGD37" s="79"/>
      <c r="NGE37" s="79"/>
      <c r="NGF37" s="79"/>
      <c r="NGG37" s="79"/>
      <c r="NGH37" s="79"/>
      <c r="NGI37" s="79"/>
      <c r="NGJ37" s="79"/>
      <c r="NGK37" s="79"/>
      <c r="NGL37" s="79"/>
      <c r="NGM37" s="79"/>
      <c r="NGN37" s="79"/>
      <c r="NGO37" s="79"/>
      <c r="NGP37" s="79"/>
      <c r="NGQ37" s="79"/>
      <c r="NGR37" s="79"/>
      <c r="NGS37" s="79"/>
      <c r="NGT37" s="79"/>
      <c r="NGU37" s="79"/>
      <c r="NGV37" s="79"/>
      <c r="NGW37" s="79"/>
      <c r="NGX37" s="79"/>
      <c r="NGY37" s="79"/>
      <c r="NGZ37" s="79"/>
      <c r="NHA37" s="79"/>
      <c r="NHB37" s="79"/>
      <c r="NHC37" s="79"/>
      <c r="NHD37" s="79"/>
      <c r="NHE37" s="79"/>
      <c r="NHF37" s="79"/>
      <c r="NHG37" s="79"/>
      <c r="NHH37" s="79"/>
      <c r="NHI37" s="79"/>
      <c r="NHJ37" s="79"/>
      <c r="NHK37" s="79"/>
      <c r="NHL37" s="79"/>
      <c r="NHM37" s="79"/>
      <c r="NHN37" s="79"/>
      <c r="NHO37" s="79"/>
      <c r="NHP37" s="79"/>
      <c r="NHQ37" s="79"/>
      <c r="NHR37" s="79"/>
      <c r="NHS37" s="79"/>
      <c r="NHT37" s="79"/>
      <c r="NHU37" s="79"/>
      <c r="NHV37" s="79"/>
      <c r="NHW37" s="79"/>
      <c r="NHX37" s="79"/>
      <c r="NHY37" s="79"/>
      <c r="NHZ37" s="79"/>
      <c r="NIA37" s="79"/>
      <c r="NIB37" s="79"/>
      <c r="NIC37" s="79"/>
      <c r="NID37" s="79"/>
      <c r="NIE37" s="79"/>
      <c r="NIF37" s="79"/>
      <c r="NIG37" s="79"/>
      <c r="NIH37" s="79"/>
      <c r="NII37" s="79"/>
      <c r="NIJ37" s="79"/>
      <c r="NIK37" s="79"/>
      <c r="NIL37" s="79"/>
      <c r="NIM37" s="79"/>
      <c r="NIN37" s="79"/>
      <c r="NIO37" s="79"/>
      <c r="NIP37" s="79"/>
      <c r="NIQ37" s="79"/>
      <c r="NIR37" s="79"/>
      <c r="NIS37" s="79"/>
      <c r="NIT37" s="79"/>
      <c r="NIU37" s="79"/>
      <c r="NIV37" s="79"/>
      <c r="NIW37" s="79"/>
      <c r="NIX37" s="79"/>
      <c r="NIY37" s="79"/>
      <c r="NIZ37" s="79"/>
      <c r="NJA37" s="79"/>
      <c r="NJB37" s="79"/>
      <c r="NJC37" s="79"/>
      <c r="NJD37" s="79"/>
      <c r="NJE37" s="79"/>
      <c r="NJF37" s="79"/>
      <c r="NJG37" s="79"/>
      <c r="NJH37" s="79"/>
      <c r="NJI37" s="79"/>
      <c r="NJJ37" s="79"/>
      <c r="NJK37" s="79"/>
      <c r="NJL37" s="79"/>
      <c r="NJM37" s="79"/>
      <c r="NJN37" s="79"/>
      <c r="NJO37" s="79"/>
      <c r="NJP37" s="79"/>
      <c r="NJQ37" s="79"/>
      <c r="NJR37" s="79"/>
      <c r="NJS37" s="79"/>
      <c r="NJT37" s="79"/>
      <c r="NJU37" s="79"/>
      <c r="NJV37" s="79"/>
      <c r="NJW37" s="79"/>
      <c r="NJX37" s="79"/>
      <c r="NJY37" s="79"/>
      <c r="NJZ37" s="79"/>
      <c r="NKA37" s="79"/>
      <c r="NKB37" s="79"/>
      <c r="NKC37" s="79"/>
      <c r="NKD37" s="79"/>
      <c r="NKE37" s="79"/>
      <c r="NKF37" s="79"/>
      <c r="NKG37" s="79"/>
      <c r="NKH37" s="79"/>
      <c r="NKI37" s="79"/>
      <c r="NKJ37" s="79"/>
      <c r="NKK37" s="79"/>
      <c r="NKL37" s="79"/>
      <c r="NKM37" s="79"/>
      <c r="NKN37" s="79"/>
      <c r="NKO37" s="79"/>
      <c r="NKP37" s="79"/>
      <c r="NKQ37" s="79"/>
      <c r="NKR37" s="79"/>
      <c r="NKS37" s="79"/>
      <c r="NKT37" s="79"/>
      <c r="NKU37" s="79"/>
      <c r="NKV37" s="79"/>
      <c r="NKW37" s="79"/>
      <c r="NKX37" s="79"/>
      <c r="NKY37" s="79"/>
      <c r="NKZ37" s="79"/>
      <c r="NLA37" s="79"/>
      <c r="NLB37" s="79"/>
      <c r="NLC37" s="79"/>
      <c r="NLD37" s="79"/>
      <c r="NLE37" s="79"/>
      <c r="NLF37" s="79"/>
      <c r="NLG37" s="79"/>
      <c r="NLH37" s="79"/>
      <c r="NLI37" s="79"/>
      <c r="NLJ37" s="79"/>
      <c r="NLK37" s="79"/>
      <c r="NLL37" s="79"/>
      <c r="NLM37" s="79"/>
      <c r="NLN37" s="79"/>
      <c r="NLO37" s="79"/>
      <c r="NLP37" s="79"/>
      <c r="NLQ37" s="79"/>
      <c r="NLR37" s="79"/>
      <c r="NLS37" s="79"/>
      <c r="NLT37" s="79"/>
      <c r="NLU37" s="79"/>
      <c r="NLV37" s="79"/>
      <c r="NLW37" s="79"/>
      <c r="NLX37" s="79"/>
      <c r="NLY37" s="79"/>
      <c r="NLZ37" s="79"/>
      <c r="NMA37" s="79"/>
      <c r="NMB37" s="79"/>
      <c r="NMC37" s="79"/>
      <c r="NMD37" s="79"/>
      <c r="NME37" s="79"/>
      <c r="NMF37" s="79"/>
      <c r="NMG37" s="79"/>
      <c r="NMH37" s="79"/>
      <c r="NMI37" s="79"/>
      <c r="NMJ37" s="79"/>
      <c r="NMK37" s="79"/>
      <c r="NML37" s="79"/>
      <c r="NMM37" s="79"/>
      <c r="NMN37" s="79"/>
      <c r="NMO37" s="79"/>
      <c r="NMP37" s="79"/>
      <c r="NMQ37" s="79"/>
      <c r="NMR37" s="79"/>
      <c r="NMS37" s="79"/>
      <c r="NMT37" s="79"/>
      <c r="NMU37" s="79"/>
      <c r="NMV37" s="79"/>
      <c r="NMW37" s="79"/>
      <c r="NMX37" s="79"/>
      <c r="NMY37" s="79"/>
      <c r="NMZ37" s="79"/>
      <c r="NNA37" s="79"/>
      <c r="NNB37" s="79"/>
      <c r="NNC37" s="79"/>
      <c r="NND37" s="79"/>
      <c r="NNE37" s="79"/>
      <c r="NNF37" s="79"/>
      <c r="NNG37" s="79"/>
      <c r="NNH37" s="79"/>
      <c r="NNI37" s="79"/>
      <c r="NNJ37" s="79"/>
      <c r="NNK37" s="79"/>
      <c r="NNL37" s="79"/>
      <c r="NNM37" s="79"/>
      <c r="NNN37" s="79"/>
      <c r="NNO37" s="79"/>
      <c r="NNP37" s="79"/>
      <c r="NNQ37" s="79"/>
      <c r="NNR37" s="79"/>
      <c r="NNS37" s="79"/>
      <c r="NNT37" s="79"/>
      <c r="NNU37" s="79"/>
      <c r="NNV37" s="79"/>
      <c r="NNW37" s="79"/>
      <c r="NNX37" s="79"/>
      <c r="NNY37" s="79"/>
      <c r="NNZ37" s="79"/>
      <c r="NOA37" s="79"/>
      <c r="NOB37" s="79"/>
      <c r="NOC37" s="79"/>
      <c r="NOD37" s="79"/>
      <c r="NOE37" s="79"/>
      <c r="NOF37" s="79"/>
      <c r="NOG37" s="79"/>
      <c r="NOH37" s="79"/>
      <c r="NOI37" s="79"/>
      <c r="NOJ37" s="79"/>
      <c r="NOK37" s="79"/>
      <c r="NOL37" s="79"/>
      <c r="NOM37" s="79"/>
      <c r="NON37" s="79"/>
      <c r="NOO37" s="79"/>
      <c r="NOP37" s="79"/>
      <c r="NOQ37" s="79"/>
      <c r="NOR37" s="79"/>
      <c r="NOS37" s="79"/>
      <c r="NOT37" s="79"/>
      <c r="NOU37" s="79"/>
      <c r="NOV37" s="79"/>
      <c r="NOW37" s="79"/>
      <c r="NOX37" s="79"/>
      <c r="NOY37" s="79"/>
      <c r="NOZ37" s="79"/>
      <c r="NPA37" s="79"/>
      <c r="NPB37" s="79"/>
      <c r="NPC37" s="79"/>
      <c r="NPD37" s="79"/>
      <c r="NPE37" s="79"/>
      <c r="NPF37" s="79"/>
      <c r="NPG37" s="79"/>
      <c r="NPH37" s="79"/>
      <c r="NPI37" s="79"/>
      <c r="NPJ37" s="79"/>
      <c r="NPK37" s="79"/>
      <c r="NPL37" s="79"/>
      <c r="NPM37" s="79"/>
      <c r="NPN37" s="79"/>
      <c r="NPO37" s="79"/>
      <c r="NPP37" s="79"/>
      <c r="NPQ37" s="79"/>
      <c r="NPR37" s="79"/>
      <c r="NPS37" s="79"/>
      <c r="NPT37" s="79"/>
      <c r="NPU37" s="79"/>
      <c r="NPV37" s="79"/>
      <c r="NPW37" s="79"/>
      <c r="NPX37" s="79"/>
      <c r="NPY37" s="79"/>
      <c r="NPZ37" s="79"/>
      <c r="NQA37" s="79"/>
      <c r="NQB37" s="79"/>
      <c r="NQC37" s="79"/>
      <c r="NQD37" s="79"/>
      <c r="NQE37" s="79"/>
      <c r="NQF37" s="79"/>
      <c r="NQG37" s="79"/>
      <c r="NQH37" s="79"/>
      <c r="NQI37" s="79"/>
      <c r="NQJ37" s="79"/>
      <c r="NQK37" s="79"/>
      <c r="NQL37" s="79"/>
      <c r="NQM37" s="79"/>
      <c r="NQN37" s="79"/>
      <c r="NQO37" s="79"/>
      <c r="NQP37" s="79"/>
      <c r="NQQ37" s="79"/>
      <c r="NQR37" s="79"/>
      <c r="NQS37" s="79"/>
      <c r="NQT37" s="79"/>
      <c r="NQU37" s="79"/>
      <c r="NQV37" s="79"/>
      <c r="NQW37" s="79"/>
      <c r="NQX37" s="79"/>
      <c r="NQY37" s="79"/>
      <c r="NQZ37" s="79"/>
      <c r="NRA37" s="79"/>
      <c r="NRB37" s="79"/>
      <c r="NRC37" s="79"/>
      <c r="NRD37" s="79"/>
      <c r="NRE37" s="79"/>
      <c r="NRF37" s="79"/>
      <c r="NRG37" s="79"/>
      <c r="NRH37" s="79"/>
      <c r="NRI37" s="79"/>
      <c r="NRJ37" s="79"/>
      <c r="NRK37" s="79"/>
      <c r="NRL37" s="79"/>
      <c r="NRM37" s="79"/>
      <c r="NRN37" s="79"/>
      <c r="NRO37" s="79"/>
      <c r="NRP37" s="79"/>
      <c r="NRQ37" s="79"/>
      <c r="NRR37" s="79"/>
      <c r="NRS37" s="79"/>
      <c r="NRT37" s="79"/>
      <c r="NRU37" s="79"/>
      <c r="NRV37" s="79"/>
      <c r="NRW37" s="79"/>
      <c r="NRX37" s="79"/>
      <c r="NRY37" s="79"/>
      <c r="NRZ37" s="79"/>
      <c r="NSA37" s="79"/>
      <c r="NSB37" s="79"/>
      <c r="NSC37" s="79"/>
      <c r="NSD37" s="79"/>
      <c r="NSE37" s="79"/>
      <c r="NSF37" s="79"/>
      <c r="NSG37" s="79"/>
      <c r="NSH37" s="79"/>
      <c r="NSI37" s="79"/>
      <c r="NSJ37" s="79"/>
      <c r="NSK37" s="79"/>
      <c r="NSL37" s="79"/>
      <c r="NSM37" s="79"/>
      <c r="NSN37" s="79"/>
      <c r="NSO37" s="79"/>
      <c r="NSP37" s="79"/>
      <c r="NSQ37" s="79"/>
      <c r="NSR37" s="79"/>
      <c r="NSS37" s="79"/>
      <c r="NST37" s="79"/>
      <c r="NSU37" s="79"/>
      <c r="NSV37" s="79"/>
      <c r="NSW37" s="79"/>
      <c r="NSX37" s="79"/>
      <c r="NSY37" s="79"/>
      <c r="NSZ37" s="79"/>
      <c r="NTA37" s="79"/>
      <c r="NTB37" s="79"/>
      <c r="NTC37" s="79"/>
      <c r="NTD37" s="79"/>
      <c r="NTE37" s="79"/>
      <c r="NTF37" s="79"/>
      <c r="NTG37" s="79"/>
      <c r="NTH37" s="79"/>
      <c r="NTI37" s="79"/>
      <c r="NTJ37" s="79"/>
      <c r="NTK37" s="79"/>
      <c r="NTL37" s="79"/>
      <c r="NTM37" s="79"/>
      <c r="NTN37" s="79"/>
      <c r="NTO37" s="79"/>
      <c r="NTP37" s="79"/>
      <c r="NTQ37" s="79"/>
      <c r="NTR37" s="79"/>
      <c r="NTS37" s="79"/>
      <c r="NTT37" s="79"/>
      <c r="NTU37" s="79"/>
      <c r="NTV37" s="79"/>
      <c r="NTW37" s="79"/>
      <c r="NTX37" s="79"/>
      <c r="NTY37" s="79"/>
      <c r="NTZ37" s="79"/>
      <c r="NUA37" s="79"/>
      <c r="NUB37" s="79"/>
      <c r="NUC37" s="79"/>
      <c r="NUD37" s="79"/>
      <c r="NUE37" s="79"/>
      <c r="NUF37" s="79"/>
      <c r="NUG37" s="79"/>
      <c r="NUH37" s="79"/>
      <c r="NUI37" s="79"/>
      <c r="NUJ37" s="79"/>
      <c r="NUK37" s="79"/>
      <c r="NUL37" s="79"/>
      <c r="NUM37" s="79"/>
      <c r="NUN37" s="79"/>
      <c r="NUO37" s="79"/>
      <c r="NUP37" s="79"/>
      <c r="NUQ37" s="79"/>
      <c r="NUR37" s="79"/>
      <c r="NUS37" s="79"/>
      <c r="NUT37" s="79"/>
      <c r="NUU37" s="79"/>
      <c r="NUV37" s="79"/>
      <c r="NUW37" s="79"/>
      <c r="NUX37" s="79"/>
      <c r="NUY37" s="79"/>
      <c r="NUZ37" s="79"/>
      <c r="NVA37" s="79"/>
      <c r="NVB37" s="79"/>
      <c r="NVC37" s="79"/>
      <c r="NVD37" s="79"/>
      <c r="NVE37" s="79"/>
      <c r="NVF37" s="79"/>
      <c r="NVG37" s="79"/>
      <c r="NVH37" s="79"/>
      <c r="NVI37" s="79"/>
      <c r="NVJ37" s="79"/>
      <c r="NVK37" s="79"/>
      <c r="NVL37" s="79"/>
      <c r="NVM37" s="79"/>
      <c r="NVN37" s="79"/>
      <c r="NVO37" s="79"/>
      <c r="NVP37" s="79"/>
      <c r="NVQ37" s="79"/>
      <c r="NVR37" s="79"/>
      <c r="NVS37" s="79"/>
      <c r="NVT37" s="79"/>
      <c r="NVU37" s="79"/>
      <c r="NVV37" s="79"/>
      <c r="NVW37" s="79"/>
      <c r="NVX37" s="79"/>
      <c r="NVY37" s="79"/>
      <c r="NVZ37" s="79"/>
      <c r="NWA37" s="79"/>
      <c r="NWB37" s="79"/>
      <c r="NWC37" s="79"/>
      <c r="NWD37" s="79"/>
      <c r="NWE37" s="79"/>
      <c r="NWF37" s="79"/>
      <c r="NWG37" s="79"/>
      <c r="NWH37" s="79"/>
      <c r="NWI37" s="79"/>
      <c r="NWJ37" s="79"/>
      <c r="NWK37" s="79"/>
      <c r="NWL37" s="79"/>
      <c r="NWM37" s="79"/>
      <c r="NWN37" s="79"/>
      <c r="NWO37" s="79"/>
      <c r="NWP37" s="79"/>
      <c r="NWQ37" s="79"/>
      <c r="NWR37" s="79"/>
      <c r="NWS37" s="79"/>
      <c r="NWT37" s="79"/>
      <c r="NWU37" s="79"/>
      <c r="NWV37" s="79"/>
      <c r="NWW37" s="79"/>
      <c r="NWX37" s="79"/>
      <c r="NWY37" s="79"/>
      <c r="NWZ37" s="79"/>
      <c r="NXA37" s="79"/>
      <c r="NXB37" s="79"/>
      <c r="NXC37" s="79"/>
      <c r="NXD37" s="79"/>
      <c r="NXE37" s="79"/>
      <c r="NXF37" s="79"/>
      <c r="NXG37" s="79"/>
      <c r="NXH37" s="79"/>
      <c r="NXI37" s="79"/>
      <c r="NXJ37" s="79"/>
      <c r="NXK37" s="79"/>
      <c r="NXL37" s="79"/>
      <c r="NXM37" s="79"/>
      <c r="NXN37" s="79"/>
      <c r="NXO37" s="79"/>
      <c r="NXP37" s="79"/>
      <c r="NXQ37" s="79"/>
      <c r="NXR37" s="79"/>
      <c r="NXS37" s="79"/>
      <c r="NXT37" s="79"/>
      <c r="NXU37" s="79"/>
      <c r="NXV37" s="79"/>
      <c r="NXW37" s="79"/>
      <c r="NXX37" s="79"/>
      <c r="NXY37" s="79"/>
      <c r="NXZ37" s="79"/>
      <c r="NYA37" s="79"/>
      <c r="NYB37" s="79"/>
      <c r="NYC37" s="79"/>
      <c r="NYD37" s="79"/>
      <c r="NYE37" s="79"/>
      <c r="NYF37" s="79"/>
      <c r="NYG37" s="79"/>
      <c r="NYH37" s="79"/>
      <c r="NYI37" s="79"/>
      <c r="NYJ37" s="79"/>
      <c r="NYK37" s="79"/>
      <c r="NYL37" s="79"/>
      <c r="NYM37" s="79"/>
      <c r="NYN37" s="79"/>
      <c r="NYO37" s="79"/>
      <c r="NYP37" s="79"/>
      <c r="NYQ37" s="79"/>
      <c r="NYR37" s="79"/>
      <c r="NYS37" s="79"/>
      <c r="NYT37" s="79"/>
      <c r="NYU37" s="79"/>
      <c r="NYV37" s="79"/>
      <c r="NYW37" s="79"/>
      <c r="NYX37" s="79"/>
      <c r="NYY37" s="79"/>
      <c r="NYZ37" s="79"/>
      <c r="NZA37" s="79"/>
      <c r="NZB37" s="79"/>
      <c r="NZC37" s="79"/>
      <c r="NZD37" s="79"/>
      <c r="NZE37" s="79"/>
      <c r="NZF37" s="79"/>
      <c r="NZG37" s="79"/>
      <c r="NZH37" s="79"/>
      <c r="NZI37" s="79"/>
      <c r="NZJ37" s="79"/>
      <c r="NZK37" s="79"/>
      <c r="NZL37" s="79"/>
      <c r="NZM37" s="79"/>
      <c r="NZN37" s="79"/>
      <c r="NZO37" s="79"/>
      <c r="NZP37" s="79"/>
      <c r="NZQ37" s="79"/>
      <c r="NZR37" s="79"/>
      <c r="NZS37" s="79"/>
      <c r="NZT37" s="79"/>
      <c r="NZU37" s="79"/>
      <c r="NZV37" s="79"/>
      <c r="NZW37" s="79"/>
      <c r="NZX37" s="79"/>
      <c r="NZY37" s="79"/>
      <c r="NZZ37" s="79"/>
      <c r="OAA37" s="79"/>
      <c r="OAB37" s="79"/>
      <c r="OAC37" s="79"/>
      <c r="OAD37" s="79"/>
      <c r="OAE37" s="79"/>
      <c r="OAF37" s="79"/>
      <c r="OAG37" s="79"/>
      <c r="OAH37" s="79"/>
      <c r="OAI37" s="79"/>
      <c r="OAJ37" s="79"/>
      <c r="OAK37" s="79"/>
      <c r="OAL37" s="79"/>
      <c r="OAM37" s="79"/>
      <c r="OAN37" s="79"/>
      <c r="OAO37" s="79"/>
      <c r="OAP37" s="79"/>
      <c r="OAQ37" s="79"/>
      <c r="OAR37" s="79"/>
      <c r="OAS37" s="79"/>
      <c r="OAT37" s="79"/>
      <c r="OAU37" s="79"/>
      <c r="OAV37" s="79"/>
      <c r="OAW37" s="79"/>
      <c r="OAX37" s="79"/>
      <c r="OAY37" s="79"/>
      <c r="OAZ37" s="79"/>
      <c r="OBA37" s="79"/>
      <c r="OBB37" s="79"/>
      <c r="OBC37" s="79"/>
      <c r="OBD37" s="79"/>
      <c r="OBE37" s="79"/>
      <c r="OBF37" s="79"/>
      <c r="OBG37" s="79"/>
      <c r="OBH37" s="79"/>
      <c r="OBI37" s="79"/>
      <c r="OBJ37" s="79"/>
      <c r="OBK37" s="79"/>
      <c r="OBL37" s="79"/>
      <c r="OBM37" s="79"/>
      <c r="OBN37" s="79"/>
      <c r="OBO37" s="79"/>
      <c r="OBP37" s="79"/>
      <c r="OBQ37" s="79"/>
      <c r="OBR37" s="79"/>
      <c r="OBS37" s="79"/>
      <c r="OBT37" s="79"/>
      <c r="OBU37" s="79"/>
      <c r="OBV37" s="79"/>
      <c r="OBW37" s="79"/>
      <c r="OBX37" s="79"/>
      <c r="OBY37" s="79"/>
      <c r="OBZ37" s="79"/>
      <c r="OCA37" s="79"/>
      <c r="OCB37" s="79"/>
      <c r="OCC37" s="79"/>
      <c r="OCD37" s="79"/>
      <c r="OCE37" s="79"/>
      <c r="OCF37" s="79"/>
      <c r="OCG37" s="79"/>
      <c r="OCH37" s="79"/>
      <c r="OCI37" s="79"/>
      <c r="OCJ37" s="79"/>
      <c r="OCK37" s="79"/>
      <c r="OCL37" s="79"/>
      <c r="OCM37" s="79"/>
      <c r="OCN37" s="79"/>
      <c r="OCO37" s="79"/>
      <c r="OCP37" s="79"/>
      <c r="OCQ37" s="79"/>
      <c r="OCR37" s="79"/>
      <c r="OCS37" s="79"/>
      <c r="OCT37" s="79"/>
      <c r="OCU37" s="79"/>
      <c r="OCV37" s="79"/>
      <c r="OCW37" s="79"/>
      <c r="OCX37" s="79"/>
      <c r="OCY37" s="79"/>
      <c r="OCZ37" s="79"/>
      <c r="ODA37" s="79"/>
      <c r="ODB37" s="79"/>
      <c r="ODC37" s="79"/>
      <c r="ODD37" s="79"/>
      <c r="ODE37" s="79"/>
      <c r="ODF37" s="79"/>
      <c r="ODG37" s="79"/>
      <c r="ODH37" s="79"/>
      <c r="ODI37" s="79"/>
      <c r="ODJ37" s="79"/>
      <c r="ODK37" s="79"/>
      <c r="ODL37" s="79"/>
      <c r="ODM37" s="79"/>
      <c r="ODN37" s="79"/>
      <c r="ODO37" s="79"/>
      <c r="ODP37" s="79"/>
      <c r="ODQ37" s="79"/>
      <c r="ODR37" s="79"/>
      <c r="ODS37" s="79"/>
      <c r="ODT37" s="79"/>
      <c r="ODU37" s="79"/>
      <c r="ODV37" s="79"/>
      <c r="ODW37" s="79"/>
      <c r="ODX37" s="79"/>
      <c r="ODY37" s="79"/>
      <c r="ODZ37" s="79"/>
      <c r="OEA37" s="79"/>
      <c r="OEB37" s="79"/>
      <c r="OEC37" s="79"/>
      <c r="OED37" s="79"/>
      <c r="OEE37" s="79"/>
      <c r="OEF37" s="79"/>
      <c r="OEG37" s="79"/>
      <c r="OEH37" s="79"/>
      <c r="OEI37" s="79"/>
      <c r="OEJ37" s="79"/>
      <c r="OEK37" s="79"/>
      <c r="OEL37" s="79"/>
      <c r="OEM37" s="79"/>
      <c r="OEN37" s="79"/>
      <c r="OEO37" s="79"/>
      <c r="OEP37" s="79"/>
      <c r="OEQ37" s="79"/>
      <c r="OER37" s="79"/>
      <c r="OES37" s="79"/>
      <c r="OET37" s="79"/>
      <c r="OEU37" s="79"/>
      <c r="OEV37" s="79"/>
      <c r="OEW37" s="79"/>
      <c r="OEX37" s="79"/>
      <c r="OEY37" s="79"/>
      <c r="OEZ37" s="79"/>
      <c r="OFA37" s="79"/>
      <c r="OFB37" s="79"/>
      <c r="OFC37" s="79"/>
      <c r="OFD37" s="79"/>
      <c r="OFE37" s="79"/>
      <c r="OFF37" s="79"/>
      <c r="OFG37" s="79"/>
      <c r="OFH37" s="79"/>
      <c r="OFI37" s="79"/>
      <c r="OFJ37" s="79"/>
      <c r="OFK37" s="79"/>
      <c r="OFL37" s="79"/>
      <c r="OFM37" s="79"/>
      <c r="OFN37" s="79"/>
      <c r="OFO37" s="79"/>
      <c r="OFP37" s="79"/>
      <c r="OFQ37" s="79"/>
      <c r="OFR37" s="79"/>
      <c r="OFS37" s="79"/>
      <c r="OFT37" s="79"/>
      <c r="OFU37" s="79"/>
      <c r="OFV37" s="79"/>
      <c r="OFW37" s="79"/>
      <c r="OFX37" s="79"/>
      <c r="OFY37" s="79"/>
      <c r="OFZ37" s="79"/>
      <c r="OGA37" s="79"/>
      <c r="OGB37" s="79"/>
      <c r="OGC37" s="79"/>
      <c r="OGD37" s="79"/>
      <c r="OGE37" s="79"/>
      <c r="OGF37" s="79"/>
      <c r="OGG37" s="79"/>
      <c r="OGH37" s="79"/>
      <c r="OGI37" s="79"/>
      <c r="OGJ37" s="79"/>
      <c r="OGK37" s="79"/>
      <c r="OGL37" s="79"/>
      <c r="OGM37" s="79"/>
      <c r="OGN37" s="79"/>
      <c r="OGO37" s="79"/>
      <c r="OGP37" s="79"/>
      <c r="OGQ37" s="79"/>
      <c r="OGR37" s="79"/>
      <c r="OGS37" s="79"/>
      <c r="OGT37" s="79"/>
      <c r="OGU37" s="79"/>
      <c r="OGV37" s="79"/>
      <c r="OGW37" s="79"/>
      <c r="OGX37" s="79"/>
      <c r="OGY37" s="79"/>
      <c r="OGZ37" s="79"/>
      <c r="OHA37" s="79"/>
      <c r="OHB37" s="79"/>
      <c r="OHC37" s="79"/>
      <c r="OHD37" s="79"/>
      <c r="OHE37" s="79"/>
      <c r="OHF37" s="79"/>
      <c r="OHG37" s="79"/>
      <c r="OHH37" s="79"/>
      <c r="OHI37" s="79"/>
      <c r="OHJ37" s="79"/>
      <c r="OHK37" s="79"/>
      <c r="OHL37" s="79"/>
      <c r="OHM37" s="79"/>
      <c r="OHN37" s="79"/>
      <c r="OHO37" s="79"/>
      <c r="OHP37" s="79"/>
      <c r="OHQ37" s="79"/>
      <c r="OHR37" s="79"/>
      <c r="OHS37" s="79"/>
      <c r="OHT37" s="79"/>
      <c r="OHU37" s="79"/>
      <c r="OHV37" s="79"/>
      <c r="OHW37" s="79"/>
      <c r="OHX37" s="79"/>
      <c r="OHY37" s="79"/>
      <c r="OHZ37" s="79"/>
      <c r="OIA37" s="79"/>
      <c r="OIB37" s="79"/>
      <c r="OIC37" s="79"/>
      <c r="OID37" s="79"/>
      <c r="OIE37" s="79"/>
      <c r="OIF37" s="79"/>
      <c r="OIG37" s="79"/>
      <c r="OIH37" s="79"/>
      <c r="OII37" s="79"/>
      <c r="OIJ37" s="79"/>
      <c r="OIK37" s="79"/>
      <c r="OIL37" s="79"/>
      <c r="OIM37" s="79"/>
      <c r="OIN37" s="79"/>
      <c r="OIO37" s="79"/>
      <c r="OIP37" s="79"/>
      <c r="OIQ37" s="79"/>
      <c r="OIR37" s="79"/>
      <c r="OIS37" s="79"/>
      <c r="OIT37" s="79"/>
      <c r="OIU37" s="79"/>
      <c r="OIV37" s="79"/>
      <c r="OIW37" s="79"/>
      <c r="OIX37" s="79"/>
      <c r="OIY37" s="79"/>
      <c r="OIZ37" s="79"/>
      <c r="OJA37" s="79"/>
      <c r="OJB37" s="79"/>
      <c r="OJC37" s="79"/>
      <c r="OJD37" s="79"/>
      <c r="OJE37" s="79"/>
      <c r="OJF37" s="79"/>
      <c r="OJG37" s="79"/>
      <c r="OJH37" s="79"/>
      <c r="OJI37" s="79"/>
      <c r="OJJ37" s="79"/>
      <c r="OJK37" s="79"/>
      <c r="OJL37" s="79"/>
      <c r="OJM37" s="79"/>
      <c r="OJN37" s="79"/>
      <c r="OJO37" s="79"/>
      <c r="OJP37" s="79"/>
      <c r="OJQ37" s="79"/>
      <c r="OJR37" s="79"/>
      <c r="OJS37" s="79"/>
      <c r="OJT37" s="79"/>
      <c r="OJU37" s="79"/>
      <c r="OJV37" s="79"/>
      <c r="OJW37" s="79"/>
      <c r="OJX37" s="79"/>
      <c r="OJY37" s="79"/>
      <c r="OJZ37" s="79"/>
      <c r="OKA37" s="79"/>
      <c r="OKB37" s="79"/>
      <c r="OKC37" s="79"/>
      <c r="OKD37" s="79"/>
      <c r="OKE37" s="79"/>
      <c r="OKF37" s="79"/>
      <c r="OKG37" s="79"/>
      <c r="OKH37" s="79"/>
      <c r="OKI37" s="79"/>
      <c r="OKJ37" s="79"/>
      <c r="OKK37" s="79"/>
      <c r="OKL37" s="79"/>
      <c r="OKM37" s="79"/>
      <c r="OKN37" s="79"/>
      <c r="OKO37" s="79"/>
      <c r="OKP37" s="79"/>
      <c r="OKQ37" s="79"/>
      <c r="OKR37" s="79"/>
      <c r="OKS37" s="79"/>
      <c r="OKT37" s="79"/>
      <c r="OKU37" s="79"/>
      <c r="OKV37" s="79"/>
      <c r="OKW37" s="79"/>
      <c r="OKX37" s="79"/>
      <c r="OKY37" s="79"/>
      <c r="OKZ37" s="79"/>
      <c r="OLA37" s="79"/>
      <c r="OLB37" s="79"/>
      <c r="OLC37" s="79"/>
      <c r="OLD37" s="79"/>
      <c r="OLE37" s="79"/>
      <c r="OLF37" s="79"/>
      <c r="OLG37" s="79"/>
      <c r="OLH37" s="79"/>
      <c r="OLI37" s="79"/>
      <c r="OLJ37" s="79"/>
      <c r="OLK37" s="79"/>
      <c r="OLL37" s="79"/>
      <c r="OLM37" s="79"/>
      <c r="OLN37" s="79"/>
      <c r="OLO37" s="79"/>
      <c r="OLP37" s="79"/>
      <c r="OLQ37" s="79"/>
      <c r="OLR37" s="79"/>
      <c r="OLS37" s="79"/>
      <c r="OLT37" s="79"/>
      <c r="OLU37" s="79"/>
      <c r="OLV37" s="79"/>
      <c r="OLW37" s="79"/>
      <c r="OLX37" s="79"/>
      <c r="OLY37" s="79"/>
      <c r="OLZ37" s="79"/>
      <c r="OMA37" s="79"/>
      <c r="OMB37" s="79"/>
      <c r="OMC37" s="79"/>
      <c r="OMD37" s="79"/>
      <c r="OME37" s="79"/>
      <c r="OMF37" s="79"/>
      <c r="OMG37" s="79"/>
      <c r="OMH37" s="79"/>
      <c r="OMI37" s="79"/>
      <c r="OMJ37" s="79"/>
      <c r="OMK37" s="79"/>
      <c r="OML37" s="79"/>
      <c r="OMM37" s="79"/>
      <c r="OMN37" s="79"/>
      <c r="OMO37" s="79"/>
      <c r="OMP37" s="79"/>
      <c r="OMQ37" s="79"/>
      <c r="OMR37" s="79"/>
      <c r="OMS37" s="79"/>
      <c r="OMT37" s="79"/>
      <c r="OMU37" s="79"/>
      <c r="OMV37" s="79"/>
      <c r="OMW37" s="79"/>
      <c r="OMX37" s="79"/>
      <c r="OMY37" s="79"/>
      <c r="OMZ37" s="79"/>
      <c r="ONA37" s="79"/>
      <c r="ONB37" s="79"/>
      <c r="ONC37" s="79"/>
      <c r="OND37" s="79"/>
      <c r="ONE37" s="79"/>
      <c r="ONF37" s="79"/>
      <c r="ONG37" s="79"/>
      <c r="ONH37" s="79"/>
      <c r="ONI37" s="79"/>
      <c r="ONJ37" s="79"/>
      <c r="ONK37" s="79"/>
      <c r="ONL37" s="79"/>
      <c r="ONM37" s="79"/>
      <c r="ONN37" s="79"/>
      <c r="ONO37" s="79"/>
      <c r="ONP37" s="79"/>
      <c r="ONQ37" s="79"/>
      <c r="ONR37" s="79"/>
      <c r="ONS37" s="79"/>
      <c r="ONT37" s="79"/>
      <c r="ONU37" s="79"/>
      <c r="ONV37" s="79"/>
      <c r="ONW37" s="79"/>
      <c r="ONX37" s="79"/>
      <c r="ONY37" s="79"/>
      <c r="ONZ37" s="79"/>
      <c r="OOA37" s="79"/>
      <c r="OOB37" s="79"/>
      <c r="OOC37" s="79"/>
      <c r="OOD37" s="79"/>
      <c r="OOE37" s="79"/>
      <c r="OOF37" s="79"/>
      <c r="OOG37" s="79"/>
      <c r="OOH37" s="79"/>
      <c r="OOI37" s="79"/>
      <c r="OOJ37" s="79"/>
      <c r="OOK37" s="79"/>
      <c r="OOL37" s="79"/>
      <c r="OOM37" s="79"/>
      <c r="OON37" s="79"/>
      <c r="OOO37" s="79"/>
      <c r="OOP37" s="79"/>
      <c r="OOQ37" s="79"/>
      <c r="OOR37" s="79"/>
      <c r="OOS37" s="79"/>
      <c r="OOT37" s="79"/>
      <c r="OOU37" s="79"/>
      <c r="OOV37" s="79"/>
      <c r="OOW37" s="79"/>
      <c r="OOX37" s="79"/>
      <c r="OOY37" s="79"/>
      <c r="OOZ37" s="79"/>
      <c r="OPA37" s="79"/>
      <c r="OPB37" s="79"/>
      <c r="OPC37" s="79"/>
      <c r="OPD37" s="79"/>
      <c r="OPE37" s="79"/>
      <c r="OPF37" s="79"/>
      <c r="OPG37" s="79"/>
      <c r="OPH37" s="79"/>
      <c r="OPI37" s="79"/>
      <c r="OPJ37" s="79"/>
      <c r="OPK37" s="79"/>
      <c r="OPL37" s="79"/>
      <c r="OPM37" s="79"/>
      <c r="OPN37" s="79"/>
      <c r="OPO37" s="79"/>
      <c r="OPP37" s="79"/>
      <c r="OPQ37" s="79"/>
      <c r="OPR37" s="79"/>
      <c r="OPS37" s="79"/>
      <c r="OPT37" s="79"/>
      <c r="OPU37" s="79"/>
      <c r="OPV37" s="79"/>
      <c r="OPW37" s="79"/>
      <c r="OPX37" s="79"/>
      <c r="OPY37" s="79"/>
      <c r="OPZ37" s="79"/>
      <c r="OQA37" s="79"/>
      <c r="OQB37" s="79"/>
      <c r="OQC37" s="79"/>
      <c r="OQD37" s="79"/>
      <c r="OQE37" s="79"/>
      <c r="OQF37" s="79"/>
      <c r="OQG37" s="79"/>
      <c r="OQH37" s="79"/>
      <c r="OQI37" s="79"/>
      <c r="OQJ37" s="79"/>
      <c r="OQK37" s="79"/>
      <c r="OQL37" s="79"/>
      <c r="OQM37" s="79"/>
      <c r="OQN37" s="79"/>
      <c r="OQO37" s="79"/>
      <c r="OQP37" s="79"/>
      <c r="OQQ37" s="79"/>
      <c r="OQR37" s="79"/>
      <c r="OQS37" s="79"/>
      <c r="OQT37" s="79"/>
      <c r="OQU37" s="79"/>
      <c r="OQV37" s="79"/>
      <c r="OQW37" s="79"/>
      <c r="OQX37" s="79"/>
      <c r="OQY37" s="79"/>
      <c r="OQZ37" s="79"/>
      <c r="ORA37" s="79"/>
      <c r="ORB37" s="79"/>
      <c r="ORC37" s="79"/>
      <c r="ORD37" s="79"/>
      <c r="ORE37" s="79"/>
      <c r="ORF37" s="79"/>
      <c r="ORG37" s="79"/>
      <c r="ORH37" s="79"/>
      <c r="ORI37" s="79"/>
      <c r="ORJ37" s="79"/>
      <c r="ORK37" s="79"/>
      <c r="ORL37" s="79"/>
      <c r="ORM37" s="79"/>
      <c r="ORN37" s="79"/>
      <c r="ORO37" s="79"/>
      <c r="ORP37" s="79"/>
      <c r="ORQ37" s="79"/>
      <c r="ORR37" s="79"/>
      <c r="ORS37" s="79"/>
      <c r="ORT37" s="79"/>
      <c r="ORU37" s="79"/>
      <c r="ORV37" s="79"/>
      <c r="ORW37" s="79"/>
      <c r="ORX37" s="79"/>
      <c r="ORY37" s="79"/>
      <c r="ORZ37" s="79"/>
      <c r="OSA37" s="79"/>
      <c r="OSB37" s="79"/>
      <c r="OSC37" s="79"/>
      <c r="OSD37" s="79"/>
      <c r="OSE37" s="79"/>
      <c r="OSF37" s="79"/>
      <c r="OSG37" s="79"/>
      <c r="OSH37" s="79"/>
      <c r="OSI37" s="79"/>
      <c r="OSJ37" s="79"/>
      <c r="OSK37" s="79"/>
      <c r="OSL37" s="79"/>
      <c r="OSM37" s="79"/>
      <c r="OSN37" s="79"/>
      <c r="OSO37" s="79"/>
      <c r="OSP37" s="79"/>
      <c r="OSQ37" s="79"/>
      <c r="OSR37" s="79"/>
      <c r="OSS37" s="79"/>
      <c r="OST37" s="79"/>
      <c r="OSU37" s="79"/>
      <c r="OSV37" s="79"/>
      <c r="OSW37" s="79"/>
      <c r="OSX37" s="79"/>
      <c r="OSY37" s="79"/>
      <c r="OSZ37" s="79"/>
      <c r="OTA37" s="79"/>
      <c r="OTB37" s="79"/>
      <c r="OTC37" s="79"/>
      <c r="OTD37" s="79"/>
      <c r="OTE37" s="79"/>
      <c r="OTF37" s="79"/>
      <c r="OTG37" s="79"/>
      <c r="OTH37" s="79"/>
      <c r="OTI37" s="79"/>
      <c r="OTJ37" s="79"/>
      <c r="OTK37" s="79"/>
      <c r="OTL37" s="79"/>
      <c r="OTM37" s="79"/>
      <c r="OTN37" s="79"/>
      <c r="OTO37" s="79"/>
      <c r="OTP37" s="79"/>
      <c r="OTQ37" s="79"/>
      <c r="OTR37" s="79"/>
      <c r="OTS37" s="79"/>
      <c r="OTT37" s="79"/>
      <c r="OTU37" s="79"/>
      <c r="OTV37" s="79"/>
      <c r="OTW37" s="79"/>
      <c r="OTX37" s="79"/>
      <c r="OTY37" s="79"/>
      <c r="OTZ37" s="79"/>
      <c r="OUA37" s="79"/>
      <c r="OUB37" s="79"/>
      <c r="OUC37" s="79"/>
      <c r="OUD37" s="79"/>
      <c r="OUE37" s="79"/>
      <c r="OUF37" s="79"/>
      <c r="OUG37" s="79"/>
      <c r="OUH37" s="79"/>
      <c r="OUI37" s="79"/>
      <c r="OUJ37" s="79"/>
      <c r="OUK37" s="79"/>
      <c r="OUL37" s="79"/>
      <c r="OUM37" s="79"/>
      <c r="OUN37" s="79"/>
      <c r="OUO37" s="79"/>
      <c r="OUP37" s="79"/>
      <c r="OUQ37" s="79"/>
      <c r="OUR37" s="79"/>
      <c r="OUS37" s="79"/>
      <c r="OUT37" s="79"/>
      <c r="OUU37" s="79"/>
      <c r="OUV37" s="79"/>
      <c r="OUW37" s="79"/>
      <c r="OUX37" s="79"/>
      <c r="OUY37" s="79"/>
      <c r="OUZ37" s="79"/>
      <c r="OVA37" s="79"/>
      <c r="OVB37" s="79"/>
      <c r="OVC37" s="79"/>
      <c r="OVD37" s="79"/>
      <c r="OVE37" s="79"/>
      <c r="OVF37" s="79"/>
      <c r="OVG37" s="79"/>
      <c r="OVH37" s="79"/>
      <c r="OVI37" s="79"/>
      <c r="OVJ37" s="79"/>
      <c r="OVK37" s="79"/>
      <c r="OVL37" s="79"/>
      <c r="OVM37" s="79"/>
      <c r="OVN37" s="79"/>
      <c r="OVO37" s="79"/>
      <c r="OVP37" s="79"/>
      <c r="OVQ37" s="79"/>
      <c r="OVR37" s="79"/>
      <c r="OVS37" s="79"/>
      <c r="OVT37" s="79"/>
      <c r="OVU37" s="79"/>
      <c r="OVV37" s="79"/>
      <c r="OVW37" s="79"/>
      <c r="OVX37" s="79"/>
      <c r="OVY37" s="79"/>
      <c r="OVZ37" s="79"/>
      <c r="OWA37" s="79"/>
      <c r="OWB37" s="79"/>
      <c r="OWC37" s="79"/>
      <c r="OWD37" s="79"/>
      <c r="OWE37" s="79"/>
      <c r="OWF37" s="79"/>
      <c r="OWG37" s="79"/>
      <c r="OWH37" s="79"/>
      <c r="OWI37" s="79"/>
      <c r="OWJ37" s="79"/>
      <c r="OWK37" s="79"/>
      <c r="OWL37" s="79"/>
      <c r="OWM37" s="79"/>
      <c r="OWN37" s="79"/>
      <c r="OWO37" s="79"/>
      <c r="OWP37" s="79"/>
      <c r="OWQ37" s="79"/>
      <c r="OWR37" s="79"/>
      <c r="OWS37" s="79"/>
      <c r="OWT37" s="79"/>
      <c r="OWU37" s="79"/>
      <c r="OWV37" s="79"/>
      <c r="OWW37" s="79"/>
      <c r="OWX37" s="79"/>
      <c r="OWY37" s="79"/>
      <c r="OWZ37" s="79"/>
      <c r="OXA37" s="79"/>
      <c r="OXB37" s="79"/>
      <c r="OXC37" s="79"/>
      <c r="OXD37" s="79"/>
      <c r="OXE37" s="79"/>
      <c r="OXF37" s="79"/>
      <c r="OXG37" s="79"/>
      <c r="OXH37" s="79"/>
      <c r="OXI37" s="79"/>
      <c r="OXJ37" s="79"/>
      <c r="OXK37" s="79"/>
      <c r="OXL37" s="79"/>
      <c r="OXM37" s="79"/>
      <c r="OXN37" s="79"/>
      <c r="OXO37" s="79"/>
      <c r="OXP37" s="79"/>
      <c r="OXQ37" s="79"/>
      <c r="OXR37" s="79"/>
      <c r="OXS37" s="79"/>
      <c r="OXT37" s="79"/>
      <c r="OXU37" s="79"/>
      <c r="OXV37" s="79"/>
      <c r="OXW37" s="79"/>
      <c r="OXX37" s="79"/>
      <c r="OXY37" s="79"/>
      <c r="OXZ37" s="79"/>
      <c r="OYA37" s="79"/>
      <c r="OYB37" s="79"/>
      <c r="OYC37" s="79"/>
      <c r="OYD37" s="79"/>
      <c r="OYE37" s="79"/>
      <c r="OYF37" s="79"/>
      <c r="OYG37" s="79"/>
      <c r="OYH37" s="79"/>
      <c r="OYI37" s="79"/>
      <c r="OYJ37" s="79"/>
      <c r="OYK37" s="79"/>
      <c r="OYL37" s="79"/>
      <c r="OYM37" s="79"/>
      <c r="OYN37" s="79"/>
      <c r="OYO37" s="79"/>
      <c r="OYP37" s="79"/>
      <c r="OYQ37" s="79"/>
      <c r="OYR37" s="79"/>
      <c r="OYS37" s="79"/>
      <c r="OYT37" s="79"/>
      <c r="OYU37" s="79"/>
      <c r="OYV37" s="79"/>
      <c r="OYW37" s="79"/>
      <c r="OYX37" s="79"/>
      <c r="OYY37" s="79"/>
      <c r="OYZ37" s="79"/>
      <c r="OZA37" s="79"/>
      <c r="OZB37" s="79"/>
      <c r="OZC37" s="79"/>
      <c r="OZD37" s="79"/>
      <c r="OZE37" s="79"/>
      <c r="OZF37" s="79"/>
      <c r="OZG37" s="79"/>
      <c r="OZH37" s="79"/>
      <c r="OZI37" s="79"/>
      <c r="OZJ37" s="79"/>
      <c r="OZK37" s="79"/>
      <c r="OZL37" s="79"/>
      <c r="OZM37" s="79"/>
      <c r="OZN37" s="79"/>
      <c r="OZO37" s="79"/>
      <c r="OZP37" s="79"/>
      <c r="OZQ37" s="79"/>
      <c r="OZR37" s="79"/>
      <c r="OZS37" s="79"/>
      <c r="OZT37" s="79"/>
      <c r="OZU37" s="79"/>
      <c r="OZV37" s="79"/>
      <c r="OZW37" s="79"/>
      <c r="OZX37" s="79"/>
      <c r="OZY37" s="79"/>
      <c r="OZZ37" s="79"/>
      <c r="PAA37" s="79"/>
      <c r="PAB37" s="79"/>
      <c r="PAC37" s="79"/>
      <c r="PAD37" s="79"/>
      <c r="PAE37" s="79"/>
      <c r="PAF37" s="79"/>
      <c r="PAG37" s="79"/>
      <c r="PAH37" s="79"/>
      <c r="PAI37" s="79"/>
      <c r="PAJ37" s="79"/>
      <c r="PAK37" s="79"/>
      <c r="PAL37" s="79"/>
      <c r="PAM37" s="79"/>
      <c r="PAN37" s="79"/>
      <c r="PAO37" s="79"/>
      <c r="PAP37" s="79"/>
      <c r="PAQ37" s="79"/>
      <c r="PAR37" s="79"/>
      <c r="PAS37" s="79"/>
      <c r="PAT37" s="79"/>
      <c r="PAU37" s="79"/>
      <c r="PAV37" s="79"/>
      <c r="PAW37" s="79"/>
      <c r="PAX37" s="79"/>
      <c r="PAY37" s="79"/>
      <c r="PAZ37" s="79"/>
      <c r="PBA37" s="79"/>
      <c r="PBB37" s="79"/>
      <c r="PBC37" s="79"/>
      <c r="PBD37" s="79"/>
      <c r="PBE37" s="79"/>
      <c r="PBF37" s="79"/>
      <c r="PBG37" s="79"/>
      <c r="PBH37" s="79"/>
      <c r="PBI37" s="79"/>
      <c r="PBJ37" s="79"/>
      <c r="PBK37" s="79"/>
      <c r="PBL37" s="79"/>
      <c r="PBM37" s="79"/>
      <c r="PBN37" s="79"/>
      <c r="PBO37" s="79"/>
      <c r="PBP37" s="79"/>
      <c r="PBQ37" s="79"/>
      <c r="PBR37" s="79"/>
      <c r="PBS37" s="79"/>
      <c r="PBT37" s="79"/>
      <c r="PBU37" s="79"/>
      <c r="PBV37" s="79"/>
      <c r="PBW37" s="79"/>
      <c r="PBX37" s="79"/>
      <c r="PBY37" s="79"/>
      <c r="PBZ37" s="79"/>
      <c r="PCA37" s="79"/>
      <c r="PCB37" s="79"/>
      <c r="PCC37" s="79"/>
      <c r="PCD37" s="79"/>
      <c r="PCE37" s="79"/>
      <c r="PCF37" s="79"/>
      <c r="PCG37" s="79"/>
      <c r="PCH37" s="79"/>
      <c r="PCI37" s="79"/>
      <c r="PCJ37" s="79"/>
      <c r="PCK37" s="79"/>
      <c r="PCL37" s="79"/>
      <c r="PCM37" s="79"/>
      <c r="PCN37" s="79"/>
      <c r="PCO37" s="79"/>
      <c r="PCP37" s="79"/>
      <c r="PCQ37" s="79"/>
      <c r="PCR37" s="79"/>
      <c r="PCS37" s="79"/>
      <c r="PCT37" s="79"/>
      <c r="PCU37" s="79"/>
      <c r="PCV37" s="79"/>
      <c r="PCW37" s="79"/>
      <c r="PCX37" s="79"/>
      <c r="PCY37" s="79"/>
      <c r="PCZ37" s="79"/>
      <c r="PDA37" s="79"/>
      <c r="PDB37" s="79"/>
      <c r="PDC37" s="79"/>
      <c r="PDD37" s="79"/>
      <c r="PDE37" s="79"/>
      <c r="PDF37" s="79"/>
      <c r="PDG37" s="79"/>
      <c r="PDH37" s="79"/>
      <c r="PDI37" s="79"/>
      <c r="PDJ37" s="79"/>
      <c r="PDK37" s="79"/>
      <c r="PDL37" s="79"/>
      <c r="PDM37" s="79"/>
      <c r="PDN37" s="79"/>
      <c r="PDO37" s="79"/>
      <c r="PDP37" s="79"/>
      <c r="PDQ37" s="79"/>
      <c r="PDR37" s="79"/>
      <c r="PDS37" s="79"/>
      <c r="PDT37" s="79"/>
      <c r="PDU37" s="79"/>
      <c r="PDV37" s="79"/>
      <c r="PDW37" s="79"/>
      <c r="PDX37" s="79"/>
      <c r="PDY37" s="79"/>
      <c r="PDZ37" s="79"/>
      <c r="PEA37" s="79"/>
      <c r="PEB37" s="79"/>
      <c r="PEC37" s="79"/>
      <c r="PED37" s="79"/>
      <c r="PEE37" s="79"/>
      <c r="PEF37" s="79"/>
      <c r="PEG37" s="79"/>
      <c r="PEH37" s="79"/>
      <c r="PEI37" s="79"/>
      <c r="PEJ37" s="79"/>
      <c r="PEK37" s="79"/>
      <c r="PEL37" s="79"/>
      <c r="PEM37" s="79"/>
      <c r="PEN37" s="79"/>
      <c r="PEO37" s="79"/>
      <c r="PEP37" s="79"/>
      <c r="PEQ37" s="79"/>
      <c r="PER37" s="79"/>
      <c r="PES37" s="79"/>
      <c r="PET37" s="79"/>
      <c r="PEU37" s="79"/>
      <c r="PEV37" s="79"/>
      <c r="PEW37" s="79"/>
      <c r="PEX37" s="79"/>
      <c r="PEY37" s="79"/>
      <c r="PEZ37" s="79"/>
      <c r="PFA37" s="79"/>
      <c r="PFB37" s="79"/>
      <c r="PFC37" s="79"/>
      <c r="PFD37" s="79"/>
      <c r="PFE37" s="79"/>
      <c r="PFF37" s="79"/>
      <c r="PFG37" s="79"/>
      <c r="PFH37" s="79"/>
      <c r="PFI37" s="79"/>
      <c r="PFJ37" s="79"/>
      <c r="PFK37" s="79"/>
      <c r="PFL37" s="79"/>
      <c r="PFM37" s="79"/>
      <c r="PFN37" s="79"/>
      <c r="PFO37" s="79"/>
      <c r="PFP37" s="79"/>
      <c r="PFQ37" s="79"/>
      <c r="PFR37" s="79"/>
      <c r="PFS37" s="79"/>
      <c r="PFT37" s="79"/>
      <c r="PFU37" s="79"/>
      <c r="PFV37" s="79"/>
      <c r="PFW37" s="79"/>
      <c r="PFX37" s="79"/>
      <c r="PFY37" s="79"/>
      <c r="PFZ37" s="79"/>
      <c r="PGA37" s="79"/>
      <c r="PGB37" s="79"/>
      <c r="PGC37" s="79"/>
      <c r="PGD37" s="79"/>
      <c r="PGE37" s="79"/>
      <c r="PGF37" s="79"/>
      <c r="PGG37" s="79"/>
      <c r="PGH37" s="79"/>
      <c r="PGI37" s="79"/>
      <c r="PGJ37" s="79"/>
      <c r="PGK37" s="79"/>
      <c r="PGL37" s="79"/>
      <c r="PGM37" s="79"/>
      <c r="PGN37" s="79"/>
      <c r="PGO37" s="79"/>
      <c r="PGP37" s="79"/>
      <c r="PGQ37" s="79"/>
      <c r="PGR37" s="79"/>
      <c r="PGS37" s="79"/>
      <c r="PGT37" s="79"/>
      <c r="PGU37" s="79"/>
      <c r="PGV37" s="79"/>
      <c r="PGW37" s="79"/>
      <c r="PGX37" s="79"/>
      <c r="PGY37" s="79"/>
      <c r="PGZ37" s="79"/>
      <c r="PHA37" s="79"/>
      <c r="PHB37" s="79"/>
      <c r="PHC37" s="79"/>
      <c r="PHD37" s="79"/>
      <c r="PHE37" s="79"/>
      <c r="PHF37" s="79"/>
      <c r="PHG37" s="79"/>
      <c r="PHH37" s="79"/>
      <c r="PHI37" s="79"/>
      <c r="PHJ37" s="79"/>
      <c r="PHK37" s="79"/>
      <c r="PHL37" s="79"/>
      <c r="PHM37" s="79"/>
      <c r="PHN37" s="79"/>
      <c r="PHO37" s="79"/>
      <c r="PHP37" s="79"/>
      <c r="PHQ37" s="79"/>
      <c r="PHR37" s="79"/>
      <c r="PHS37" s="79"/>
      <c r="PHT37" s="79"/>
      <c r="PHU37" s="79"/>
      <c r="PHV37" s="79"/>
      <c r="PHW37" s="79"/>
      <c r="PHX37" s="79"/>
      <c r="PHY37" s="79"/>
      <c r="PHZ37" s="79"/>
      <c r="PIA37" s="79"/>
      <c r="PIB37" s="79"/>
      <c r="PIC37" s="79"/>
      <c r="PID37" s="79"/>
      <c r="PIE37" s="79"/>
      <c r="PIF37" s="79"/>
      <c r="PIG37" s="79"/>
      <c r="PIH37" s="79"/>
      <c r="PII37" s="79"/>
      <c r="PIJ37" s="79"/>
      <c r="PIK37" s="79"/>
      <c r="PIL37" s="79"/>
      <c r="PIM37" s="79"/>
      <c r="PIN37" s="79"/>
      <c r="PIO37" s="79"/>
      <c r="PIP37" s="79"/>
      <c r="PIQ37" s="79"/>
      <c r="PIR37" s="79"/>
      <c r="PIS37" s="79"/>
      <c r="PIT37" s="79"/>
      <c r="PIU37" s="79"/>
      <c r="PIV37" s="79"/>
      <c r="PIW37" s="79"/>
      <c r="PIX37" s="79"/>
      <c r="PIY37" s="79"/>
      <c r="PIZ37" s="79"/>
      <c r="PJA37" s="79"/>
      <c r="PJB37" s="79"/>
      <c r="PJC37" s="79"/>
      <c r="PJD37" s="79"/>
      <c r="PJE37" s="79"/>
      <c r="PJF37" s="79"/>
      <c r="PJG37" s="79"/>
      <c r="PJH37" s="79"/>
      <c r="PJI37" s="79"/>
      <c r="PJJ37" s="79"/>
      <c r="PJK37" s="79"/>
      <c r="PJL37" s="79"/>
      <c r="PJM37" s="79"/>
      <c r="PJN37" s="79"/>
      <c r="PJO37" s="79"/>
      <c r="PJP37" s="79"/>
      <c r="PJQ37" s="79"/>
      <c r="PJR37" s="79"/>
      <c r="PJS37" s="79"/>
      <c r="PJT37" s="79"/>
      <c r="PJU37" s="79"/>
      <c r="PJV37" s="79"/>
      <c r="PJW37" s="79"/>
      <c r="PJX37" s="79"/>
      <c r="PJY37" s="79"/>
      <c r="PJZ37" s="79"/>
      <c r="PKA37" s="79"/>
      <c r="PKB37" s="79"/>
      <c r="PKC37" s="79"/>
      <c r="PKD37" s="79"/>
      <c r="PKE37" s="79"/>
      <c r="PKF37" s="79"/>
      <c r="PKG37" s="79"/>
      <c r="PKH37" s="79"/>
      <c r="PKI37" s="79"/>
      <c r="PKJ37" s="79"/>
      <c r="PKK37" s="79"/>
      <c r="PKL37" s="79"/>
      <c r="PKM37" s="79"/>
      <c r="PKN37" s="79"/>
      <c r="PKO37" s="79"/>
      <c r="PKP37" s="79"/>
      <c r="PKQ37" s="79"/>
      <c r="PKR37" s="79"/>
      <c r="PKS37" s="79"/>
      <c r="PKT37" s="79"/>
      <c r="PKU37" s="79"/>
      <c r="PKV37" s="79"/>
      <c r="PKW37" s="79"/>
      <c r="PKX37" s="79"/>
      <c r="PKY37" s="79"/>
      <c r="PKZ37" s="79"/>
      <c r="PLA37" s="79"/>
      <c r="PLB37" s="79"/>
      <c r="PLC37" s="79"/>
      <c r="PLD37" s="79"/>
      <c r="PLE37" s="79"/>
      <c r="PLF37" s="79"/>
      <c r="PLG37" s="79"/>
      <c r="PLH37" s="79"/>
      <c r="PLI37" s="79"/>
      <c r="PLJ37" s="79"/>
      <c r="PLK37" s="79"/>
      <c r="PLL37" s="79"/>
      <c r="PLM37" s="79"/>
      <c r="PLN37" s="79"/>
      <c r="PLO37" s="79"/>
      <c r="PLP37" s="79"/>
      <c r="PLQ37" s="79"/>
      <c r="PLR37" s="79"/>
      <c r="PLS37" s="79"/>
      <c r="PLT37" s="79"/>
      <c r="PLU37" s="79"/>
      <c r="PLV37" s="79"/>
      <c r="PLW37" s="79"/>
      <c r="PLX37" s="79"/>
      <c r="PLY37" s="79"/>
      <c r="PLZ37" s="79"/>
      <c r="PMA37" s="79"/>
      <c r="PMB37" s="79"/>
      <c r="PMC37" s="79"/>
      <c r="PMD37" s="79"/>
      <c r="PME37" s="79"/>
      <c r="PMF37" s="79"/>
      <c r="PMG37" s="79"/>
      <c r="PMH37" s="79"/>
      <c r="PMI37" s="79"/>
      <c r="PMJ37" s="79"/>
      <c r="PMK37" s="79"/>
      <c r="PML37" s="79"/>
      <c r="PMM37" s="79"/>
      <c r="PMN37" s="79"/>
      <c r="PMO37" s="79"/>
      <c r="PMP37" s="79"/>
      <c r="PMQ37" s="79"/>
      <c r="PMR37" s="79"/>
      <c r="PMS37" s="79"/>
      <c r="PMT37" s="79"/>
      <c r="PMU37" s="79"/>
      <c r="PMV37" s="79"/>
      <c r="PMW37" s="79"/>
      <c r="PMX37" s="79"/>
      <c r="PMY37" s="79"/>
      <c r="PMZ37" s="79"/>
      <c r="PNA37" s="79"/>
      <c r="PNB37" s="79"/>
      <c r="PNC37" s="79"/>
      <c r="PND37" s="79"/>
      <c r="PNE37" s="79"/>
      <c r="PNF37" s="79"/>
      <c r="PNG37" s="79"/>
      <c r="PNH37" s="79"/>
      <c r="PNI37" s="79"/>
      <c r="PNJ37" s="79"/>
      <c r="PNK37" s="79"/>
      <c r="PNL37" s="79"/>
      <c r="PNM37" s="79"/>
      <c r="PNN37" s="79"/>
      <c r="PNO37" s="79"/>
      <c r="PNP37" s="79"/>
      <c r="PNQ37" s="79"/>
      <c r="PNR37" s="79"/>
      <c r="PNS37" s="79"/>
      <c r="PNT37" s="79"/>
      <c r="PNU37" s="79"/>
      <c r="PNV37" s="79"/>
      <c r="PNW37" s="79"/>
      <c r="PNX37" s="79"/>
      <c r="PNY37" s="79"/>
      <c r="PNZ37" s="79"/>
      <c r="POA37" s="79"/>
      <c r="POB37" s="79"/>
      <c r="POC37" s="79"/>
      <c r="POD37" s="79"/>
      <c r="POE37" s="79"/>
      <c r="POF37" s="79"/>
      <c r="POG37" s="79"/>
      <c r="POH37" s="79"/>
      <c r="POI37" s="79"/>
      <c r="POJ37" s="79"/>
      <c r="POK37" s="79"/>
      <c r="POL37" s="79"/>
      <c r="POM37" s="79"/>
      <c r="PON37" s="79"/>
      <c r="POO37" s="79"/>
      <c r="POP37" s="79"/>
      <c r="POQ37" s="79"/>
      <c r="POR37" s="79"/>
      <c r="POS37" s="79"/>
      <c r="POT37" s="79"/>
      <c r="POU37" s="79"/>
      <c r="POV37" s="79"/>
      <c r="POW37" s="79"/>
      <c r="POX37" s="79"/>
      <c r="POY37" s="79"/>
      <c r="POZ37" s="79"/>
      <c r="PPA37" s="79"/>
      <c r="PPB37" s="79"/>
      <c r="PPC37" s="79"/>
      <c r="PPD37" s="79"/>
      <c r="PPE37" s="79"/>
      <c r="PPF37" s="79"/>
      <c r="PPG37" s="79"/>
      <c r="PPH37" s="79"/>
      <c r="PPI37" s="79"/>
      <c r="PPJ37" s="79"/>
      <c r="PPK37" s="79"/>
      <c r="PPL37" s="79"/>
      <c r="PPM37" s="79"/>
      <c r="PPN37" s="79"/>
      <c r="PPO37" s="79"/>
      <c r="PPP37" s="79"/>
      <c r="PPQ37" s="79"/>
      <c r="PPR37" s="79"/>
      <c r="PPS37" s="79"/>
      <c r="PPT37" s="79"/>
      <c r="PPU37" s="79"/>
      <c r="PPV37" s="79"/>
      <c r="PPW37" s="79"/>
      <c r="PPX37" s="79"/>
      <c r="PPY37" s="79"/>
      <c r="PPZ37" s="79"/>
      <c r="PQA37" s="79"/>
      <c r="PQB37" s="79"/>
      <c r="PQC37" s="79"/>
      <c r="PQD37" s="79"/>
      <c r="PQE37" s="79"/>
      <c r="PQF37" s="79"/>
      <c r="PQG37" s="79"/>
      <c r="PQH37" s="79"/>
      <c r="PQI37" s="79"/>
      <c r="PQJ37" s="79"/>
      <c r="PQK37" s="79"/>
      <c r="PQL37" s="79"/>
      <c r="PQM37" s="79"/>
      <c r="PQN37" s="79"/>
      <c r="PQO37" s="79"/>
      <c r="PQP37" s="79"/>
      <c r="PQQ37" s="79"/>
      <c r="PQR37" s="79"/>
      <c r="PQS37" s="79"/>
      <c r="PQT37" s="79"/>
      <c r="PQU37" s="79"/>
      <c r="PQV37" s="79"/>
      <c r="PQW37" s="79"/>
      <c r="PQX37" s="79"/>
      <c r="PQY37" s="79"/>
      <c r="PQZ37" s="79"/>
      <c r="PRA37" s="79"/>
      <c r="PRB37" s="79"/>
      <c r="PRC37" s="79"/>
      <c r="PRD37" s="79"/>
      <c r="PRE37" s="79"/>
      <c r="PRF37" s="79"/>
      <c r="PRG37" s="79"/>
      <c r="PRH37" s="79"/>
      <c r="PRI37" s="79"/>
      <c r="PRJ37" s="79"/>
      <c r="PRK37" s="79"/>
      <c r="PRL37" s="79"/>
      <c r="PRM37" s="79"/>
      <c r="PRN37" s="79"/>
      <c r="PRO37" s="79"/>
      <c r="PRP37" s="79"/>
      <c r="PRQ37" s="79"/>
      <c r="PRR37" s="79"/>
      <c r="PRS37" s="79"/>
      <c r="PRT37" s="79"/>
      <c r="PRU37" s="79"/>
      <c r="PRV37" s="79"/>
      <c r="PRW37" s="79"/>
      <c r="PRX37" s="79"/>
      <c r="PRY37" s="79"/>
      <c r="PRZ37" s="79"/>
      <c r="PSA37" s="79"/>
      <c r="PSB37" s="79"/>
      <c r="PSC37" s="79"/>
      <c r="PSD37" s="79"/>
      <c r="PSE37" s="79"/>
      <c r="PSF37" s="79"/>
      <c r="PSG37" s="79"/>
      <c r="PSH37" s="79"/>
      <c r="PSI37" s="79"/>
      <c r="PSJ37" s="79"/>
      <c r="PSK37" s="79"/>
      <c r="PSL37" s="79"/>
      <c r="PSM37" s="79"/>
      <c r="PSN37" s="79"/>
      <c r="PSO37" s="79"/>
      <c r="PSP37" s="79"/>
      <c r="PSQ37" s="79"/>
      <c r="PSR37" s="79"/>
      <c r="PSS37" s="79"/>
      <c r="PST37" s="79"/>
      <c r="PSU37" s="79"/>
      <c r="PSV37" s="79"/>
      <c r="PSW37" s="79"/>
      <c r="PSX37" s="79"/>
      <c r="PSY37" s="79"/>
      <c r="PSZ37" s="79"/>
      <c r="PTA37" s="79"/>
      <c r="PTB37" s="79"/>
      <c r="PTC37" s="79"/>
      <c r="PTD37" s="79"/>
      <c r="PTE37" s="79"/>
      <c r="PTF37" s="79"/>
      <c r="PTG37" s="79"/>
      <c r="PTH37" s="79"/>
      <c r="PTI37" s="79"/>
      <c r="PTJ37" s="79"/>
      <c r="PTK37" s="79"/>
      <c r="PTL37" s="79"/>
      <c r="PTM37" s="79"/>
      <c r="PTN37" s="79"/>
      <c r="PTO37" s="79"/>
      <c r="PTP37" s="79"/>
      <c r="PTQ37" s="79"/>
      <c r="PTR37" s="79"/>
      <c r="PTS37" s="79"/>
      <c r="PTT37" s="79"/>
      <c r="PTU37" s="79"/>
      <c r="PTV37" s="79"/>
      <c r="PTW37" s="79"/>
      <c r="PTX37" s="79"/>
      <c r="PTY37" s="79"/>
      <c r="PTZ37" s="79"/>
      <c r="PUA37" s="79"/>
      <c r="PUB37" s="79"/>
      <c r="PUC37" s="79"/>
      <c r="PUD37" s="79"/>
      <c r="PUE37" s="79"/>
      <c r="PUF37" s="79"/>
      <c r="PUG37" s="79"/>
      <c r="PUH37" s="79"/>
      <c r="PUI37" s="79"/>
      <c r="PUJ37" s="79"/>
      <c r="PUK37" s="79"/>
      <c r="PUL37" s="79"/>
      <c r="PUM37" s="79"/>
      <c r="PUN37" s="79"/>
      <c r="PUO37" s="79"/>
      <c r="PUP37" s="79"/>
      <c r="PUQ37" s="79"/>
      <c r="PUR37" s="79"/>
      <c r="PUS37" s="79"/>
      <c r="PUT37" s="79"/>
      <c r="PUU37" s="79"/>
      <c r="PUV37" s="79"/>
      <c r="PUW37" s="79"/>
      <c r="PUX37" s="79"/>
      <c r="PUY37" s="79"/>
      <c r="PUZ37" s="79"/>
      <c r="PVA37" s="79"/>
      <c r="PVB37" s="79"/>
      <c r="PVC37" s="79"/>
      <c r="PVD37" s="79"/>
      <c r="PVE37" s="79"/>
      <c r="PVF37" s="79"/>
      <c r="PVG37" s="79"/>
      <c r="PVH37" s="79"/>
      <c r="PVI37" s="79"/>
      <c r="PVJ37" s="79"/>
      <c r="PVK37" s="79"/>
      <c r="PVL37" s="79"/>
      <c r="PVM37" s="79"/>
      <c r="PVN37" s="79"/>
      <c r="PVO37" s="79"/>
      <c r="PVP37" s="79"/>
      <c r="PVQ37" s="79"/>
      <c r="PVR37" s="79"/>
      <c r="PVS37" s="79"/>
      <c r="PVT37" s="79"/>
      <c r="PVU37" s="79"/>
      <c r="PVV37" s="79"/>
      <c r="PVW37" s="79"/>
      <c r="PVX37" s="79"/>
      <c r="PVY37" s="79"/>
      <c r="PVZ37" s="79"/>
      <c r="PWA37" s="79"/>
      <c r="PWB37" s="79"/>
      <c r="PWC37" s="79"/>
      <c r="PWD37" s="79"/>
      <c r="PWE37" s="79"/>
      <c r="PWF37" s="79"/>
      <c r="PWG37" s="79"/>
      <c r="PWH37" s="79"/>
      <c r="PWI37" s="79"/>
      <c r="PWJ37" s="79"/>
      <c r="PWK37" s="79"/>
      <c r="PWL37" s="79"/>
      <c r="PWM37" s="79"/>
      <c r="PWN37" s="79"/>
      <c r="PWO37" s="79"/>
      <c r="PWP37" s="79"/>
      <c r="PWQ37" s="79"/>
      <c r="PWR37" s="79"/>
      <c r="PWS37" s="79"/>
      <c r="PWT37" s="79"/>
      <c r="PWU37" s="79"/>
      <c r="PWV37" s="79"/>
      <c r="PWW37" s="79"/>
      <c r="PWX37" s="79"/>
      <c r="PWY37" s="79"/>
      <c r="PWZ37" s="79"/>
      <c r="PXA37" s="79"/>
      <c r="PXB37" s="79"/>
      <c r="PXC37" s="79"/>
      <c r="PXD37" s="79"/>
      <c r="PXE37" s="79"/>
      <c r="PXF37" s="79"/>
      <c r="PXG37" s="79"/>
      <c r="PXH37" s="79"/>
      <c r="PXI37" s="79"/>
      <c r="PXJ37" s="79"/>
      <c r="PXK37" s="79"/>
      <c r="PXL37" s="79"/>
      <c r="PXM37" s="79"/>
      <c r="PXN37" s="79"/>
      <c r="PXO37" s="79"/>
      <c r="PXP37" s="79"/>
      <c r="PXQ37" s="79"/>
      <c r="PXR37" s="79"/>
      <c r="PXS37" s="79"/>
      <c r="PXT37" s="79"/>
      <c r="PXU37" s="79"/>
      <c r="PXV37" s="79"/>
      <c r="PXW37" s="79"/>
      <c r="PXX37" s="79"/>
      <c r="PXY37" s="79"/>
      <c r="PXZ37" s="79"/>
      <c r="PYA37" s="79"/>
      <c r="PYB37" s="79"/>
      <c r="PYC37" s="79"/>
      <c r="PYD37" s="79"/>
      <c r="PYE37" s="79"/>
      <c r="PYF37" s="79"/>
      <c r="PYG37" s="79"/>
      <c r="PYH37" s="79"/>
      <c r="PYI37" s="79"/>
      <c r="PYJ37" s="79"/>
      <c r="PYK37" s="79"/>
      <c r="PYL37" s="79"/>
      <c r="PYM37" s="79"/>
      <c r="PYN37" s="79"/>
      <c r="PYO37" s="79"/>
      <c r="PYP37" s="79"/>
      <c r="PYQ37" s="79"/>
      <c r="PYR37" s="79"/>
      <c r="PYS37" s="79"/>
      <c r="PYT37" s="79"/>
      <c r="PYU37" s="79"/>
      <c r="PYV37" s="79"/>
      <c r="PYW37" s="79"/>
      <c r="PYX37" s="79"/>
      <c r="PYY37" s="79"/>
      <c r="PYZ37" s="79"/>
      <c r="PZA37" s="79"/>
      <c r="PZB37" s="79"/>
      <c r="PZC37" s="79"/>
      <c r="PZD37" s="79"/>
      <c r="PZE37" s="79"/>
      <c r="PZF37" s="79"/>
      <c r="PZG37" s="79"/>
      <c r="PZH37" s="79"/>
      <c r="PZI37" s="79"/>
      <c r="PZJ37" s="79"/>
      <c r="PZK37" s="79"/>
      <c r="PZL37" s="79"/>
      <c r="PZM37" s="79"/>
      <c r="PZN37" s="79"/>
      <c r="PZO37" s="79"/>
      <c r="PZP37" s="79"/>
      <c r="PZQ37" s="79"/>
      <c r="PZR37" s="79"/>
      <c r="PZS37" s="79"/>
      <c r="PZT37" s="79"/>
      <c r="PZU37" s="79"/>
      <c r="PZV37" s="79"/>
      <c r="PZW37" s="79"/>
      <c r="PZX37" s="79"/>
      <c r="PZY37" s="79"/>
      <c r="PZZ37" s="79"/>
      <c r="QAA37" s="79"/>
      <c r="QAB37" s="79"/>
      <c r="QAC37" s="79"/>
      <c r="QAD37" s="79"/>
      <c r="QAE37" s="79"/>
      <c r="QAF37" s="79"/>
      <c r="QAG37" s="79"/>
      <c r="QAH37" s="79"/>
      <c r="QAI37" s="79"/>
      <c r="QAJ37" s="79"/>
      <c r="QAK37" s="79"/>
      <c r="QAL37" s="79"/>
      <c r="QAM37" s="79"/>
      <c r="QAN37" s="79"/>
      <c r="QAO37" s="79"/>
      <c r="QAP37" s="79"/>
      <c r="QAQ37" s="79"/>
      <c r="QAR37" s="79"/>
      <c r="QAS37" s="79"/>
      <c r="QAT37" s="79"/>
      <c r="QAU37" s="79"/>
      <c r="QAV37" s="79"/>
      <c r="QAW37" s="79"/>
      <c r="QAX37" s="79"/>
      <c r="QAY37" s="79"/>
      <c r="QAZ37" s="79"/>
      <c r="QBA37" s="79"/>
      <c r="QBB37" s="79"/>
      <c r="QBC37" s="79"/>
      <c r="QBD37" s="79"/>
      <c r="QBE37" s="79"/>
      <c r="QBF37" s="79"/>
      <c r="QBG37" s="79"/>
      <c r="QBH37" s="79"/>
      <c r="QBI37" s="79"/>
      <c r="QBJ37" s="79"/>
      <c r="QBK37" s="79"/>
      <c r="QBL37" s="79"/>
      <c r="QBM37" s="79"/>
      <c r="QBN37" s="79"/>
      <c r="QBO37" s="79"/>
      <c r="QBP37" s="79"/>
      <c r="QBQ37" s="79"/>
      <c r="QBR37" s="79"/>
      <c r="QBS37" s="79"/>
      <c r="QBT37" s="79"/>
      <c r="QBU37" s="79"/>
      <c r="QBV37" s="79"/>
      <c r="QBW37" s="79"/>
      <c r="QBX37" s="79"/>
      <c r="QBY37" s="79"/>
      <c r="QBZ37" s="79"/>
      <c r="QCA37" s="79"/>
      <c r="QCB37" s="79"/>
      <c r="QCC37" s="79"/>
      <c r="QCD37" s="79"/>
      <c r="QCE37" s="79"/>
      <c r="QCF37" s="79"/>
      <c r="QCG37" s="79"/>
      <c r="QCH37" s="79"/>
      <c r="QCI37" s="79"/>
      <c r="QCJ37" s="79"/>
      <c r="QCK37" s="79"/>
      <c r="QCL37" s="79"/>
      <c r="QCM37" s="79"/>
      <c r="QCN37" s="79"/>
      <c r="QCO37" s="79"/>
      <c r="QCP37" s="79"/>
      <c r="QCQ37" s="79"/>
      <c r="QCR37" s="79"/>
      <c r="QCS37" s="79"/>
      <c r="QCT37" s="79"/>
      <c r="QCU37" s="79"/>
      <c r="QCV37" s="79"/>
      <c r="QCW37" s="79"/>
      <c r="QCX37" s="79"/>
      <c r="QCY37" s="79"/>
      <c r="QCZ37" s="79"/>
      <c r="QDA37" s="79"/>
      <c r="QDB37" s="79"/>
      <c r="QDC37" s="79"/>
      <c r="QDD37" s="79"/>
      <c r="QDE37" s="79"/>
      <c r="QDF37" s="79"/>
      <c r="QDG37" s="79"/>
      <c r="QDH37" s="79"/>
      <c r="QDI37" s="79"/>
      <c r="QDJ37" s="79"/>
      <c r="QDK37" s="79"/>
      <c r="QDL37" s="79"/>
      <c r="QDM37" s="79"/>
      <c r="QDN37" s="79"/>
      <c r="QDO37" s="79"/>
      <c r="QDP37" s="79"/>
      <c r="QDQ37" s="79"/>
      <c r="QDR37" s="79"/>
      <c r="QDS37" s="79"/>
      <c r="QDT37" s="79"/>
      <c r="QDU37" s="79"/>
      <c r="QDV37" s="79"/>
      <c r="QDW37" s="79"/>
      <c r="QDX37" s="79"/>
      <c r="QDY37" s="79"/>
      <c r="QDZ37" s="79"/>
      <c r="QEA37" s="79"/>
      <c r="QEB37" s="79"/>
      <c r="QEC37" s="79"/>
      <c r="QED37" s="79"/>
      <c r="QEE37" s="79"/>
      <c r="QEF37" s="79"/>
      <c r="QEG37" s="79"/>
      <c r="QEH37" s="79"/>
      <c r="QEI37" s="79"/>
      <c r="QEJ37" s="79"/>
      <c r="QEK37" s="79"/>
      <c r="QEL37" s="79"/>
      <c r="QEM37" s="79"/>
      <c r="QEN37" s="79"/>
      <c r="QEO37" s="79"/>
      <c r="QEP37" s="79"/>
      <c r="QEQ37" s="79"/>
      <c r="QER37" s="79"/>
      <c r="QES37" s="79"/>
      <c r="QET37" s="79"/>
      <c r="QEU37" s="79"/>
      <c r="QEV37" s="79"/>
      <c r="QEW37" s="79"/>
      <c r="QEX37" s="79"/>
      <c r="QEY37" s="79"/>
      <c r="QEZ37" s="79"/>
      <c r="QFA37" s="79"/>
      <c r="QFB37" s="79"/>
      <c r="QFC37" s="79"/>
      <c r="QFD37" s="79"/>
      <c r="QFE37" s="79"/>
      <c r="QFF37" s="79"/>
      <c r="QFG37" s="79"/>
      <c r="QFH37" s="79"/>
      <c r="QFI37" s="79"/>
      <c r="QFJ37" s="79"/>
      <c r="QFK37" s="79"/>
      <c r="QFL37" s="79"/>
      <c r="QFM37" s="79"/>
      <c r="QFN37" s="79"/>
      <c r="QFO37" s="79"/>
      <c r="QFP37" s="79"/>
      <c r="QFQ37" s="79"/>
      <c r="QFR37" s="79"/>
      <c r="QFS37" s="79"/>
      <c r="QFT37" s="79"/>
      <c r="QFU37" s="79"/>
      <c r="QFV37" s="79"/>
      <c r="QFW37" s="79"/>
      <c r="QFX37" s="79"/>
      <c r="QFY37" s="79"/>
      <c r="QFZ37" s="79"/>
      <c r="QGA37" s="79"/>
      <c r="QGB37" s="79"/>
      <c r="QGC37" s="79"/>
      <c r="QGD37" s="79"/>
      <c r="QGE37" s="79"/>
      <c r="QGF37" s="79"/>
      <c r="QGG37" s="79"/>
      <c r="QGH37" s="79"/>
      <c r="QGI37" s="79"/>
      <c r="QGJ37" s="79"/>
      <c r="QGK37" s="79"/>
      <c r="QGL37" s="79"/>
      <c r="QGM37" s="79"/>
      <c r="QGN37" s="79"/>
      <c r="QGO37" s="79"/>
      <c r="QGP37" s="79"/>
      <c r="QGQ37" s="79"/>
      <c r="QGR37" s="79"/>
      <c r="QGS37" s="79"/>
      <c r="QGT37" s="79"/>
      <c r="QGU37" s="79"/>
      <c r="QGV37" s="79"/>
      <c r="QGW37" s="79"/>
      <c r="QGX37" s="79"/>
      <c r="QGY37" s="79"/>
      <c r="QGZ37" s="79"/>
      <c r="QHA37" s="79"/>
      <c r="QHB37" s="79"/>
      <c r="QHC37" s="79"/>
      <c r="QHD37" s="79"/>
      <c r="QHE37" s="79"/>
      <c r="QHF37" s="79"/>
      <c r="QHG37" s="79"/>
      <c r="QHH37" s="79"/>
      <c r="QHI37" s="79"/>
      <c r="QHJ37" s="79"/>
      <c r="QHK37" s="79"/>
      <c r="QHL37" s="79"/>
      <c r="QHM37" s="79"/>
      <c r="QHN37" s="79"/>
      <c r="QHO37" s="79"/>
      <c r="QHP37" s="79"/>
      <c r="QHQ37" s="79"/>
      <c r="QHR37" s="79"/>
      <c r="QHS37" s="79"/>
      <c r="QHT37" s="79"/>
      <c r="QHU37" s="79"/>
      <c r="QHV37" s="79"/>
      <c r="QHW37" s="79"/>
      <c r="QHX37" s="79"/>
      <c r="QHY37" s="79"/>
      <c r="QHZ37" s="79"/>
      <c r="QIA37" s="79"/>
      <c r="QIB37" s="79"/>
      <c r="QIC37" s="79"/>
      <c r="QID37" s="79"/>
      <c r="QIE37" s="79"/>
      <c r="QIF37" s="79"/>
      <c r="QIG37" s="79"/>
      <c r="QIH37" s="79"/>
      <c r="QII37" s="79"/>
      <c r="QIJ37" s="79"/>
      <c r="QIK37" s="79"/>
      <c r="QIL37" s="79"/>
      <c r="QIM37" s="79"/>
      <c r="QIN37" s="79"/>
      <c r="QIO37" s="79"/>
      <c r="QIP37" s="79"/>
      <c r="QIQ37" s="79"/>
      <c r="QIR37" s="79"/>
      <c r="QIS37" s="79"/>
      <c r="QIT37" s="79"/>
      <c r="QIU37" s="79"/>
      <c r="QIV37" s="79"/>
      <c r="QIW37" s="79"/>
      <c r="QIX37" s="79"/>
      <c r="QIY37" s="79"/>
      <c r="QIZ37" s="79"/>
      <c r="QJA37" s="79"/>
      <c r="QJB37" s="79"/>
      <c r="QJC37" s="79"/>
      <c r="QJD37" s="79"/>
      <c r="QJE37" s="79"/>
      <c r="QJF37" s="79"/>
      <c r="QJG37" s="79"/>
      <c r="QJH37" s="79"/>
      <c r="QJI37" s="79"/>
      <c r="QJJ37" s="79"/>
      <c r="QJK37" s="79"/>
      <c r="QJL37" s="79"/>
      <c r="QJM37" s="79"/>
      <c r="QJN37" s="79"/>
      <c r="QJO37" s="79"/>
      <c r="QJP37" s="79"/>
      <c r="QJQ37" s="79"/>
      <c r="QJR37" s="79"/>
      <c r="QJS37" s="79"/>
      <c r="QJT37" s="79"/>
      <c r="QJU37" s="79"/>
      <c r="QJV37" s="79"/>
      <c r="QJW37" s="79"/>
      <c r="QJX37" s="79"/>
      <c r="QJY37" s="79"/>
      <c r="QJZ37" s="79"/>
      <c r="QKA37" s="79"/>
      <c r="QKB37" s="79"/>
      <c r="QKC37" s="79"/>
      <c r="QKD37" s="79"/>
      <c r="QKE37" s="79"/>
      <c r="QKF37" s="79"/>
      <c r="QKG37" s="79"/>
      <c r="QKH37" s="79"/>
      <c r="QKI37" s="79"/>
      <c r="QKJ37" s="79"/>
      <c r="QKK37" s="79"/>
      <c r="QKL37" s="79"/>
      <c r="QKM37" s="79"/>
      <c r="QKN37" s="79"/>
      <c r="QKO37" s="79"/>
      <c r="QKP37" s="79"/>
      <c r="QKQ37" s="79"/>
      <c r="QKR37" s="79"/>
      <c r="QKS37" s="79"/>
      <c r="QKT37" s="79"/>
      <c r="QKU37" s="79"/>
      <c r="QKV37" s="79"/>
      <c r="QKW37" s="79"/>
      <c r="QKX37" s="79"/>
      <c r="QKY37" s="79"/>
      <c r="QKZ37" s="79"/>
      <c r="QLA37" s="79"/>
      <c r="QLB37" s="79"/>
      <c r="QLC37" s="79"/>
      <c r="QLD37" s="79"/>
      <c r="QLE37" s="79"/>
      <c r="QLF37" s="79"/>
      <c r="QLG37" s="79"/>
      <c r="QLH37" s="79"/>
      <c r="QLI37" s="79"/>
      <c r="QLJ37" s="79"/>
      <c r="QLK37" s="79"/>
      <c r="QLL37" s="79"/>
      <c r="QLM37" s="79"/>
      <c r="QLN37" s="79"/>
      <c r="QLO37" s="79"/>
      <c r="QLP37" s="79"/>
      <c r="QLQ37" s="79"/>
      <c r="QLR37" s="79"/>
      <c r="QLS37" s="79"/>
      <c r="QLT37" s="79"/>
      <c r="QLU37" s="79"/>
      <c r="QLV37" s="79"/>
      <c r="QLW37" s="79"/>
      <c r="QLX37" s="79"/>
      <c r="QLY37" s="79"/>
      <c r="QLZ37" s="79"/>
      <c r="QMA37" s="79"/>
      <c r="QMB37" s="79"/>
      <c r="QMC37" s="79"/>
      <c r="QMD37" s="79"/>
      <c r="QME37" s="79"/>
      <c r="QMF37" s="79"/>
      <c r="QMG37" s="79"/>
      <c r="QMH37" s="79"/>
      <c r="QMI37" s="79"/>
      <c r="QMJ37" s="79"/>
      <c r="QMK37" s="79"/>
      <c r="QML37" s="79"/>
      <c r="QMM37" s="79"/>
      <c r="QMN37" s="79"/>
      <c r="QMO37" s="79"/>
      <c r="QMP37" s="79"/>
      <c r="QMQ37" s="79"/>
      <c r="QMR37" s="79"/>
      <c r="QMS37" s="79"/>
      <c r="QMT37" s="79"/>
      <c r="QMU37" s="79"/>
      <c r="QMV37" s="79"/>
      <c r="QMW37" s="79"/>
      <c r="QMX37" s="79"/>
      <c r="QMY37" s="79"/>
      <c r="QMZ37" s="79"/>
      <c r="QNA37" s="79"/>
      <c r="QNB37" s="79"/>
      <c r="QNC37" s="79"/>
      <c r="QND37" s="79"/>
      <c r="QNE37" s="79"/>
      <c r="QNF37" s="79"/>
      <c r="QNG37" s="79"/>
      <c r="QNH37" s="79"/>
      <c r="QNI37" s="79"/>
      <c r="QNJ37" s="79"/>
      <c r="QNK37" s="79"/>
      <c r="QNL37" s="79"/>
      <c r="QNM37" s="79"/>
      <c r="QNN37" s="79"/>
      <c r="QNO37" s="79"/>
      <c r="QNP37" s="79"/>
      <c r="QNQ37" s="79"/>
      <c r="QNR37" s="79"/>
      <c r="QNS37" s="79"/>
      <c r="QNT37" s="79"/>
      <c r="QNU37" s="79"/>
      <c r="QNV37" s="79"/>
      <c r="QNW37" s="79"/>
      <c r="QNX37" s="79"/>
      <c r="QNY37" s="79"/>
      <c r="QNZ37" s="79"/>
      <c r="QOA37" s="79"/>
      <c r="QOB37" s="79"/>
      <c r="QOC37" s="79"/>
      <c r="QOD37" s="79"/>
      <c r="QOE37" s="79"/>
      <c r="QOF37" s="79"/>
      <c r="QOG37" s="79"/>
      <c r="QOH37" s="79"/>
      <c r="QOI37" s="79"/>
      <c r="QOJ37" s="79"/>
      <c r="QOK37" s="79"/>
      <c r="QOL37" s="79"/>
      <c r="QOM37" s="79"/>
      <c r="QON37" s="79"/>
      <c r="QOO37" s="79"/>
      <c r="QOP37" s="79"/>
      <c r="QOQ37" s="79"/>
      <c r="QOR37" s="79"/>
      <c r="QOS37" s="79"/>
      <c r="QOT37" s="79"/>
      <c r="QOU37" s="79"/>
      <c r="QOV37" s="79"/>
      <c r="QOW37" s="79"/>
      <c r="QOX37" s="79"/>
      <c r="QOY37" s="79"/>
      <c r="QOZ37" s="79"/>
      <c r="QPA37" s="79"/>
      <c r="QPB37" s="79"/>
      <c r="QPC37" s="79"/>
      <c r="QPD37" s="79"/>
      <c r="QPE37" s="79"/>
      <c r="QPF37" s="79"/>
      <c r="QPG37" s="79"/>
      <c r="QPH37" s="79"/>
      <c r="QPI37" s="79"/>
      <c r="QPJ37" s="79"/>
      <c r="QPK37" s="79"/>
      <c r="QPL37" s="79"/>
      <c r="QPM37" s="79"/>
      <c r="QPN37" s="79"/>
      <c r="QPO37" s="79"/>
      <c r="QPP37" s="79"/>
      <c r="QPQ37" s="79"/>
      <c r="QPR37" s="79"/>
      <c r="QPS37" s="79"/>
      <c r="QPT37" s="79"/>
      <c r="QPU37" s="79"/>
      <c r="QPV37" s="79"/>
      <c r="QPW37" s="79"/>
      <c r="QPX37" s="79"/>
      <c r="QPY37" s="79"/>
      <c r="QPZ37" s="79"/>
      <c r="QQA37" s="79"/>
      <c r="QQB37" s="79"/>
      <c r="QQC37" s="79"/>
      <c r="QQD37" s="79"/>
      <c r="QQE37" s="79"/>
      <c r="QQF37" s="79"/>
      <c r="QQG37" s="79"/>
      <c r="QQH37" s="79"/>
      <c r="QQI37" s="79"/>
      <c r="QQJ37" s="79"/>
      <c r="QQK37" s="79"/>
      <c r="QQL37" s="79"/>
      <c r="QQM37" s="79"/>
      <c r="QQN37" s="79"/>
      <c r="QQO37" s="79"/>
      <c r="QQP37" s="79"/>
      <c r="QQQ37" s="79"/>
      <c r="QQR37" s="79"/>
      <c r="QQS37" s="79"/>
      <c r="QQT37" s="79"/>
      <c r="QQU37" s="79"/>
      <c r="QQV37" s="79"/>
      <c r="QQW37" s="79"/>
      <c r="QQX37" s="79"/>
      <c r="QQY37" s="79"/>
      <c r="QQZ37" s="79"/>
      <c r="QRA37" s="79"/>
      <c r="QRB37" s="79"/>
      <c r="QRC37" s="79"/>
      <c r="QRD37" s="79"/>
      <c r="QRE37" s="79"/>
      <c r="QRF37" s="79"/>
      <c r="QRG37" s="79"/>
      <c r="QRH37" s="79"/>
      <c r="QRI37" s="79"/>
      <c r="QRJ37" s="79"/>
      <c r="QRK37" s="79"/>
      <c r="QRL37" s="79"/>
      <c r="QRM37" s="79"/>
      <c r="QRN37" s="79"/>
      <c r="QRO37" s="79"/>
      <c r="QRP37" s="79"/>
      <c r="QRQ37" s="79"/>
      <c r="QRR37" s="79"/>
      <c r="QRS37" s="79"/>
      <c r="QRT37" s="79"/>
      <c r="QRU37" s="79"/>
      <c r="QRV37" s="79"/>
      <c r="QRW37" s="79"/>
      <c r="QRX37" s="79"/>
      <c r="QRY37" s="79"/>
      <c r="QRZ37" s="79"/>
      <c r="QSA37" s="79"/>
      <c r="QSB37" s="79"/>
      <c r="QSC37" s="79"/>
      <c r="QSD37" s="79"/>
      <c r="QSE37" s="79"/>
      <c r="QSF37" s="79"/>
      <c r="QSG37" s="79"/>
      <c r="QSH37" s="79"/>
      <c r="QSI37" s="79"/>
      <c r="QSJ37" s="79"/>
      <c r="QSK37" s="79"/>
      <c r="QSL37" s="79"/>
      <c r="QSM37" s="79"/>
      <c r="QSN37" s="79"/>
      <c r="QSO37" s="79"/>
      <c r="QSP37" s="79"/>
      <c r="QSQ37" s="79"/>
      <c r="QSR37" s="79"/>
      <c r="QSS37" s="79"/>
      <c r="QST37" s="79"/>
      <c r="QSU37" s="79"/>
      <c r="QSV37" s="79"/>
      <c r="QSW37" s="79"/>
      <c r="QSX37" s="79"/>
      <c r="QSY37" s="79"/>
      <c r="QSZ37" s="79"/>
      <c r="QTA37" s="79"/>
      <c r="QTB37" s="79"/>
      <c r="QTC37" s="79"/>
      <c r="QTD37" s="79"/>
      <c r="QTE37" s="79"/>
      <c r="QTF37" s="79"/>
      <c r="QTG37" s="79"/>
      <c r="QTH37" s="79"/>
      <c r="QTI37" s="79"/>
      <c r="QTJ37" s="79"/>
      <c r="QTK37" s="79"/>
      <c r="QTL37" s="79"/>
      <c r="QTM37" s="79"/>
      <c r="QTN37" s="79"/>
      <c r="QTO37" s="79"/>
      <c r="QTP37" s="79"/>
      <c r="QTQ37" s="79"/>
      <c r="QTR37" s="79"/>
      <c r="QTS37" s="79"/>
      <c r="QTT37" s="79"/>
      <c r="QTU37" s="79"/>
      <c r="QTV37" s="79"/>
      <c r="QTW37" s="79"/>
      <c r="QTX37" s="79"/>
      <c r="QTY37" s="79"/>
      <c r="QTZ37" s="79"/>
      <c r="QUA37" s="79"/>
      <c r="QUB37" s="79"/>
      <c r="QUC37" s="79"/>
      <c r="QUD37" s="79"/>
      <c r="QUE37" s="79"/>
      <c r="QUF37" s="79"/>
      <c r="QUG37" s="79"/>
      <c r="QUH37" s="79"/>
      <c r="QUI37" s="79"/>
      <c r="QUJ37" s="79"/>
      <c r="QUK37" s="79"/>
      <c r="QUL37" s="79"/>
      <c r="QUM37" s="79"/>
      <c r="QUN37" s="79"/>
      <c r="QUO37" s="79"/>
      <c r="QUP37" s="79"/>
      <c r="QUQ37" s="79"/>
      <c r="QUR37" s="79"/>
      <c r="QUS37" s="79"/>
      <c r="QUT37" s="79"/>
      <c r="QUU37" s="79"/>
      <c r="QUV37" s="79"/>
      <c r="QUW37" s="79"/>
      <c r="QUX37" s="79"/>
      <c r="QUY37" s="79"/>
      <c r="QUZ37" s="79"/>
      <c r="QVA37" s="79"/>
      <c r="QVB37" s="79"/>
      <c r="QVC37" s="79"/>
      <c r="QVD37" s="79"/>
      <c r="QVE37" s="79"/>
      <c r="QVF37" s="79"/>
      <c r="QVG37" s="79"/>
      <c r="QVH37" s="79"/>
      <c r="QVI37" s="79"/>
      <c r="QVJ37" s="79"/>
      <c r="QVK37" s="79"/>
      <c r="QVL37" s="79"/>
      <c r="QVM37" s="79"/>
      <c r="QVN37" s="79"/>
      <c r="QVO37" s="79"/>
      <c r="QVP37" s="79"/>
      <c r="QVQ37" s="79"/>
      <c r="QVR37" s="79"/>
      <c r="QVS37" s="79"/>
      <c r="QVT37" s="79"/>
      <c r="QVU37" s="79"/>
      <c r="QVV37" s="79"/>
      <c r="QVW37" s="79"/>
      <c r="QVX37" s="79"/>
      <c r="QVY37" s="79"/>
      <c r="QVZ37" s="79"/>
      <c r="QWA37" s="79"/>
      <c r="QWB37" s="79"/>
      <c r="QWC37" s="79"/>
      <c r="QWD37" s="79"/>
      <c r="QWE37" s="79"/>
      <c r="QWF37" s="79"/>
      <c r="QWG37" s="79"/>
      <c r="QWH37" s="79"/>
      <c r="QWI37" s="79"/>
      <c r="QWJ37" s="79"/>
      <c r="QWK37" s="79"/>
      <c r="QWL37" s="79"/>
      <c r="QWM37" s="79"/>
      <c r="QWN37" s="79"/>
      <c r="QWO37" s="79"/>
      <c r="QWP37" s="79"/>
      <c r="QWQ37" s="79"/>
      <c r="QWR37" s="79"/>
      <c r="QWS37" s="79"/>
      <c r="QWT37" s="79"/>
      <c r="QWU37" s="79"/>
      <c r="QWV37" s="79"/>
      <c r="QWW37" s="79"/>
      <c r="QWX37" s="79"/>
      <c r="QWY37" s="79"/>
      <c r="QWZ37" s="79"/>
      <c r="QXA37" s="79"/>
      <c r="QXB37" s="79"/>
      <c r="QXC37" s="79"/>
      <c r="QXD37" s="79"/>
      <c r="QXE37" s="79"/>
      <c r="QXF37" s="79"/>
      <c r="QXG37" s="79"/>
      <c r="QXH37" s="79"/>
      <c r="QXI37" s="79"/>
      <c r="QXJ37" s="79"/>
      <c r="QXK37" s="79"/>
      <c r="QXL37" s="79"/>
      <c r="QXM37" s="79"/>
      <c r="QXN37" s="79"/>
      <c r="QXO37" s="79"/>
      <c r="QXP37" s="79"/>
      <c r="QXQ37" s="79"/>
      <c r="QXR37" s="79"/>
      <c r="QXS37" s="79"/>
      <c r="QXT37" s="79"/>
      <c r="QXU37" s="79"/>
      <c r="QXV37" s="79"/>
      <c r="QXW37" s="79"/>
      <c r="QXX37" s="79"/>
      <c r="QXY37" s="79"/>
      <c r="QXZ37" s="79"/>
      <c r="QYA37" s="79"/>
      <c r="QYB37" s="79"/>
      <c r="QYC37" s="79"/>
      <c r="QYD37" s="79"/>
      <c r="QYE37" s="79"/>
      <c r="QYF37" s="79"/>
      <c r="QYG37" s="79"/>
      <c r="QYH37" s="79"/>
      <c r="QYI37" s="79"/>
      <c r="QYJ37" s="79"/>
      <c r="QYK37" s="79"/>
      <c r="QYL37" s="79"/>
      <c r="QYM37" s="79"/>
      <c r="QYN37" s="79"/>
      <c r="QYO37" s="79"/>
      <c r="QYP37" s="79"/>
      <c r="QYQ37" s="79"/>
      <c r="QYR37" s="79"/>
      <c r="QYS37" s="79"/>
      <c r="QYT37" s="79"/>
      <c r="QYU37" s="79"/>
      <c r="QYV37" s="79"/>
      <c r="QYW37" s="79"/>
      <c r="QYX37" s="79"/>
      <c r="QYY37" s="79"/>
      <c r="QYZ37" s="79"/>
      <c r="QZA37" s="79"/>
      <c r="QZB37" s="79"/>
      <c r="QZC37" s="79"/>
      <c r="QZD37" s="79"/>
      <c r="QZE37" s="79"/>
      <c r="QZF37" s="79"/>
      <c r="QZG37" s="79"/>
      <c r="QZH37" s="79"/>
      <c r="QZI37" s="79"/>
      <c r="QZJ37" s="79"/>
      <c r="QZK37" s="79"/>
      <c r="QZL37" s="79"/>
      <c r="QZM37" s="79"/>
      <c r="QZN37" s="79"/>
      <c r="QZO37" s="79"/>
      <c r="QZP37" s="79"/>
      <c r="QZQ37" s="79"/>
      <c r="QZR37" s="79"/>
      <c r="QZS37" s="79"/>
      <c r="QZT37" s="79"/>
      <c r="QZU37" s="79"/>
      <c r="QZV37" s="79"/>
      <c r="QZW37" s="79"/>
      <c r="QZX37" s="79"/>
      <c r="QZY37" s="79"/>
      <c r="QZZ37" s="79"/>
      <c r="RAA37" s="79"/>
      <c r="RAB37" s="79"/>
      <c r="RAC37" s="79"/>
      <c r="RAD37" s="79"/>
      <c r="RAE37" s="79"/>
      <c r="RAF37" s="79"/>
      <c r="RAG37" s="79"/>
      <c r="RAH37" s="79"/>
      <c r="RAI37" s="79"/>
      <c r="RAJ37" s="79"/>
      <c r="RAK37" s="79"/>
      <c r="RAL37" s="79"/>
      <c r="RAM37" s="79"/>
      <c r="RAN37" s="79"/>
      <c r="RAO37" s="79"/>
      <c r="RAP37" s="79"/>
      <c r="RAQ37" s="79"/>
      <c r="RAR37" s="79"/>
      <c r="RAS37" s="79"/>
      <c r="RAT37" s="79"/>
      <c r="RAU37" s="79"/>
      <c r="RAV37" s="79"/>
      <c r="RAW37" s="79"/>
      <c r="RAX37" s="79"/>
      <c r="RAY37" s="79"/>
      <c r="RAZ37" s="79"/>
      <c r="RBA37" s="79"/>
      <c r="RBB37" s="79"/>
      <c r="RBC37" s="79"/>
      <c r="RBD37" s="79"/>
      <c r="RBE37" s="79"/>
      <c r="RBF37" s="79"/>
      <c r="RBG37" s="79"/>
      <c r="RBH37" s="79"/>
      <c r="RBI37" s="79"/>
      <c r="RBJ37" s="79"/>
      <c r="RBK37" s="79"/>
      <c r="RBL37" s="79"/>
      <c r="RBM37" s="79"/>
      <c r="RBN37" s="79"/>
      <c r="RBO37" s="79"/>
      <c r="RBP37" s="79"/>
      <c r="RBQ37" s="79"/>
      <c r="RBR37" s="79"/>
      <c r="RBS37" s="79"/>
      <c r="RBT37" s="79"/>
      <c r="RBU37" s="79"/>
      <c r="RBV37" s="79"/>
      <c r="RBW37" s="79"/>
      <c r="RBX37" s="79"/>
      <c r="RBY37" s="79"/>
      <c r="RBZ37" s="79"/>
      <c r="RCA37" s="79"/>
      <c r="RCB37" s="79"/>
      <c r="RCC37" s="79"/>
      <c r="RCD37" s="79"/>
      <c r="RCE37" s="79"/>
      <c r="RCF37" s="79"/>
      <c r="RCG37" s="79"/>
      <c r="RCH37" s="79"/>
      <c r="RCI37" s="79"/>
      <c r="RCJ37" s="79"/>
      <c r="RCK37" s="79"/>
      <c r="RCL37" s="79"/>
      <c r="RCM37" s="79"/>
      <c r="RCN37" s="79"/>
      <c r="RCO37" s="79"/>
      <c r="RCP37" s="79"/>
      <c r="RCQ37" s="79"/>
      <c r="RCR37" s="79"/>
      <c r="RCS37" s="79"/>
      <c r="RCT37" s="79"/>
      <c r="RCU37" s="79"/>
      <c r="RCV37" s="79"/>
      <c r="RCW37" s="79"/>
      <c r="RCX37" s="79"/>
      <c r="RCY37" s="79"/>
      <c r="RCZ37" s="79"/>
      <c r="RDA37" s="79"/>
      <c r="RDB37" s="79"/>
      <c r="RDC37" s="79"/>
      <c r="RDD37" s="79"/>
      <c r="RDE37" s="79"/>
      <c r="RDF37" s="79"/>
      <c r="RDG37" s="79"/>
      <c r="RDH37" s="79"/>
      <c r="RDI37" s="79"/>
      <c r="RDJ37" s="79"/>
      <c r="RDK37" s="79"/>
      <c r="RDL37" s="79"/>
      <c r="RDM37" s="79"/>
      <c r="RDN37" s="79"/>
      <c r="RDO37" s="79"/>
      <c r="RDP37" s="79"/>
      <c r="RDQ37" s="79"/>
      <c r="RDR37" s="79"/>
      <c r="RDS37" s="79"/>
      <c r="RDT37" s="79"/>
      <c r="RDU37" s="79"/>
      <c r="RDV37" s="79"/>
      <c r="RDW37" s="79"/>
      <c r="RDX37" s="79"/>
      <c r="RDY37" s="79"/>
      <c r="RDZ37" s="79"/>
      <c r="REA37" s="79"/>
      <c r="REB37" s="79"/>
      <c r="REC37" s="79"/>
      <c r="RED37" s="79"/>
      <c r="REE37" s="79"/>
      <c r="REF37" s="79"/>
      <c r="REG37" s="79"/>
      <c r="REH37" s="79"/>
      <c r="REI37" s="79"/>
      <c r="REJ37" s="79"/>
      <c r="REK37" s="79"/>
      <c r="REL37" s="79"/>
      <c r="REM37" s="79"/>
      <c r="REN37" s="79"/>
      <c r="REO37" s="79"/>
      <c r="REP37" s="79"/>
      <c r="REQ37" s="79"/>
      <c r="RER37" s="79"/>
      <c r="RES37" s="79"/>
      <c r="RET37" s="79"/>
      <c r="REU37" s="79"/>
      <c r="REV37" s="79"/>
      <c r="REW37" s="79"/>
      <c r="REX37" s="79"/>
      <c r="REY37" s="79"/>
      <c r="REZ37" s="79"/>
      <c r="RFA37" s="79"/>
      <c r="RFB37" s="79"/>
      <c r="RFC37" s="79"/>
      <c r="RFD37" s="79"/>
      <c r="RFE37" s="79"/>
      <c r="RFF37" s="79"/>
      <c r="RFG37" s="79"/>
      <c r="RFH37" s="79"/>
      <c r="RFI37" s="79"/>
      <c r="RFJ37" s="79"/>
      <c r="RFK37" s="79"/>
      <c r="RFL37" s="79"/>
      <c r="RFM37" s="79"/>
      <c r="RFN37" s="79"/>
      <c r="RFO37" s="79"/>
      <c r="RFP37" s="79"/>
      <c r="RFQ37" s="79"/>
      <c r="RFR37" s="79"/>
      <c r="RFS37" s="79"/>
      <c r="RFT37" s="79"/>
      <c r="RFU37" s="79"/>
      <c r="RFV37" s="79"/>
      <c r="RFW37" s="79"/>
      <c r="RFX37" s="79"/>
      <c r="RFY37" s="79"/>
      <c r="RFZ37" s="79"/>
      <c r="RGA37" s="79"/>
      <c r="RGB37" s="79"/>
      <c r="RGC37" s="79"/>
      <c r="RGD37" s="79"/>
      <c r="RGE37" s="79"/>
      <c r="RGF37" s="79"/>
      <c r="RGG37" s="79"/>
      <c r="RGH37" s="79"/>
      <c r="RGI37" s="79"/>
      <c r="RGJ37" s="79"/>
      <c r="RGK37" s="79"/>
      <c r="RGL37" s="79"/>
      <c r="RGM37" s="79"/>
      <c r="RGN37" s="79"/>
      <c r="RGO37" s="79"/>
      <c r="RGP37" s="79"/>
      <c r="RGQ37" s="79"/>
      <c r="RGR37" s="79"/>
      <c r="RGS37" s="79"/>
      <c r="RGT37" s="79"/>
      <c r="RGU37" s="79"/>
      <c r="RGV37" s="79"/>
      <c r="RGW37" s="79"/>
      <c r="RGX37" s="79"/>
      <c r="RGY37" s="79"/>
      <c r="RGZ37" s="79"/>
      <c r="RHA37" s="79"/>
      <c r="RHB37" s="79"/>
      <c r="RHC37" s="79"/>
      <c r="RHD37" s="79"/>
      <c r="RHE37" s="79"/>
      <c r="RHF37" s="79"/>
      <c r="RHG37" s="79"/>
      <c r="RHH37" s="79"/>
      <c r="RHI37" s="79"/>
      <c r="RHJ37" s="79"/>
      <c r="RHK37" s="79"/>
      <c r="RHL37" s="79"/>
      <c r="RHM37" s="79"/>
      <c r="RHN37" s="79"/>
      <c r="RHO37" s="79"/>
      <c r="RHP37" s="79"/>
      <c r="RHQ37" s="79"/>
      <c r="RHR37" s="79"/>
      <c r="RHS37" s="79"/>
      <c r="RHT37" s="79"/>
      <c r="RHU37" s="79"/>
      <c r="RHV37" s="79"/>
      <c r="RHW37" s="79"/>
      <c r="RHX37" s="79"/>
      <c r="RHY37" s="79"/>
      <c r="RHZ37" s="79"/>
      <c r="RIA37" s="79"/>
      <c r="RIB37" s="79"/>
      <c r="RIC37" s="79"/>
      <c r="RID37" s="79"/>
      <c r="RIE37" s="79"/>
      <c r="RIF37" s="79"/>
      <c r="RIG37" s="79"/>
      <c r="RIH37" s="79"/>
      <c r="RII37" s="79"/>
      <c r="RIJ37" s="79"/>
      <c r="RIK37" s="79"/>
      <c r="RIL37" s="79"/>
      <c r="RIM37" s="79"/>
      <c r="RIN37" s="79"/>
      <c r="RIO37" s="79"/>
      <c r="RIP37" s="79"/>
      <c r="RIQ37" s="79"/>
      <c r="RIR37" s="79"/>
      <c r="RIS37" s="79"/>
      <c r="RIT37" s="79"/>
      <c r="RIU37" s="79"/>
      <c r="RIV37" s="79"/>
      <c r="RIW37" s="79"/>
      <c r="RIX37" s="79"/>
      <c r="RIY37" s="79"/>
      <c r="RIZ37" s="79"/>
      <c r="RJA37" s="79"/>
      <c r="RJB37" s="79"/>
      <c r="RJC37" s="79"/>
      <c r="RJD37" s="79"/>
      <c r="RJE37" s="79"/>
      <c r="RJF37" s="79"/>
      <c r="RJG37" s="79"/>
      <c r="RJH37" s="79"/>
      <c r="RJI37" s="79"/>
      <c r="RJJ37" s="79"/>
      <c r="RJK37" s="79"/>
      <c r="RJL37" s="79"/>
      <c r="RJM37" s="79"/>
      <c r="RJN37" s="79"/>
      <c r="RJO37" s="79"/>
      <c r="RJP37" s="79"/>
      <c r="RJQ37" s="79"/>
      <c r="RJR37" s="79"/>
      <c r="RJS37" s="79"/>
      <c r="RJT37" s="79"/>
      <c r="RJU37" s="79"/>
      <c r="RJV37" s="79"/>
      <c r="RJW37" s="79"/>
      <c r="RJX37" s="79"/>
      <c r="RJY37" s="79"/>
      <c r="RJZ37" s="79"/>
      <c r="RKA37" s="79"/>
      <c r="RKB37" s="79"/>
      <c r="RKC37" s="79"/>
      <c r="RKD37" s="79"/>
      <c r="RKE37" s="79"/>
      <c r="RKF37" s="79"/>
      <c r="RKG37" s="79"/>
      <c r="RKH37" s="79"/>
      <c r="RKI37" s="79"/>
      <c r="RKJ37" s="79"/>
      <c r="RKK37" s="79"/>
      <c r="RKL37" s="79"/>
      <c r="RKM37" s="79"/>
      <c r="RKN37" s="79"/>
      <c r="RKO37" s="79"/>
      <c r="RKP37" s="79"/>
      <c r="RKQ37" s="79"/>
      <c r="RKR37" s="79"/>
      <c r="RKS37" s="79"/>
      <c r="RKT37" s="79"/>
      <c r="RKU37" s="79"/>
      <c r="RKV37" s="79"/>
      <c r="RKW37" s="79"/>
      <c r="RKX37" s="79"/>
      <c r="RKY37" s="79"/>
      <c r="RKZ37" s="79"/>
      <c r="RLA37" s="79"/>
      <c r="RLB37" s="79"/>
      <c r="RLC37" s="79"/>
      <c r="RLD37" s="79"/>
      <c r="RLE37" s="79"/>
      <c r="RLF37" s="79"/>
      <c r="RLG37" s="79"/>
      <c r="RLH37" s="79"/>
      <c r="RLI37" s="79"/>
      <c r="RLJ37" s="79"/>
      <c r="RLK37" s="79"/>
      <c r="RLL37" s="79"/>
      <c r="RLM37" s="79"/>
      <c r="RLN37" s="79"/>
      <c r="RLO37" s="79"/>
      <c r="RLP37" s="79"/>
      <c r="RLQ37" s="79"/>
      <c r="RLR37" s="79"/>
      <c r="RLS37" s="79"/>
      <c r="RLT37" s="79"/>
      <c r="RLU37" s="79"/>
      <c r="RLV37" s="79"/>
      <c r="RLW37" s="79"/>
      <c r="RLX37" s="79"/>
      <c r="RLY37" s="79"/>
      <c r="RLZ37" s="79"/>
      <c r="RMA37" s="79"/>
      <c r="RMB37" s="79"/>
      <c r="RMC37" s="79"/>
      <c r="RMD37" s="79"/>
      <c r="RME37" s="79"/>
      <c r="RMF37" s="79"/>
      <c r="RMG37" s="79"/>
      <c r="RMH37" s="79"/>
      <c r="RMI37" s="79"/>
      <c r="RMJ37" s="79"/>
      <c r="RMK37" s="79"/>
      <c r="RML37" s="79"/>
      <c r="RMM37" s="79"/>
      <c r="RMN37" s="79"/>
      <c r="RMO37" s="79"/>
      <c r="RMP37" s="79"/>
      <c r="RMQ37" s="79"/>
      <c r="RMR37" s="79"/>
      <c r="RMS37" s="79"/>
      <c r="RMT37" s="79"/>
      <c r="RMU37" s="79"/>
      <c r="RMV37" s="79"/>
      <c r="RMW37" s="79"/>
      <c r="RMX37" s="79"/>
      <c r="RMY37" s="79"/>
      <c r="RMZ37" s="79"/>
      <c r="RNA37" s="79"/>
      <c r="RNB37" s="79"/>
      <c r="RNC37" s="79"/>
      <c r="RND37" s="79"/>
      <c r="RNE37" s="79"/>
      <c r="RNF37" s="79"/>
      <c r="RNG37" s="79"/>
      <c r="RNH37" s="79"/>
      <c r="RNI37" s="79"/>
      <c r="RNJ37" s="79"/>
      <c r="RNK37" s="79"/>
      <c r="RNL37" s="79"/>
      <c r="RNM37" s="79"/>
      <c r="RNN37" s="79"/>
      <c r="RNO37" s="79"/>
      <c r="RNP37" s="79"/>
      <c r="RNQ37" s="79"/>
      <c r="RNR37" s="79"/>
      <c r="RNS37" s="79"/>
      <c r="RNT37" s="79"/>
      <c r="RNU37" s="79"/>
      <c r="RNV37" s="79"/>
      <c r="RNW37" s="79"/>
      <c r="RNX37" s="79"/>
      <c r="RNY37" s="79"/>
      <c r="RNZ37" s="79"/>
      <c r="ROA37" s="79"/>
      <c r="ROB37" s="79"/>
      <c r="ROC37" s="79"/>
      <c r="ROD37" s="79"/>
      <c r="ROE37" s="79"/>
      <c r="ROF37" s="79"/>
      <c r="ROG37" s="79"/>
      <c r="ROH37" s="79"/>
      <c r="ROI37" s="79"/>
      <c r="ROJ37" s="79"/>
      <c r="ROK37" s="79"/>
      <c r="ROL37" s="79"/>
      <c r="ROM37" s="79"/>
      <c r="RON37" s="79"/>
      <c r="ROO37" s="79"/>
      <c r="ROP37" s="79"/>
      <c r="ROQ37" s="79"/>
      <c r="ROR37" s="79"/>
      <c r="ROS37" s="79"/>
      <c r="ROT37" s="79"/>
      <c r="ROU37" s="79"/>
      <c r="ROV37" s="79"/>
      <c r="ROW37" s="79"/>
      <c r="ROX37" s="79"/>
      <c r="ROY37" s="79"/>
      <c r="ROZ37" s="79"/>
      <c r="RPA37" s="79"/>
      <c r="RPB37" s="79"/>
      <c r="RPC37" s="79"/>
      <c r="RPD37" s="79"/>
      <c r="RPE37" s="79"/>
      <c r="RPF37" s="79"/>
      <c r="RPG37" s="79"/>
      <c r="RPH37" s="79"/>
      <c r="RPI37" s="79"/>
      <c r="RPJ37" s="79"/>
      <c r="RPK37" s="79"/>
      <c r="RPL37" s="79"/>
      <c r="RPM37" s="79"/>
      <c r="RPN37" s="79"/>
      <c r="RPO37" s="79"/>
      <c r="RPP37" s="79"/>
      <c r="RPQ37" s="79"/>
      <c r="RPR37" s="79"/>
      <c r="RPS37" s="79"/>
      <c r="RPT37" s="79"/>
      <c r="RPU37" s="79"/>
      <c r="RPV37" s="79"/>
      <c r="RPW37" s="79"/>
      <c r="RPX37" s="79"/>
      <c r="RPY37" s="79"/>
      <c r="RPZ37" s="79"/>
      <c r="RQA37" s="79"/>
      <c r="RQB37" s="79"/>
      <c r="RQC37" s="79"/>
      <c r="RQD37" s="79"/>
      <c r="RQE37" s="79"/>
      <c r="RQF37" s="79"/>
      <c r="RQG37" s="79"/>
      <c r="RQH37" s="79"/>
      <c r="RQI37" s="79"/>
      <c r="RQJ37" s="79"/>
      <c r="RQK37" s="79"/>
      <c r="RQL37" s="79"/>
      <c r="RQM37" s="79"/>
      <c r="RQN37" s="79"/>
      <c r="RQO37" s="79"/>
      <c r="RQP37" s="79"/>
      <c r="RQQ37" s="79"/>
      <c r="RQR37" s="79"/>
      <c r="RQS37" s="79"/>
      <c r="RQT37" s="79"/>
      <c r="RQU37" s="79"/>
      <c r="RQV37" s="79"/>
      <c r="RQW37" s="79"/>
      <c r="RQX37" s="79"/>
      <c r="RQY37" s="79"/>
      <c r="RQZ37" s="79"/>
      <c r="RRA37" s="79"/>
      <c r="RRB37" s="79"/>
      <c r="RRC37" s="79"/>
      <c r="RRD37" s="79"/>
      <c r="RRE37" s="79"/>
      <c r="RRF37" s="79"/>
      <c r="RRG37" s="79"/>
      <c r="RRH37" s="79"/>
      <c r="RRI37" s="79"/>
      <c r="RRJ37" s="79"/>
      <c r="RRK37" s="79"/>
      <c r="RRL37" s="79"/>
      <c r="RRM37" s="79"/>
      <c r="RRN37" s="79"/>
      <c r="RRO37" s="79"/>
      <c r="RRP37" s="79"/>
      <c r="RRQ37" s="79"/>
      <c r="RRR37" s="79"/>
      <c r="RRS37" s="79"/>
      <c r="RRT37" s="79"/>
      <c r="RRU37" s="79"/>
      <c r="RRV37" s="79"/>
      <c r="RRW37" s="79"/>
      <c r="RRX37" s="79"/>
      <c r="RRY37" s="79"/>
      <c r="RRZ37" s="79"/>
      <c r="RSA37" s="79"/>
      <c r="RSB37" s="79"/>
      <c r="RSC37" s="79"/>
      <c r="RSD37" s="79"/>
      <c r="RSE37" s="79"/>
      <c r="RSF37" s="79"/>
      <c r="RSG37" s="79"/>
      <c r="RSH37" s="79"/>
      <c r="RSI37" s="79"/>
      <c r="RSJ37" s="79"/>
      <c r="RSK37" s="79"/>
      <c r="RSL37" s="79"/>
      <c r="RSM37" s="79"/>
      <c r="RSN37" s="79"/>
      <c r="RSO37" s="79"/>
      <c r="RSP37" s="79"/>
      <c r="RSQ37" s="79"/>
      <c r="RSR37" s="79"/>
      <c r="RSS37" s="79"/>
      <c r="RST37" s="79"/>
      <c r="RSU37" s="79"/>
      <c r="RSV37" s="79"/>
      <c r="RSW37" s="79"/>
      <c r="RSX37" s="79"/>
      <c r="RSY37" s="79"/>
      <c r="RSZ37" s="79"/>
      <c r="RTA37" s="79"/>
      <c r="RTB37" s="79"/>
      <c r="RTC37" s="79"/>
      <c r="RTD37" s="79"/>
      <c r="RTE37" s="79"/>
      <c r="RTF37" s="79"/>
      <c r="RTG37" s="79"/>
      <c r="RTH37" s="79"/>
      <c r="RTI37" s="79"/>
      <c r="RTJ37" s="79"/>
      <c r="RTK37" s="79"/>
      <c r="RTL37" s="79"/>
      <c r="RTM37" s="79"/>
      <c r="RTN37" s="79"/>
      <c r="RTO37" s="79"/>
      <c r="RTP37" s="79"/>
      <c r="RTQ37" s="79"/>
      <c r="RTR37" s="79"/>
      <c r="RTS37" s="79"/>
      <c r="RTT37" s="79"/>
      <c r="RTU37" s="79"/>
      <c r="RTV37" s="79"/>
      <c r="RTW37" s="79"/>
      <c r="RTX37" s="79"/>
      <c r="RTY37" s="79"/>
      <c r="RTZ37" s="79"/>
      <c r="RUA37" s="79"/>
      <c r="RUB37" s="79"/>
      <c r="RUC37" s="79"/>
      <c r="RUD37" s="79"/>
      <c r="RUE37" s="79"/>
      <c r="RUF37" s="79"/>
      <c r="RUG37" s="79"/>
      <c r="RUH37" s="79"/>
      <c r="RUI37" s="79"/>
      <c r="RUJ37" s="79"/>
      <c r="RUK37" s="79"/>
      <c r="RUL37" s="79"/>
      <c r="RUM37" s="79"/>
      <c r="RUN37" s="79"/>
      <c r="RUO37" s="79"/>
      <c r="RUP37" s="79"/>
      <c r="RUQ37" s="79"/>
      <c r="RUR37" s="79"/>
      <c r="RUS37" s="79"/>
      <c r="RUT37" s="79"/>
      <c r="RUU37" s="79"/>
      <c r="RUV37" s="79"/>
      <c r="RUW37" s="79"/>
      <c r="RUX37" s="79"/>
      <c r="RUY37" s="79"/>
      <c r="RUZ37" s="79"/>
      <c r="RVA37" s="79"/>
      <c r="RVB37" s="79"/>
      <c r="RVC37" s="79"/>
      <c r="RVD37" s="79"/>
      <c r="RVE37" s="79"/>
      <c r="RVF37" s="79"/>
      <c r="RVG37" s="79"/>
      <c r="RVH37" s="79"/>
      <c r="RVI37" s="79"/>
      <c r="RVJ37" s="79"/>
      <c r="RVK37" s="79"/>
      <c r="RVL37" s="79"/>
      <c r="RVM37" s="79"/>
      <c r="RVN37" s="79"/>
      <c r="RVO37" s="79"/>
      <c r="RVP37" s="79"/>
      <c r="RVQ37" s="79"/>
      <c r="RVR37" s="79"/>
      <c r="RVS37" s="79"/>
      <c r="RVT37" s="79"/>
      <c r="RVU37" s="79"/>
      <c r="RVV37" s="79"/>
      <c r="RVW37" s="79"/>
      <c r="RVX37" s="79"/>
      <c r="RVY37" s="79"/>
      <c r="RVZ37" s="79"/>
      <c r="RWA37" s="79"/>
      <c r="RWB37" s="79"/>
      <c r="RWC37" s="79"/>
      <c r="RWD37" s="79"/>
      <c r="RWE37" s="79"/>
      <c r="RWF37" s="79"/>
      <c r="RWG37" s="79"/>
      <c r="RWH37" s="79"/>
      <c r="RWI37" s="79"/>
      <c r="RWJ37" s="79"/>
      <c r="RWK37" s="79"/>
      <c r="RWL37" s="79"/>
      <c r="RWM37" s="79"/>
      <c r="RWN37" s="79"/>
      <c r="RWO37" s="79"/>
      <c r="RWP37" s="79"/>
      <c r="RWQ37" s="79"/>
      <c r="RWR37" s="79"/>
      <c r="RWS37" s="79"/>
      <c r="RWT37" s="79"/>
      <c r="RWU37" s="79"/>
      <c r="RWV37" s="79"/>
      <c r="RWW37" s="79"/>
      <c r="RWX37" s="79"/>
      <c r="RWY37" s="79"/>
      <c r="RWZ37" s="79"/>
      <c r="RXA37" s="79"/>
      <c r="RXB37" s="79"/>
      <c r="RXC37" s="79"/>
      <c r="RXD37" s="79"/>
      <c r="RXE37" s="79"/>
      <c r="RXF37" s="79"/>
      <c r="RXG37" s="79"/>
      <c r="RXH37" s="79"/>
      <c r="RXI37" s="79"/>
      <c r="RXJ37" s="79"/>
      <c r="RXK37" s="79"/>
      <c r="RXL37" s="79"/>
      <c r="RXM37" s="79"/>
      <c r="RXN37" s="79"/>
      <c r="RXO37" s="79"/>
      <c r="RXP37" s="79"/>
      <c r="RXQ37" s="79"/>
      <c r="RXR37" s="79"/>
      <c r="RXS37" s="79"/>
      <c r="RXT37" s="79"/>
      <c r="RXU37" s="79"/>
      <c r="RXV37" s="79"/>
      <c r="RXW37" s="79"/>
      <c r="RXX37" s="79"/>
      <c r="RXY37" s="79"/>
      <c r="RXZ37" s="79"/>
      <c r="RYA37" s="79"/>
      <c r="RYB37" s="79"/>
      <c r="RYC37" s="79"/>
      <c r="RYD37" s="79"/>
      <c r="RYE37" s="79"/>
      <c r="RYF37" s="79"/>
      <c r="RYG37" s="79"/>
      <c r="RYH37" s="79"/>
      <c r="RYI37" s="79"/>
      <c r="RYJ37" s="79"/>
      <c r="RYK37" s="79"/>
      <c r="RYL37" s="79"/>
      <c r="RYM37" s="79"/>
      <c r="RYN37" s="79"/>
      <c r="RYO37" s="79"/>
      <c r="RYP37" s="79"/>
      <c r="RYQ37" s="79"/>
      <c r="RYR37" s="79"/>
      <c r="RYS37" s="79"/>
      <c r="RYT37" s="79"/>
      <c r="RYU37" s="79"/>
      <c r="RYV37" s="79"/>
      <c r="RYW37" s="79"/>
      <c r="RYX37" s="79"/>
      <c r="RYY37" s="79"/>
      <c r="RYZ37" s="79"/>
      <c r="RZA37" s="79"/>
      <c r="RZB37" s="79"/>
      <c r="RZC37" s="79"/>
      <c r="RZD37" s="79"/>
      <c r="RZE37" s="79"/>
      <c r="RZF37" s="79"/>
      <c r="RZG37" s="79"/>
      <c r="RZH37" s="79"/>
      <c r="RZI37" s="79"/>
      <c r="RZJ37" s="79"/>
      <c r="RZK37" s="79"/>
      <c r="RZL37" s="79"/>
      <c r="RZM37" s="79"/>
      <c r="RZN37" s="79"/>
      <c r="RZO37" s="79"/>
      <c r="RZP37" s="79"/>
      <c r="RZQ37" s="79"/>
      <c r="RZR37" s="79"/>
      <c r="RZS37" s="79"/>
      <c r="RZT37" s="79"/>
      <c r="RZU37" s="79"/>
      <c r="RZV37" s="79"/>
      <c r="RZW37" s="79"/>
      <c r="RZX37" s="79"/>
      <c r="RZY37" s="79"/>
      <c r="RZZ37" s="79"/>
      <c r="SAA37" s="79"/>
      <c r="SAB37" s="79"/>
      <c r="SAC37" s="79"/>
      <c r="SAD37" s="79"/>
      <c r="SAE37" s="79"/>
      <c r="SAF37" s="79"/>
      <c r="SAG37" s="79"/>
      <c r="SAH37" s="79"/>
      <c r="SAI37" s="79"/>
      <c r="SAJ37" s="79"/>
      <c r="SAK37" s="79"/>
      <c r="SAL37" s="79"/>
      <c r="SAM37" s="79"/>
      <c r="SAN37" s="79"/>
      <c r="SAO37" s="79"/>
      <c r="SAP37" s="79"/>
      <c r="SAQ37" s="79"/>
      <c r="SAR37" s="79"/>
      <c r="SAS37" s="79"/>
      <c r="SAT37" s="79"/>
      <c r="SAU37" s="79"/>
      <c r="SAV37" s="79"/>
      <c r="SAW37" s="79"/>
      <c r="SAX37" s="79"/>
      <c r="SAY37" s="79"/>
      <c r="SAZ37" s="79"/>
      <c r="SBA37" s="79"/>
      <c r="SBB37" s="79"/>
      <c r="SBC37" s="79"/>
      <c r="SBD37" s="79"/>
      <c r="SBE37" s="79"/>
      <c r="SBF37" s="79"/>
      <c r="SBG37" s="79"/>
      <c r="SBH37" s="79"/>
      <c r="SBI37" s="79"/>
      <c r="SBJ37" s="79"/>
      <c r="SBK37" s="79"/>
      <c r="SBL37" s="79"/>
      <c r="SBM37" s="79"/>
      <c r="SBN37" s="79"/>
      <c r="SBO37" s="79"/>
      <c r="SBP37" s="79"/>
      <c r="SBQ37" s="79"/>
      <c r="SBR37" s="79"/>
      <c r="SBS37" s="79"/>
      <c r="SBT37" s="79"/>
      <c r="SBU37" s="79"/>
      <c r="SBV37" s="79"/>
      <c r="SBW37" s="79"/>
      <c r="SBX37" s="79"/>
      <c r="SBY37" s="79"/>
      <c r="SBZ37" s="79"/>
      <c r="SCA37" s="79"/>
      <c r="SCB37" s="79"/>
      <c r="SCC37" s="79"/>
      <c r="SCD37" s="79"/>
      <c r="SCE37" s="79"/>
      <c r="SCF37" s="79"/>
      <c r="SCG37" s="79"/>
      <c r="SCH37" s="79"/>
      <c r="SCI37" s="79"/>
      <c r="SCJ37" s="79"/>
      <c r="SCK37" s="79"/>
      <c r="SCL37" s="79"/>
      <c r="SCM37" s="79"/>
      <c r="SCN37" s="79"/>
      <c r="SCO37" s="79"/>
      <c r="SCP37" s="79"/>
      <c r="SCQ37" s="79"/>
      <c r="SCR37" s="79"/>
      <c r="SCS37" s="79"/>
      <c r="SCT37" s="79"/>
      <c r="SCU37" s="79"/>
      <c r="SCV37" s="79"/>
      <c r="SCW37" s="79"/>
      <c r="SCX37" s="79"/>
      <c r="SCY37" s="79"/>
      <c r="SCZ37" s="79"/>
      <c r="SDA37" s="79"/>
      <c r="SDB37" s="79"/>
      <c r="SDC37" s="79"/>
      <c r="SDD37" s="79"/>
      <c r="SDE37" s="79"/>
      <c r="SDF37" s="79"/>
      <c r="SDG37" s="79"/>
      <c r="SDH37" s="79"/>
      <c r="SDI37" s="79"/>
      <c r="SDJ37" s="79"/>
      <c r="SDK37" s="79"/>
      <c r="SDL37" s="79"/>
      <c r="SDM37" s="79"/>
      <c r="SDN37" s="79"/>
      <c r="SDO37" s="79"/>
      <c r="SDP37" s="79"/>
      <c r="SDQ37" s="79"/>
      <c r="SDR37" s="79"/>
      <c r="SDS37" s="79"/>
      <c r="SDT37" s="79"/>
      <c r="SDU37" s="79"/>
      <c r="SDV37" s="79"/>
      <c r="SDW37" s="79"/>
      <c r="SDX37" s="79"/>
      <c r="SDY37" s="79"/>
      <c r="SDZ37" s="79"/>
      <c r="SEA37" s="79"/>
      <c r="SEB37" s="79"/>
      <c r="SEC37" s="79"/>
      <c r="SED37" s="79"/>
      <c r="SEE37" s="79"/>
      <c r="SEF37" s="79"/>
      <c r="SEG37" s="79"/>
      <c r="SEH37" s="79"/>
      <c r="SEI37" s="79"/>
      <c r="SEJ37" s="79"/>
      <c r="SEK37" s="79"/>
      <c r="SEL37" s="79"/>
      <c r="SEM37" s="79"/>
      <c r="SEN37" s="79"/>
      <c r="SEO37" s="79"/>
      <c r="SEP37" s="79"/>
      <c r="SEQ37" s="79"/>
      <c r="SER37" s="79"/>
      <c r="SES37" s="79"/>
      <c r="SET37" s="79"/>
      <c r="SEU37" s="79"/>
      <c r="SEV37" s="79"/>
      <c r="SEW37" s="79"/>
      <c r="SEX37" s="79"/>
      <c r="SEY37" s="79"/>
      <c r="SEZ37" s="79"/>
      <c r="SFA37" s="79"/>
      <c r="SFB37" s="79"/>
      <c r="SFC37" s="79"/>
      <c r="SFD37" s="79"/>
      <c r="SFE37" s="79"/>
      <c r="SFF37" s="79"/>
      <c r="SFG37" s="79"/>
      <c r="SFH37" s="79"/>
      <c r="SFI37" s="79"/>
      <c r="SFJ37" s="79"/>
      <c r="SFK37" s="79"/>
      <c r="SFL37" s="79"/>
      <c r="SFM37" s="79"/>
      <c r="SFN37" s="79"/>
      <c r="SFO37" s="79"/>
      <c r="SFP37" s="79"/>
      <c r="SFQ37" s="79"/>
      <c r="SFR37" s="79"/>
      <c r="SFS37" s="79"/>
      <c r="SFT37" s="79"/>
      <c r="SFU37" s="79"/>
      <c r="SFV37" s="79"/>
      <c r="SFW37" s="79"/>
      <c r="SFX37" s="79"/>
      <c r="SFY37" s="79"/>
      <c r="SFZ37" s="79"/>
      <c r="SGA37" s="79"/>
      <c r="SGB37" s="79"/>
      <c r="SGC37" s="79"/>
      <c r="SGD37" s="79"/>
      <c r="SGE37" s="79"/>
      <c r="SGF37" s="79"/>
      <c r="SGG37" s="79"/>
      <c r="SGH37" s="79"/>
      <c r="SGI37" s="79"/>
      <c r="SGJ37" s="79"/>
      <c r="SGK37" s="79"/>
      <c r="SGL37" s="79"/>
      <c r="SGM37" s="79"/>
      <c r="SGN37" s="79"/>
      <c r="SGO37" s="79"/>
      <c r="SGP37" s="79"/>
      <c r="SGQ37" s="79"/>
      <c r="SGR37" s="79"/>
      <c r="SGS37" s="79"/>
      <c r="SGT37" s="79"/>
      <c r="SGU37" s="79"/>
      <c r="SGV37" s="79"/>
      <c r="SGW37" s="79"/>
      <c r="SGX37" s="79"/>
      <c r="SGY37" s="79"/>
      <c r="SGZ37" s="79"/>
      <c r="SHA37" s="79"/>
      <c r="SHB37" s="79"/>
      <c r="SHC37" s="79"/>
      <c r="SHD37" s="79"/>
      <c r="SHE37" s="79"/>
      <c r="SHF37" s="79"/>
      <c r="SHG37" s="79"/>
      <c r="SHH37" s="79"/>
      <c r="SHI37" s="79"/>
      <c r="SHJ37" s="79"/>
      <c r="SHK37" s="79"/>
      <c r="SHL37" s="79"/>
      <c r="SHM37" s="79"/>
      <c r="SHN37" s="79"/>
      <c r="SHO37" s="79"/>
      <c r="SHP37" s="79"/>
      <c r="SHQ37" s="79"/>
      <c r="SHR37" s="79"/>
      <c r="SHS37" s="79"/>
      <c r="SHT37" s="79"/>
      <c r="SHU37" s="79"/>
      <c r="SHV37" s="79"/>
      <c r="SHW37" s="79"/>
      <c r="SHX37" s="79"/>
      <c r="SHY37" s="79"/>
      <c r="SHZ37" s="79"/>
      <c r="SIA37" s="79"/>
      <c r="SIB37" s="79"/>
      <c r="SIC37" s="79"/>
      <c r="SID37" s="79"/>
      <c r="SIE37" s="79"/>
      <c r="SIF37" s="79"/>
      <c r="SIG37" s="79"/>
      <c r="SIH37" s="79"/>
      <c r="SII37" s="79"/>
      <c r="SIJ37" s="79"/>
      <c r="SIK37" s="79"/>
      <c r="SIL37" s="79"/>
      <c r="SIM37" s="79"/>
      <c r="SIN37" s="79"/>
      <c r="SIO37" s="79"/>
      <c r="SIP37" s="79"/>
      <c r="SIQ37" s="79"/>
      <c r="SIR37" s="79"/>
      <c r="SIS37" s="79"/>
      <c r="SIT37" s="79"/>
      <c r="SIU37" s="79"/>
      <c r="SIV37" s="79"/>
      <c r="SIW37" s="79"/>
      <c r="SIX37" s="79"/>
      <c r="SIY37" s="79"/>
      <c r="SIZ37" s="79"/>
      <c r="SJA37" s="79"/>
      <c r="SJB37" s="79"/>
      <c r="SJC37" s="79"/>
      <c r="SJD37" s="79"/>
      <c r="SJE37" s="79"/>
      <c r="SJF37" s="79"/>
      <c r="SJG37" s="79"/>
      <c r="SJH37" s="79"/>
      <c r="SJI37" s="79"/>
      <c r="SJJ37" s="79"/>
      <c r="SJK37" s="79"/>
      <c r="SJL37" s="79"/>
      <c r="SJM37" s="79"/>
      <c r="SJN37" s="79"/>
      <c r="SJO37" s="79"/>
      <c r="SJP37" s="79"/>
      <c r="SJQ37" s="79"/>
      <c r="SJR37" s="79"/>
      <c r="SJS37" s="79"/>
      <c r="SJT37" s="79"/>
      <c r="SJU37" s="79"/>
      <c r="SJV37" s="79"/>
      <c r="SJW37" s="79"/>
      <c r="SJX37" s="79"/>
      <c r="SJY37" s="79"/>
      <c r="SJZ37" s="79"/>
      <c r="SKA37" s="79"/>
      <c r="SKB37" s="79"/>
      <c r="SKC37" s="79"/>
      <c r="SKD37" s="79"/>
      <c r="SKE37" s="79"/>
      <c r="SKF37" s="79"/>
      <c r="SKG37" s="79"/>
      <c r="SKH37" s="79"/>
      <c r="SKI37" s="79"/>
      <c r="SKJ37" s="79"/>
      <c r="SKK37" s="79"/>
      <c r="SKL37" s="79"/>
      <c r="SKM37" s="79"/>
      <c r="SKN37" s="79"/>
      <c r="SKO37" s="79"/>
      <c r="SKP37" s="79"/>
      <c r="SKQ37" s="79"/>
      <c r="SKR37" s="79"/>
      <c r="SKS37" s="79"/>
      <c r="SKT37" s="79"/>
      <c r="SKU37" s="79"/>
      <c r="SKV37" s="79"/>
      <c r="SKW37" s="79"/>
      <c r="SKX37" s="79"/>
      <c r="SKY37" s="79"/>
      <c r="SKZ37" s="79"/>
      <c r="SLA37" s="79"/>
      <c r="SLB37" s="79"/>
      <c r="SLC37" s="79"/>
      <c r="SLD37" s="79"/>
      <c r="SLE37" s="79"/>
      <c r="SLF37" s="79"/>
      <c r="SLG37" s="79"/>
      <c r="SLH37" s="79"/>
      <c r="SLI37" s="79"/>
      <c r="SLJ37" s="79"/>
      <c r="SLK37" s="79"/>
      <c r="SLL37" s="79"/>
      <c r="SLM37" s="79"/>
      <c r="SLN37" s="79"/>
      <c r="SLO37" s="79"/>
      <c r="SLP37" s="79"/>
      <c r="SLQ37" s="79"/>
      <c r="SLR37" s="79"/>
      <c r="SLS37" s="79"/>
      <c r="SLT37" s="79"/>
      <c r="SLU37" s="79"/>
      <c r="SLV37" s="79"/>
      <c r="SLW37" s="79"/>
      <c r="SLX37" s="79"/>
      <c r="SLY37" s="79"/>
      <c r="SLZ37" s="79"/>
      <c r="SMA37" s="79"/>
      <c r="SMB37" s="79"/>
      <c r="SMC37" s="79"/>
      <c r="SMD37" s="79"/>
      <c r="SME37" s="79"/>
      <c r="SMF37" s="79"/>
      <c r="SMG37" s="79"/>
      <c r="SMH37" s="79"/>
      <c r="SMI37" s="79"/>
      <c r="SMJ37" s="79"/>
      <c r="SMK37" s="79"/>
      <c r="SML37" s="79"/>
      <c r="SMM37" s="79"/>
      <c r="SMN37" s="79"/>
      <c r="SMO37" s="79"/>
      <c r="SMP37" s="79"/>
      <c r="SMQ37" s="79"/>
      <c r="SMR37" s="79"/>
      <c r="SMS37" s="79"/>
      <c r="SMT37" s="79"/>
      <c r="SMU37" s="79"/>
      <c r="SMV37" s="79"/>
      <c r="SMW37" s="79"/>
      <c r="SMX37" s="79"/>
      <c r="SMY37" s="79"/>
      <c r="SMZ37" s="79"/>
      <c r="SNA37" s="79"/>
      <c r="SNB37" s="79"/>
      <c r="SNC37" s="79"/>
      <c r="SND37" s="79"/>
      <c r="SNE37" s="79"/>
      <c r="SNF37" s="79"/>
      <c r="SNG37" s="79"/>
      <c r="SNH37" s="79"/>
      <c r="SNI37" s="79"/>
      <c r="SNJ37" s="79"/>
      <c r="SNK37" s="79"/>
      <c r="SNL37" s="79"/>
      <c r="SNM37" s="79"/>
      <c r="SNN37" s="79"/>
      <c r="SNO37" s="79"/>
      <c r="SNP37" s="79"/>
      <c r="SNQ37" s="79"/>
      <c r="SNR37" s="79"/>
      <c r="SNS37" s="79"/>
      <c r="SNT37" s="79"/>
      <c r="SNU37" s="79"/>
      <c r="SNV37" s="79"/>
      <c r="SNW37" s="79"/>
      <c r="SNX37" s="79"/>
      <c r="SNY37" s="79"/>
      <c r="SNZ37" s="79"/>
      <c r="SOA37" s="79"/>
      <c r="SOB37" s="79"/>
      <c r="SOC37" s="79"/>
      <c r="SOD37" s="79"/>
      <c r="SOE37" s="79"/>
      <c r="SOF37" s="79"/>
      <c r="SOG37" s="79"/>
      <c r="SOH37" s="79"/>
      <c r="SOI37" s="79"/>
      <c r="SOJ37" s="79"/>
      <c r="SOK37" s="79"/>
      <c r="SOL37" s="79"/>
      <c r="SOM37" s="79"/>
      <c r="SON37" s="79"/>
      <c r="SOO37" s="79"/>
      <c r="SOP37" s="79"/>
      <c r="SOQ37" s="79"/>
      <c r="SOR37" s="79"/>
      <c r="SOS37" s="79"/>
      <c r="SOT37" s="79"/>
      <c r="SOU37" s="79"/>
      <c r="SOV37" s="79"/>
      <c r="SOW37" s="79"/>
      <c r="SOX37" s="79"/>
      <c r="SOY37" s="79"/>
      <c r="SOZ37" s="79"/>
      <c r="SPA37" s="79"/>
      <c r="SPB37" s="79"/>
      <c r="SPC37" s="79"/>
      <c r="SPD37" s="79"/>
      <c r="SPE37" s="79"/>
      <c r="SPF37" s="79"/>
      <c r="SPG37" s="79"/>
      <c r="SPH37" s="79"/>
      <c r="SPI37" s="79"/>
      <c r="SPJ37" s="79"/>
      <c r="SPK37" s="79"/>
      <c r="SPL37" s="79"/>
      <c r="SPM37" s="79"/>
      <c r="SPN37" s="79"/>
      <c r="SPO37" s="79"/>
      <c r="SPP37" s="79"/>
      <c r="SPQ37" s="79"/>
      <c r="SPR37" s="79"/>
      <c r="SPS37" s="79"/>
      <c r="SPT37" s="79"/>
      <c r="SPU37" s="79"/>
      <c r="SPV37" s="79"/>
      <c r="SPW37" s="79"/>
      <c r="SPX37" s="79"/>
      <c r="SPY37" s="79"/>
      <c r="SPZ37" s="79"/>
      <c r="SQA37" s="79"/>
      <c r="SQB37" s="79"/>
      <c r="SQC37" s="79"/>
      <c r="SQD37" s="79"/>
      <c r="SQE37" s="79"/>
      <c r="SQF37" s="79"/>
      <c r="SQG37" s="79"/>
      <c r="SQH37" s="79"/>
      <c r="SQI37" s="79"/>
      <c r="SQJ37" s="79"/>
      <c r="SQK37" s="79"/>
      <c r="SQL37" s="79"/>
      <c r="SQM37" s="79"/>
      <c r="SQN37" s="79"/>
      <c r="SQO37" s="79"/>
      <c r="SQP37" s="79"/>
      <c r="SQQ37" s="79"/>
      <c r="SQR37" s="79"/>
      <c r="SQS37" s="79"/>
      <c r="SQT37" s="79"/>
      <c r="SQU37" s="79"/>
      <c r="SQV37" s="79"/>
      <c r="SQW37" s="79"/>
      <c r="SQX37" s="79"/>
      <c r="SQY37" s="79"/>
      <c r="SQZ37" s="79"/>
      <c r="SRA37" s="79"/>
      <c r="SRB37" s="79"/>
      <c r="SRC37" s="79"/>
      <c r="SRD37" s="79"/>
      <c r="SRE37" s="79"/>
      <c r="SRF37" s="79"/>
      <c r="SRG37" s="79"/>
      <c r="SRH37" s="79"/>
      <c r="SRI37" s="79"/>
      <c r="SRJ37" s="79"/>
      <c r="SRK37" s="79"/>
      <c r="SRL37" s="79"/>
      <c r="SRM37" s="79"/>
      <c r="SRN37" s="79"/>
      <c r="SRO37" s="79"/>
      <c r="SRP37" s="79"/>
      <c r="SRQ37" s="79"/>
      <c r="SRR37" s="79"/>
      <c r="SRS37" s="79"/>
      <c r="SRT37" s="79"/>
      <c r="SRU37" s="79"/>
      <c r="SRV37" s="79"/>
      <c r="SRW37" s="79"/>
      <c r="SRX37" s="79"/>
      <c r="SRY37" s="79"/>
      <c r="SRZ37" s="79"/>
      <c r="SSA37" s="79"/>
      <c r="SSB37" s="79"/>
      <c r="SSC37" s="79"/>
      <c r="SSD37" s="79"/>
      <c r="SSE37" s="79"/>
      <c r="SSF37" s="79"/>
      <c r="SSG37" s="79"/>
      <c r="SSH37" s="79"/>
      <c r="SSI37" s="79"/>
      <c r="SSJ37" s="79"/>
      <c r="SSK37" s="79"/>
      <c r="SSL37" s="79"/>
      <c r="SSM37" s="79"/>
      <c r="SSN37" s="79"/>
      <c r="SSO37" s="79"/>
      <c r="SSP37" s="79"/>
      <c r="SSQ37" s="79"/>
      <c r="SSR37" s="79"/>
      <c r="SSS37" s="79"/>
      <c r="SST37" s="79"/>
      <c r="SSU37" s="79"/>
      <c r="SSV37" s="79"/>
      <c r="SSW37" s="79"/>
      <c r="SSX37" s="79"/>
      <c r="SSY37" s="79"/>
      <c r="SSZ37" s="79"/>
      <c r="STA37" s="79"/>
      <c r="STB37" s="79"/>
      <c r="STC37" s="79"/>
      <c r="STD37" s="79"/>
      <c r="STE37" s="79"/>
      <c r="STF37" s="79"/>
      <c r="STG37" s="79"/>
      <c r="STH37" s="79"/>
      <c r="STI37" s="79"/>
      <c r="STJ37" s="79"/>
      <c r="STK37" s="79"/>
      <c r="STL37" s="79"/>
      <c r="STM37" s="79"/>
      <c r="STN37" s="79"/>
      <c r="STO37" s="79"/>
      <c r="STP37" s="79"/>
      <c r="STQ37" s="79"/>
      <c r="STR37" s="79"/>
      <c r="STS37" s="79"/>
      <c r="STT37" s="79"/>
      <c r="STU37" s="79"/>
      <c r="STV37" s="79"/>
      <c r="STW37" s="79"/>
      <c r="STX37" s="79"/>
      <c r="STY37" s="79"/>
      <c r="STZ37" s="79"/>
      <c r="SUA37" s="79"/>
      <c r="SUB37" s="79"/>
      <c r="SUC37" s="79"/>
      <c r="SUD37" s="79"/>
      <c r="SUE37" s="79"/>
      <c r="SUF37" s="79"/>
      <c r="SUG37" s="79"/>
      <c r="SUH37" s="79"/>
      <c r="SUI37" s="79"/>
      <c r="SUJ37" s="79"/>
      <c r="SUK37" s="79"/>
      <c r="SUL37" s="79"/>
      <c r="SUM37" s="79"/>
      <c r="SUN37" s="79"/>
      <c r="SUO37" s="79"/>
      <c r="SUP37" s="79"/>
      <c r="SUQ37" s="79"/>
      <c r="SUR37" s="79"/>
      <c r="SUS37" s="79"/>
      <c r="SUT37" s="79"/>
      <c r="SUU37" s="79"/>
      <c r="SUV37" s="79"/>
      <c r="SUW37" s="79"/>
      <c r="SUX37" s="79"/>
      <c r="SUY37" s="79"/>
      <c r="SUZ37" s="79"/>
      <c r="SVA37" s="79"/>
      <c r="SVB37" s="79"/>
      <c r="SVC37" s="79"/>
      <c r="SVD37" s="79"/>
      <c r="SVE37" s="79"/>
      <c r="SVF37" s="79"/>
      <c r="SVG37" s="79"/>
      <c r="SVH37" s="79"/>
      <c r="SVI37" s="79"/>
      <c r="SVJ37" s="79"/>
      <c r="SVK37" s="79"/>
      <c r="SVL37" s="79"/>
      <c r="SVM37" s="79"/>
      <c r="SVN37" s="79"/>
      <c r="SVO37" s="79"/>
      <c r="SVP37" s="79"/>
      <c r="SVQ37" s="79"/>
      <c r="SVR37" s="79"/>
      <c r="SVS37" s="79"/>
      <c r="SVT37" s="79"/>
      <c r="SVU37" s="79"/>
      <c r="SVV37" s="79"/>
      <c r="SVW37" s="79"/>
      <c r="SVX37" s="79"/>
      <c r="SVY37" s="79"/>
      <c r="SVZ37" s="79"/>
      <c r="SWA37" s="79"/>
      <c r="SWB37" s="79"/>
      <c r="SWC37" s="79"/>
      <c r="SWD37" s="79"/>
      <c r="SWE37" s="79"/>
      <c r="SWF37" s="79"/>
      <c r="SWG37" s="79"/>
      <c r="SWH37" s="79"/>
      <c r="SWI37" s="79"/>
      <c r="SWJ37" s="79"/>
      <c r="SWK37" s="79"/>
      <c r="SWL37" s="79"/>
      <c r="SWM37" s="79"/>
      <c r="SWN37" s="79"/>
      <c r="SWO37" s="79"/>
      <c r="SWP37" s="79"/>
      <c r="SWQ37" s="79"/>
      <c r="SWR37" s="79"/>
      <c r="SWS37" s="79"/>
      <c r="SWT37" s="79"/>
      <c r="SWU37" s="79"/>
      <c r="SWV37" s="79"/>
      <c r="SWW37" s="79"/>
      <c r="SWX37" s="79"/>
      <c r="SWY37" s="79"/>
      <c r="SWZ37" s="79"/>
      <c r="SXA37" s="79"/>
      <c r="SXB37" s="79"/>
      <c r="SXC37" s="79"/>
      <c r="SXD37" s="79"/>
      <c r="SXE37" s="79"/>
      <c r="SXF37" s="79"/>
      <c r="SXG37" s="79"/>
      <c r="SXH37" s="79"/>
      <c r="SXI37" s="79"/>
      <c r="SXJ37" s="79"/>
      <c r="SXK37" s="79"/>
      <c r="SXL37" s="79"/>
      <c r="SXM37" s="79"/>
      <c r="SXN37" s="79"/>
      <c r="SXO37" s="79"/>
      <c r="SXP37" s="79"/>
      <c r="SXQ37" s="79"/>
      <c r="SXR37" s="79"/>
      <c r="SXS37" s="79"/>
      <c r="SXT37" s="79"/>
      <c r="SXU37" s="79"/>
      <c r="SXV37" s="79"/>
      <c r="SXW37" s="79"/>
      <c r="SXX37" s="79"/>
      <c r="SXY37" s="79"/>
      <c r="SXZ37" s="79"/>
      <c r="SYA37" s="79"/>
      <c r="SYB37" s="79"/>
      <c r="SYC37" s="79"/>
      <c r="SYD37" s="79"/>
      <c r="SYE37" s="79"/>
      <c r="SYF37" s="79"/>
      <c r="SYG37" s="79"/>
      <c r="SYH37" s="79"/>
      <c r="SYI37" s="79"/>
      <c r="SYJ37" s="79"/>
      <c r="SYK37" s="79"/>
      <c r="SYL37" s="79"/>
      <c r="SYM37" s="79"/>
      <c r="SYN37" s="79"/>
      <c r="SYO37" s="79"/>
      <c r="SYP37" s="79"/>
      <c r="SYQ37" s="79"/>
      <c r="SYR37" s="79"/>
      <c r="SYS37" s="79"/>
      <c r="SYT37" s="79"/>
      <c r="SYU37" s="79"/>
      <c r="SYV37" s="79"/>
      <c r="SYW37" s="79"/>
      <c r="SYX37" s="79"/>
      <c r="SYY37" s="79"/>
      <c r="SYZ37" s="79"/>
      <c r="SZA37" s="79"/>
      <c r="SZB37" s="79"/>
      <c r="SZC37" s="79"/>
      <c r="SZD37" s="79"/>
      <c r="SZE37" s="79"/>
      <c r="SZF37" s="79"/>
      <c r="SZG37" s="79"/>
      <c r="SZH37" s="79"/>
      <c r="SZI37" s="79"/>
      <c r="SZJ37" s="79"/>
      <c r="SZK37" s="79"/>
      <c r="SZL37" s="79"/>
      <c r="SZM37" s="79"/>
      <c r="SZN37" s="79"/>
      <c r="SZO37" s="79"/>
      <c r="SZP37" s="79"/>
      <c r="SZQ37" s="79"/>
      <c r="SZR37" s="79"/>
      <c r="SZS37" s="79"/>
      <c r="SZT37" s="79"/>
      <c r="SZU37" s="79"/>
      <c r="SZV37" s="79"/>
      <c r="SZW37" s="79"/>
      <c r="SZX37" s="79"/>
      <c r="SZY37" s="79"/>
      <c r="SZZ37" s="79"/>
      <c r="TAA37" s="79"/>
      <c r="TAB37" s="79"/>
      <c r="TAC37" s="79"/>
      <c r="TAD37" s="79"/>
      <c r="TAE37" s="79"/>
      <c r="TAF37" s="79"/>
      <c r="TAG37" s="79"/>
      <c r="TAH37" s="79"/>
      <c r="TAI37" s="79"/>
      <c r="TAJ37" s="79"/>
      <c r="TAK37" s="79"/>
      <c r="TAL37" s="79"/>
      <c r="TAM37" s="79"/>
      <c r="TAN37" s="79"/>
      <c r="TAO37" s="79"/>
      <c r="TAP37" s="79"/>
      <c r="TAQ37" s="79"/>
      <c r="TAR37" s="79"/>
      <c r="TAS37" s="79"/>
      <c r="TAT37" s="79"/>
      <c r="TAU37" s="79"/>
      <c r="TAV37" s="79"/>
      <c r="TAW37" s="79"/>
      <c r="TAX37" s="79"/>
      <c r="TAY37" s="79"/>
      <c r="TAZ37" s="79"/>
      <c r="TBA37" s="79"/>
      <c r="TBB37" s="79"/>
      <c r="TBC37" s="79"/>
      <c r="TBD37" s="79"/>
      <c r="TBE37" s="79"/>
      <c r="TBF37" s="79"/>
      <c r="TBG37" s="79"/>
      <c r="TBH37" s="79"/>
      <c r="TBI37" s="79"/>
      <c r="TBJ37" s="79"/>
      <c r="TBK37" s="79"/>
      <c r="TBL37" s="79"/>
      <c r="TBM37" s="79"/>
      <c r="TBN37" s="79"/>
      <c r="TBO37" s="79"/>
      <c r="TBP37" s="79"/>
      <c r="TBQ37" s="79"/>
      <c r="TBR37" s="79"/>
      <c r="TBS37" s="79"/>
      <c r="TBT37" s="79"/>
      <c r="TBU37" s="79"/>
      <c r="TBV37" s="79"/>
      <c r="TBW37" s="79"/>
      <c r="TBX37" s="79"/>
      <c r="TBY37" s="79"/>
      <c r="TBZ37" s="79"/>
      <c r="TCA37" s="79"/>
      <c r="TCB37" s="79"/>
      <c r="TCC37" s="79"/>
      <c r="TCD37" s="79"/>
      <c r="TCE37" s="79"/>
      <c r="TCF37" s="79"/>
      <c r="TCG37" s="79"/>
      <c r="TCH37" s="79"/>
      <c r="TCI37" s="79"/>
      <c r="TCJ37" s="79"/>
      <c r="TCK37" s="79"/>
      <c r="TCL37" s="79"/>
      <c r="TCM37" s="79"/>
      <c r="TCN37" s="79"/>
      <c r="TCO37" s="79"/>
      <c r="TCP37" s="79"/>
      <c r="TCQ37" s="79"/>
      <c r="TCR37" s="79"/>
      <c r="TCS37" s="79"/>
      <c r="TCT37" s="79"/>
      <c r="TCU37" s="79"/>
      <c r="TCV37" s="79"/>
      <c r="TCW37" s="79"/>
      <c r="TCX37" s="79"/>
      <c r="TCY37" s="79"/>
      <c r="TCZ37" s="79"/>
      <c r="TDA37" s="79"/>
      <c r="TDB37" s="79"/>
      <c r="TDC37" s="79"/>
      <c r="TDD37" s="79"/>
      <c r="TDE37" s="79"/>
      <c r="TDF37" s="79"/>
      <c r="TDG37" s="79"/>
      <c r="TDH37" s="79"/>
      <c r="TDI37" s="79"/>
      <c r="TDJ37" s="79"/>
      <c r="TDK37" s="79"/>
      <c r="TDL37" s="79"/>
      <c r="TDM37" s="79"/>
      <c r="TDN37" s="79"/>
      <c r="TDO37" s="79"/>
      <c r="TDP37" s="79"/>
      <c r="TDQ37" s="79"/>
      <c r="TDR37" s="79"/>
      <c r="TDS37" s="79"/>
      <c r="TDT37" s="79"/>
      <c r="TDU37" s="79"/>
      <c r="TDV37" s="79"/>
      <c r="TDW37" s="79"/>
      <c r="TDX37" s="79"/>
      <c r="TDY37" s="79"/>
      <c r="TDZ37" s="79"/>
      <c r="TEA37" s="79"/>
      <c r="TEB37" s="79"/>
      <c r="TEC37" s="79"/>
      <c r="TED37" s="79"/>
      <c r="TEE37" s="79"/>
      <c r="TEF37" s="79"/>
      <c r="TEG37" s="79"/>
      <c r="TEH37" s="79"/>
      <c r="TEI37" s="79"/>
      <c r="TEJ37" s="79"/>
      <c r="TEK37" s="79"/>
      <c r="TEL37" s="79"/>
      <c r="TEM37" s="79"/>
      <c r="TEN37" s="79"/>
      <c r="TEO37" s="79"/>
      <c r="TEP37" s="79"/>
      <c r="TEQ37" s="79"/>
      <c r="TER37" s="79"/>
      <c r="TES37" s="79"/>
      <c r="TET37" s="79"/>
      <c r="TEU37" s="79"/>
      <c r="TEV37" s="79"/>
      <c r="TEW37" s="79"/>
      <c r="TEX37" s="79"/>
      <c r="TEY37" s="79"/>
      <c r="TEZ37" s="79"/>
      <c r="TFA37" s="79"/>
      <c r="TFB37" s="79"/>
      <c r="TFC37" s="79"/>
      <c r="TFD37" s="79"/>
      <c r="TFE37" s="79"/>
      <c r="TFF37" s="79"/>
      <c r="TFG37" s="79"/>
      <c r="TFH37" s="79"/>
      <c r="TFI37" s="79"/>
      <c r="TFJ37" s="79"/>
      <c r="TFK37" s="79"/>
      <c r="TFL37" s="79"/>
      <c r="TFM37" s="79"/>
      <c r="TFN37" s="79"/>
      <c r="TFO37" s="79"/>
      <c r="TFP37" s="79"/>
      <c r="TFQ37" s="79"/>
      <c r="TFR37" s="79"/>
      <c r="TFS37" s="79"/>
      <c r="TFT37" s="79"/>
      <c r="TFU37" s="79"/>
      <c r="TFV37" s="79"/>
      <c r="TFW37" s="79"/>
      <c r="TFX37" s="79"/>
      <c r="TFY37" s="79"/>
      <c r="TFZ37" s="79"/>
      <c r="TGA37" s="79"/>
      <c r="TGB37" s="79"/>
      <c r="TGC37" s="79"/>
      <c r="TGD37" s="79"/>
      <c r="TGE37" s="79"/>
      <c r="TGF37" s="79"/>
      <c r="TGG37" s="79"/>
      <c r="TGH37" s="79"/>
      <c r="TGI37" s="79"/>
      <c r="TGJ37" s="79"/>
      <c r="TGK37" s="79"/>
      <c r="TGL37" s="79"/>
      <c r="TGM37" s="79"/>
      <c r="TGN37" s="79"/>
      <c r="TGO37" s="79"/>
      <c r="TGP37" s="79"/>
      <c r="TGQ37" s="79"/>
      <c r="TGR37" s="79"/>
      <c r="TGS37" s="79"/>
      <c r="TGT37" s="79"/>
      <c r="TGU37" s="79"/>
      <c r="TGV37" s="79"/>
      <c r="TGW37" s="79"/>
      <c r="TGX37" s="79"/>
      <c r="TGY37" s="79"/>
      <c r="TGZ37" s="79"/>
      <c r="THA37" s="79"/>
      <c r="THB37" s="79"/>
      <c r="THC37" s="79"/>
      <c r="THD37" s="79"/>
      <c r="THE37" s="79"/>
      <c r="THF37" s="79"/>
      <c r="THG37" s="79"/>
      <c r="THH37" s="79"/>
      <c r="THI37" s="79"/>
      <c r="THJ37" s="79"/>
      <c r="THK37" s="79"/>
      <c r="THL37" s="79"/>
      <c r="THM37" s="79"/>
      <c r="THN37" s="79"/>
      <c r="THO37" s="79"/>
      <c r="THP37" s="79"/>
      <c r="THQ37" s="79"/>
      <c r="THR37" s="79"/>
      <c r="THS37" s="79"/>
      <c r="THT37" s="79"/>
      <c r="THU37" s="79"/>
      <c r="THV37" s="79"/>
      <c r="THW37" s="79"/>
      <c r="THX37" s="79"/>
      <c r="THY37" s="79"/>
      <c r="THZ37" s="79"/>
      <c r="TIA37" s="79"/>
      <c r="TIB37" s="79"/>
      <c r="TIC37" s="79"/>
      <c r="TID37" s="79"/>
      <c r="TIE37" s="79"/>
      <c r="TIF37" s="79"/>
      <c r="TIG37" s="79"/>
      <c r="TIH37" s="79"/>
      <c r="TII37" s="79"/>
      <c r="TIJ37" s="79"/>
      <c r="TIK37" s="79"/>
      <c r="TIL37" s="79"/>
      <c r="TIM37" s="79"/>
      <c r="TIN37" s="79"/>
      <c r="TIO37" s="79"/>
      <c r="TIP37" s="79"/>
      <c r="TIQ37" s="79"/>
      <c r="TIR37" s="79"/>
      <c r="TIS37" s="79"/>
      <c r="TIT37" s="79"/>
      <c r="TIU37" s="79"/>
      <c r="TIV37" s="79"/>
      <c r="TIW37" s="79"/>
      <c r="TIX37" s="79"/>
      <c r="TIY37" s="79"/>
      <c r="TIZ37" s="79"/>
      <c r="TJA37" s="79"/>
      <c r="TJB37" s="79"/>
      <c r="TJC37" s="79"/>
      <c r="TJD37" s="79"/>
      <c r="TJE37" s="79"/>
      <c r="TJF37" s="79"/>
      <c r="TJG37" s="79"/>
      <c r="TJH37" s="79"/>
      <c r="TJI37" s="79"/>
      <c r="TJJ37" s="79"/>
      <c r="TJK37" s="79"/>
      <c r="TJL37" s="79"/>
      <c r="TJM37" s="79"/>
      <c r="TJN37" s="79"/>
      <c r="TJO37" s="79"/>
      <c r="TJP37" s="79"/>
      <c r="TJQ37" s="79"/>
      <c r="TJR37" s="79"/>
      <c r="TJS37" s="79"/>
      <c r="TJT37" s="79"/>
      <c r="TJU37" s="79"/>
      <c r="TJV37" s="79"/>
      <c r="TJW37" s="79"/>
      <c r="TJX37" s="79"/>
      <c r="TJY37" s="79"/>
      <c r="TJZ37" s="79"/>
      <c r="TKA37" s="79"/>
      <c r="TKB37" s="79"/>
      <c r="TKC37" s="79"/>
      <c r="TKD37" s="79"/>
      <c r="TKE37" s="79"/>
      <c r="TKF37" s="79"/>
      <c r="TKG37" s="79"/>
      <c r="TKH37" s="79"/>
      <c r="TKI37" s="79"/>
      <c r="TKJ37" s="79"/>
      <c r="TKK37" s="79"/>
      <c r="TKL37" s="79"/>
      <c r="TKM37" s="79"/>
      <c r="TKN37" s="79"/>
      <c r="TKO37" s="79"/>
      <c r="TKP37" s="79"/>
      <c r="TKQ37" s="79"/>
      <c r="TKR37" s="79"/>
      <c r="TKS37" s="79"/>
      <c r="TKT37" s="79"/>
      <c r="TKU37" s="79"/>
      <c r="TKV37" s="79"/>
      <c r="TKW37" s="79"/>
      <c r="TKX37" s="79"/>
      <c r="TKY37" s="79"/>
      <c r="TKZ37" s="79"/>
      <c r="TLA37" s="79"/>
      <c r="TLB37" s="79"/>
      <c r="TLC37" s="79"/>
      <c r="TLD37" s="79"/>
      <c r="TLE37" s="79"/>
      <c r="TLF37" s="79"/>
      <c r="TLG37" s="79"/>
      <c r="TLH37" s="79"/>
      <c r="TLI37" s="79"/>
      <c r="TLJ37" s="79"/>
      <c r="TLK37" s="79"/>
      <c r="TLL37" s="79"/>
      <c r="TLM37" s="79"/>
      <c r="TLN37" s="79"/>
      <c r="TLO37" s="79"/>
      <c r="TLP37" s="79"/>
      <c r="TLQ37" s="79"/>
      <c r="TLR37" s="79"/>
      <c r="TLS37" s="79"/>
      <c r="TLT37" s="79"/>
      <c r="TLU37" s="79"/>
      <c r="TLV37" s="79"/>
      <c r="TLW37" s="79"/>
      <c r="TLX37" s="79"/>
      <c r="TLY37" s="79"/>
      <c r="TLZ37" s="79"/>
      <c r="TMA37" s="79"/>
      <c r="TMB37" s="79"/>
      <c r="TMC37" s="79"/>
      <c r="TMD37" s="79"/>
      <c r="TME37" s="79"/>
      <c r="TMF37" s="79"/>
      <c r="TMG37" s="79"/>
      <c r="TMH37" s="79"/>
      <c r="TMI37" s="79"/>
      <c r="TMJ37" s="79"/>
      <c r="TMK37" s="79"/>
      <c r="TML37" s="79"/>
      <c r="TMM37" s="79"/>
      <c r="TMN37" s="79"/>
      <c r="TMO37" s="79"/>
      <c r="TMP37" s="79"/>
      <c r="TMQ37" s="79"/>
      <c r="TMR37" s="79"/>
      <c r="TMS37" s="79"/>
      <c r="TMT37" s="79"/>
      <c r="TMU37" s="79"/>
      <c r="TMV37" s="79"/>
      <c r="TMW37" s="79"/>
      <c r="TMX37" s="79"/>
      <c r="TMY37" s="79"/>
      <c r="TMZ37" s="79"/>
      <c r="TNA37" s="79"/>
      <c r="TNB37" s="79"/>
      <c r="TNC37" s="79"/>
      <c r="TND37" s="79"/>
      <c r="TNE37" s="79"/>
      <c r="TNF37" s="79"/>
      <c r="TNG37" s="79"/>
      <c r="TNH37" s="79"/>
      <c r="TNI37" s="79"/>
      <c r="TNJ37" s="79"/>
      <c r="TNK37" s="79"/>
      <c r="TNL37" s="79"/>
      <c r="TNM37" s="79"/>
      <c r="TNN37" s="79"/>
      <c r="TNO37" s="79"/>
      <c r="TNP37" s="79"/>
      <c r="TNQ37" s="79"/>
      <c r="TNR37" s="79"/>
      <c r="TNS37" s="79"/>
      <c r="TNT37" s="79"/>
      <c r="TNU37" s="79"/>
      <c r="TNV37" s="79"/>
      <c r="TNW37" s="79"/>
      <c r="TNX37" s="79"/>
      <c r="TNY37" s="79"/>
      <c r="TNZ37" s="79"/>
      <c r="TOA37" s="79"/>
      <c r="TOB37" s="79"/>
      <c r="TOC37" s="79"/>
      <c r="TOD37" s="79"/>
      <c r="TOE37" s="79"/>
      <c r="TOF37" s="79"/>
      <c r="TOG37" s="79"/>
      <c r="TOH37" s="79"/>
      <c r="TOI37" s="79"/>
      <c r="TOJ37" s="79"/>
      <c r="TOK37" s="79"/>
      <c r="TOL37" s="79"/>
      <c r="TOM37" s="79"/>
      <c r="TON37" s="79"/>
      <c r="TOO37" s="79"/>
      <c r="TOP37" s="79"/>
      <c r="TOQ37" s="79"/>
      <c r="TOR37" s="79"/>
      <c r="TOS37" s="79"/>
      <c r="TOT37" s="79"/>
      <c r="TOU37" s="79"/>
      <c r="TOV37" s="79"/>
      <c r="TOW37" s="79"/>
      <c r="TOX37" s="79"/>
      <c r="TOY37" s="79"/>
      <c r="TOZ37" s="79"/>
      <c r="TPA37" s="79"/>
      <c r="TPB37" s="79"/>
      <c r="TPC37" s="79"/>
      <c r="TPD37" s="79"/>
      <c r="TPE37" s="79"/>
      <c r="TPF37" s="79"/>
      <c r="TPG37" s="79"/>
      <c r="TPH37" s="79"/>
      <c r="TPI37" s="79"/>
      <c r="TPJ37" s="79"/>
      <c r="TPK37" s="79"/>
      <c r="TPL37" s="79"/>
      <c r="TPM37" s="79"/>
      <c r="TPN37" s="79"/>
      <c r="TPO37" s="79"/>
      <c r="TPP37" s="79"/>
      <c r="TPQ37" s="79"/>
      <c r="TPR37" s="79"/>
      <c r="TPS37" s="79"/>
      <c r="TPT37" s="79"/>
      <c r="TPU37" s="79"/>
      <c r="TPV37" s="79"/>
      <c r="TPW37" s="79"/>
      <c r="TPX37" s="79"/>
      <c r="TPY37" s="79"/>
      <c r="TPZ37" s="79"/>
      <c r="TQA37" s="79"/>
      <c r="TQB37" s="79"/>
      <c r="TQC37" s="79"/>
      <c r="TQD37" s="79"/>
      <c r="TQE37" s="79"/>
      <c r="TQF37" s="79"/>
      <c r="TQG37" s="79"/>
      <c r="TQH37" s="79"/>
      <c r="TQI37" s="79"/>
      <c r="TQJ37" s="79"/>
      <c r="TQK37" s="79"/>
      <c r="TQL37" s="79"/>
      <c r="TQM37" s="79"/>
      <c r="TQN37" s="79"/>
      <c r="TQO37" s="79"/>
      <c r="TQP37" s="79"/>
      <c r="TQQ37" s="79"/>
      <c r="TQR37" s="79"/>
      <c r="TQS37" s="79"/>
      <c r="TQT37" s="79"/>
      <c r="TQU37" s="79"/>
      <c r="TQV37" s="79"/>
      <c r="TQW37" s="79"/>
      <c r="TQX37" s="79"/>
      <c r="TQY37" s="79"/>
      <c r="TQZ37" s="79"/>
      <c r="TRA37" s="79"/>
      <c r="TRB37" s="79"/>
      <c r="TRC37" s="79"/>
      <c r="TRD37" s="79"/>
      <c r="TRE37" s="79"/>
      <c r="TRF37" s="79"/>
      <c r="TRG37" s="79"/>
      <c r="TRH37" s="79"/>
      <c r="TRI37" s="79"/>
      <c r="TRJ37" s="79"/>
      <c r="TRK37" s="79"/>
      <c r="TRL37" s="79"/>
      <c r="TRM37" s="79"/>
      <c r="TRN37" s="79"/>
      <c r="TRO37" s="79"/>
      <c r="TRP37" s="79"/>
      <c r="TRQ37" s="79"/>
      <c r="TRR37" s="79"/>
      <c r="TRS37" s="79"/>
      <c r="TRT37" s="79"/>
      <c r="TRU37" s="79"/>
      <c r="TRV37" s="79"/>
      <c r="TRW37" s="79"/>
      <c r="TRX37" s="79"/>
      <c r="TRY37" s="79"/>
      <c r="TRZ37" s="79"/>
      <c r="TSA37" s="79"/>
      <c r="TSB37" s="79"/>
      <c r="TSC37" s="79"/>
      <c r="TSD37" s="79"/>
      <c r="TSE37" s="79"/>
      <c r="TSF37" s="79"/>
      <c r="TSG37" s="79"/>
      <c r="TSH37" s="79"/>
      <c r="TSI37" s="79"/>
      <c r="TSJ37" s="79"/>
      <c r="TSK37" s="79"/>
      <c r="TSL37" s="79"/>
      <c r="TSM37" s="79"/>
      <c r="TSN37" s="79"/>
      <c r="TSO37" s="79"/>
      <c r="TSP37" s="79"/>
      <c r="TSQ37" s="79"/>
      <c r="TSR37" s="79"/>
      <c r="TSS37" s="79"/>
      <c r="TST37" s="79"/>
      <c r="TSU37" s="79"/>
      <c r="TSV37" s="79"/>
      <c r="TSW37" s="79"/>
      <c r="TSX37" s="79"/>
      <c r="TSY37" s="79"/>
      <c r="TSZ37" s="79"/>
      <c r="TTA37" s="79"/>
      <c r="TTB37" s="79"/>
      <c r="TTC37" s="79"/>
      <c r="TTD37" s="79"/>
      <c r="TTE37" s="79"/>
      <c r="TTF37" s="79"/>
      <c r="TTG37" s="79"/>
      <c r="TTH37" s="79"/>
      <c r="TTI37" s="79"/>
      <c r="TTJ37" s="79"/>
      <c r="TTK37" s="79"/>
      <c r="TTL37" s="79"/>
      <c r="TTM37" s="79"/>
      <c r="TTN37" s="79"/>
      <c r="TTO37" s="79"/>
      <c r="TTP37" s="79"/>
      <c r="TTQ37" s="79"/>
      <c r="TTR37" s="79"/>
      <c r="TTS37" s="79"/>
      <c r="TTT37" s="79"/>
      <c r="TTU37" s="79"/>
      <c r="TTV37" s="79"/>
      <c r="TTW37" s="79"/>
      <c r="TTX37" s="79"/>
      <c r="TTY37" s="79"/>
      <c r="TTZ37" s="79"/>
      <c r="TUA37" s="79"/>
      <c r="TUB37" s="79"/>
      <c r="TUC37" s="79"/>
      <c r="TUD37" s="79"/>
      <c r="TUE37" s="79"/>
      <c r="TUF37" s="79"/>
      <c r="TUG37" s="79"/>
      <c r="TUH37" s="79"/>
      <c r="TUI37" s="79"/>
      <c r="TUJ37" s="79"/>
      <c r="TUK37" s="79"/>
      <c r="TUL37" s="79"/>
      <c r="TUM37" s="79"/>
      <c r="TUN37" s="79"/>
      <c r="TUO37" s="79"/>
      <c r="TUP37" s="79"/>
      <c r="TUQ37" s="79"/>
      <c r="TUR37" s="79"/>
      <c r="TUS37" s="79"/>
      <c r="TUT37" s="79"/>
      <c r="TUU37" s="79"/>
      <c r="TUV37" s="79"/>
      <c r="TUW37" s="79"/>
      <c r="TUX37" s="79"/>
      <c r="TUY37" s="79"/>
      <c r="TUZ37" s="79"/>
      <c r="TVA37" s="79"/>
      <c r="TVB37" s="79"/>
      <c r="TVC37" s="79"/>
      <c r="TVD37" s="79"/>
      <c r="TVE37" s="79"/>
      <c r="TVF37" s="79"/>
      <c r="TVG37" s="79"/>
      <c r="TVH37" s="79"/>
      <c r="TVI37" s="79"/>
      <c r="TVJ37" s="79"/>
      <c r="TVK37" s="79"/>
      <c r="TVL37" s="79"/>
      <c r="TVM37" s="79"/>
      <c r="TVN37" s="79"/>
      <c r="TVO37" s="79"/>
      <c r="TVP37" s="79"/>
      <c r="TVQ37" s="79"/>
      <c r="TVR37" s="79"/>
      <c r="TVS37" s="79"/>
      <c r="TVT37" s="79"/>
      <c r="TVU37" s="79"/>
      <c r="TVV37" s="79"/>
      <c r="TVW37" s="79"/>
      <c r="TVX37" s="79"/>
      <c r="TVY37" s="79"/>
      <c r="TVZ37" s="79"/>
      <c r="TWA37" s="79"/>
      <c r="TWB37" s="79"/>
      <c r="TWC37" s="79"/>
      <c r="TWD37" s="79"/>
      <c r="TWE37" s="79"/>
      <c r="TWF37" s="79"/>
      <c r="TWG37" s="79"/>
      <c r="TWH37" s="79"/>
      <c r="TWI37" s="79"/>
      <c r="TWJ37" s="79"/>
      <c r="TWK37" s="79"/>
      <c r="TWL37" s="79"/>
      <c r="TWM37" s="79"/>
      <c r="TWN37" s="79"/>
      <c r="TWO37" s="79"/>
      <c r="TWP37" s="79"/>
      <c r="TWQ37" s="79"/>
      <c r="TWR37" s="79"/>
      <c r="TWS37" s="79"/>
      <c r="TWT37" s="79"/>
      <c r="TWU37" s="79"/>
      <c r="TWV37" s="79"/>
      <c r="TWW37" s="79"/>
      <c r="TWX37" s="79"/>
      <c r="TWY37" s="79"/>
      <c r="TWZ37" s="79"/>
      <c r="TXA37" s="79"/>
      <c r="TXB37" s="79"/>
      <c r="TXC37" s="79"/>
      <c r="TXD37" s="79"/>
      <c r="TXE37" s="79"/>
      <c r="TXF37" s="79"/>
      <c r="TXG37" s="79"/>
      <c r="TXH37" s="79"/>
      <c r="TXI37" s="79"/>
      <c r="TXJ37" s="79"/>
      <c r="TXK37" s="79"/>
      <c r="TXL37" s="79"/>
      <c r="TXM37" s="79"/>
      <c r="TXN37" s="79"/>
      <c r="TXO37" s="79"/>
      <c r="TXP37" s="79"/>
      <c r="TXQ37" s="79"/>
      <c r="TXR37" s="79"/>
      <c r="TXS37" s="79"/>
      <c r="TXT37" s="79"/>
      <c r="TXU37" s="79"/>
      <c r="TXV37" s="79"/>
      <c r="TXW37" s="79"/>
      <c r="TXX37" s="79"/>
      <c r="TXY37" s="79"/>
      <c r="TXZ37" s="79"/>
      <c r="TYA37" s="79"/>
      <c r="TYB37" s="79"/>
      <c r="TYC37" s="79"/>
      <c r="TYD37" s="79"/>
      <c r="TYE37" s="79"/>
      <c r="TYF37" s="79"/>
      <c r="TYG37" s="79"/>
      <c r="TYH37" s="79"/>
      <c r="TYI37" s="79"/>
      <c r="TYJ37" s="79"/>
      <c r="TYK37" s="79"/>
      <c r="TYL37" s="79"/>
      <c r="TYM37" s="79"/>
      <c r="TYN37" s="79"/>
      <c r="TYO37" s="79"/>
      <c r="TYP37" s="79"/>
      <c r="TYQ37" s="79"/>
      <c r="TYR37" s="79"/>
      <c r="TYS37" s="79"/>
      <c r="TYT37" s="79"/>
      <c r="TYU37" s="79"/>
      <c r="TYV37" s="79"/>
      <c r="TYW37" s="79"/>
      <c r="TYX37" s="79"/>
      <c r="TYY37" s="79"/>
      <c r="TYZ37" s="79"/>
      <c r="TZA37" s="79"/>
      <c r="TZB37" s="79"/>
      <c r="TZC37" s="79"/>
      <c r="TZD37" s="79"/>
      <c r="TZE37" s="79"/>
      <c r="TZF37" s="79"/>
      <c r="TZG37" s="79"/>
      <c r="TZH37" s="79"/>
      <c r="TZI37" s="79"/>
      <c r="TZJ37" s="79"/>
      <c r="TZK37" s="79"/>
      <c r="TZL37" s="79"/>
      <c r="TZM37" s="79"/>
      <c r="TZN37" s="79"/>
      <c r="TZO37" s="79"/>
      <c r="TZP37" s="79"/>
      <c r="TZQ37" s="79"/>
      <c r="TZR37" s="79"/>
      <c r="TZS37" s="79"/>
      <c r="TZT37" s="79"/>
      <c r="TZU37" s="79"/>
      <c r="TZV37" s="79"/>
      <c r="TZW37" s="79"/>
      <c r="TZX37" s="79"/>
      <c r="TZY37" s="79"/>
      <c r="TZZ37" s="79"/>
      <c r="UAA37" s="79"/>
      <c r="UAB37" s="79"/>
      <c r="UAC37" s="79"/>
      <c r="UAD37" s="79"/>
      <c r="UAE37" s="79"/>
      <c r="UAF37" s="79"/>
      <c r="UAG37" s="79"/>
      <c r="UAH37" s="79"/>
      <c r="UAI37" s="79"/>
      <c r="UAJ37" s="79"/>
      <c r="UAK37" s="79"/>
      <c r="UAL37" s="79"/>
      <c r="UAM37" s="79"/>
      <c r="UAN37" s="79"/>
      <c r="UAO37" s="79"/>
      <c r="UAP37" s="79"/>
      <c r="UAQ37" s="79"/>
      <c r="UAR37" s="79"/>
      <c r="UAS37" s="79"/>
      <c r="UAT37" s="79"/>
      <c r="UAU37" s="79"/>
      <c r="UAV37" s="79"/>
      <c r="UAW37" s="79"/>
      <c r="UAX37" s="79"/>
      <c r="UAY37" s="79"/>
      <c r="UAZ37" s="79"/>
      <c r="UBA37" s="79"/>
      <c r="UBB37" s="79"/>
      <c r="UBC37" s="79"/>
      <c r="UBD37" s="79"/>
      <c r="UBE37" s="79"/>
      <c r="UBF37" s="79"/>
      <c r="UBG37" s="79"/>
      <c r="UBH37" s="79"/>
      <c r="UBI37" s="79"/>
      <c r="UBJ37" s="79"/>
      <c r="UBK37" s="79"/>
      <c r="UBL37" s="79"/>
      <c r="UBM37" s="79"/>
      <c r="UBN37" s="79"/>
      <c r="UBO37" s="79"/>
      <c r="UBP37" s="79"/>
      <c r="UBQ37" s="79"/>
      <c r="UBR37" s="79"/>
      <c r="UBS37" s="79"/>
      <c r="UBT37" s="79"/>
      <c r="UBU37" s="79"/>
      <c r="UBV37" s="79"/>
      <c r="UBW37" s="79"/>
      <c r="UBX37" s="79"/>
      <c r="UBY37" s="79"/>
      <c r="UBZ37" s="79"/>
      <c r="UCA37" s="79"/>
      <c r="UCB37" s="79"/>
      <c r="UCC37" s="79"/>
      <c r="UCD37" s="79"/>
      <c r="UCE37" s="79"/>
      <c r="UCF37" s="79"/>
      <c r="UCG37" s="79"/>
      <c r="UCH37" s="79"/>
      <c r="UCI37" s="79"/>
      <c r="UCJ37" s="79"/>
      <c r="UCK37" s="79"/>
      <c r="UCL37" s="79"/>
      <c r="UCM37" s="79"/>
      <c r="UCN37" s="79"/>
      <c r="UCO37" s="79"/>
      <c r="UCP37" s="79"/>
      <c r="UCQ37" s="79"/>
      <c r="UCR37" s="79"/>
      <c r="UCS37" s="79"/>
      <c r="UCT37" s="79"/>
      <c r="UCU37" s="79"/>
      <c r="UCV37" s="79"/>
      <c r="UCW37" s="79"/>
      <c r="UCX37" s="79"/>
      <c r="UCY37" s="79"/>
      <c r="UCZ37" s="79"/>
      <c r="UDA37" s="79"/>
      <c r="UDB37" s="79"/>
      <c r="UDC37" s="79"/>
      <c r="UDD37" s="79"/>
      <c r="UDE37" s="79"/>
      <c r="UDF37" s="79"/>
      <c r="UDG37" s="79"/>
      <c r="UDH37" s="79"/>
      <c r="UDI37" s="79"/>
      <c r="UDJ37" s="79"/>
      <c r="UDK37" s="79"/>
      <c r="UDL37" s="79"/>
      <c r="UDM37" s="79"/>
      <c r="UDN37" s="79"/>
      <c r="UDO37" s="79"/>
      <c r="UDP37" s="79"/>
      <c r="UDQ37" s="79"/>
      <c r="UDR37" s="79"/>
      <c r="UDS37" s="79"/>
      <c r="UDT37" s="79"/>
      <c r="UDU37" s="79"/>
      <c r="UDV37" s="79"/>
      <c r="UDW37" s="79"/>
      <c r="UDX37" s="79"/>
      <c r="UDY37" s="79"/>
      <c r="UDZ37" s="79"/>
      <c r="UEA37" s="79"/>
      <c r="UEB37" s="79"/>
      <c r="UEC37" s="79"/>
      <c r="UED37" s="79"/>
      <c r="UEE37" s="79"/>
      <c r="UEF37" s="79"/>
      <c r="UEG37" s="79"/>
      <c r="UEH37" s="79"/>
      <c r="UEI37" s="79"/>
      <c r="UEJ37" s="79"/>
      <c r="UEK37" s="79"/>
      <c r="UEL37" s="79"/>
      <c r="UEM37" s="79"/>
      <c r="UEN37" s="79"/>
      <c r="UEO37" s="79"/>
      <c r="UEP37" s="79"/>
      <c r="UEQ37" s="79"/>
      <c r="UER37" s="79"/>
      <c r="UES37" s="79"/>
      <c r="UET37" s="79"/>
      <c r="UEU37" s="79"/>
      <c r="UEV37" s="79"/>
      <c r="UEW37" s="79"/>
      <c r="UEX37" s="79"/>
      <c r="UEY37" s="79"/>
      <c r="UEZ37" s="79"/>
      <c r="UFA37" s="79"/>
      <c r="UFB37" s="79"/>
      <c r="UFC37" s="79"/>
      <c r="UFD37" s="79"/>
      <c r="UFE37" s="79"/>
      <c r="UFF37" s="79"/>
      <c r="UFG37" s="79"/>
      <c r="UFH37" s="79"/>
      <c r="UFI37" s="79"/>
      <c r="UFJ37" s="79"/>
      <c r="UFK37" s="79"/>
      <c r="UFL37" s="79"/>
      <c r="UFM37" s="79"/>
      <c r="UFN37" s="79"/>
      <c r="UFO37" s="79"/>
      <c r="UFP37" s="79"/>
      <c r="UFQ37" s="79"/>
      <c r="UFR37" s="79"/>
      <c r="UFS37" s="79"/>
      <c r="UFT37" s="79"/>
      <c r="UFU37" s="79"/>
      <c r="UFV37" s="79"/>
      <c r="UFW37" s="79"/>
      <c r="UFX37" s="79"/>
      <c r="UFY37" s="79"/>
      <c r="UFZ37" s="79"/>
      <c r="UGA37" s="79"/>
      <c r="UGB37" s="79"/>
      <c r="UGC37" s="79"/>
      <c r="UGD37" s="79"/>
      <c r="UGE37" s="79"/>
      <c r="UGF37" s="79"/>
      <c r="UGG37" s="79"/>
      <c r="UGH37" s="79"/>
      <c r="UGI37" s="79"/>
      <c r="UGJ37" s="79"/>
      <c r="UGK37" s="79"/>
      <c r="UGL37" s="79"/>
      <c r="UGM37" s="79"/>
      <c r="UGN37" s="79"/>
      <c r="UGO37" s="79"/>
      <c r="UGP37" s="79"/>
      <c r="UGQ37" s="79"/>
      <c r="UGR37" s="79"/>
      <c r="UGS37" s="79"/>
      <c r="UGT37" s="79"/>
      <c r="UGU37" s="79"/>
      <c r="UGV37" s="79"/>
      <c r="UGW37" s="79"/>
      <c r="UGX37" s="79"/>
      <c r="UGY37" s="79"/>
      <c r="UGZ37" s="79"/>
      <c r="UHA37" s="79"/>
      <c r="UHB37" s="79"/>
      <c r="UHC37" s="79"/>
      <c r="UHD37" s="79"/>
      <c r="UHE37" s="79"/>
      <c r="UHF37" s="79"/>
      <c r="UHG37" s="79"/>
      <c r="UHH37" s="79"/>
      <c r="UHI37" s="79"/>
      <c r="UHJ37" s="79"/>
      <c r="UHK37" s="79"/>
      <c r="UHL37" s="79"/>
      <c r="UHM37" s="79"/>
      <c r="UHN37" s="79"/>
      <c r="UHO37" s="79"/>
      <c r="UHP37" s="79"/>
      <c r="UHQ37" s="79"/>
      <c r="UHR37" s="79"/>
      <c r="UHS37" s="79"/>
      <c r="UHT37" s="79"/>
      <c r="UHU37" s="79"/>
      <c r="UHV37" s="79"/>
      <c r="UHW37" s="79"/>
      <c r="UHX37" s="79"/>
      <c r="UHY37" s="79"/>
      <c r="UHZ37" s="79"/>
      <c r="UIA37" s="79"/>
      <c r="UIB37" s="79"/>
      <c r="UIC37" s="79"/>
      <c r="UID37" s="79"/>
      <c r="UIE37" s="79"/>
      <c r="UIF37" s="79"/>
      <c r="UIG37" s="79"/>
      <c r="UIH37" s="79"/>
      <c r="UII37" s="79"/>
      <c r="UIJ37" s="79"/>
      <c r="UIK37" s="79"/>
      <c r="UIL37" s="79"/>
      <c r="UIM37" s="79"/>
      <c r="UIN37" s="79"/>
      <c r="UIO37" s="79"/>
      <c r="UIP37" s="79"/>
      <c r="UIQ37" s="79"/>
      <c r="UIR37" s="79"/>
      <c r="UIS37" s="79"/>
      <c r="UIT37" s="79"/>
      <c r="UIU37" s="79"/>
      <c r="UIV37" s="79"/>
      <c r="UIW37" s="79"/>
      <c r="UIX37" s="79"/>
      <c r="UIY37" s="79"/>
      <c r="UIZ37" s="79"/>
      <c r="UJA37" s="79"/>
      <c r="UJB37" s="79"/>
      <c r="UJC37" s="79"/>
      <c r="UJD37" s="79"/>
      <c r="UJE37" s="79"/>
      <c r="UJF37" s="79"/>
      <c r="UJG37" s="79"/>
      <c r="UJH37" s="79"/>
      <c r="UJI37" s="79"/>
      <c r="UJJ37" s="79"/>
      <c r="UJK37" s="79"/>
      <c r="UJL37" s="79"/>
      <c r="UJM37" s="79"/>
      <c r="UJN37" s="79"/>
      <c r="UJO37" s="79"/>
      <c r="UJP37" s="79"/>
      <c r="UJQ37" s="79"/>
      <c r="UJR37" s="79"/>
      <c r="UJS37" s="79"/>
      <c r="UJT37" s="79"/>
      <c r="UJU37" s="79"/>
      <c r="UJV37" s="79"/>
      <c r="UJW37" s="79"/>
      <c r="UJX37" s="79"/>
      <c r="UJY37" s="79"/>
      <c r="UJZ37" s="79"/>
      <c r="UKA37" s="79"/>
      <c r="UKB37" s="79"/>
      <c r="UKC37" s="79"/>
      <c r="UKD37" s="79"/>
      <c r="UKE37" s="79"/>
      <c r="UKF37" s="79"/>
      <c r="UKG37" s="79"/>
      <c r="UKH37" s="79"/>
      <c r="UKI37" s="79"/>
      <c r="UKJ37" s="79"/>
      <c r="UKK37" s="79"/>
      <c r="UKL37" s="79"/>
      <c r="UKM37" s="79"/>
      <c r="UKN37" s="79"/>
      <c r="UKO37" s="79"/>
      <c r="UKP37" s="79"/>
      <c r="UKQ37" s="79"/>
      <c r="UKR37" s="79"/>
      <c r="UKS37" s="79"/>
      <c r="UKT37" s="79"/>
      <c r="UKU37" s="79"/>
      <c r="UKV37" s="79"/>
      <c r="UKW37" s="79"/>
      <c r="UKX37" s="79"/>
      <c r="UKY37" s="79"/>
      <c r="UKZ37" s="79"/>
      <c r="ULA37" s="79"/>
      <c r="ULB37" s="79"/>
      <c r="ULC37" s="79"/>
      <c r="ULD37" s="79"/>
      <c r="ULE37" s="79"/>
      <c r="ULF37" s="79"/>
      <c r="ULG37" s="79"/>
      <c r="ULH37" s="79"/>
      <c r="ULI37" s="79"/>
      <c r="ULJ37" s="79"/>
      <c r="ULK37" s="79"/>
      <c r="ULL37" s="79"/>
      <c r="ULM37" s="79"/>
      <c r="ULN37" s="79"/>
      <c r="ULO37" s="79"/>
      <c r="ULP37" s="79"/>
      <c r="ULQ37" s="79"/>
      <c r="ULR37" s="79"/>
      <c r="ULS37" s="79"/>
      <c r="ULT37" s="79"/>
      <c r="ULU37" s="79"/>
      <c r="ULV37" s="79"/>
      <c r="ULW37" s="79"/>
      <c r="ULX37" s="79"/>
      <c r="ULY37" s="79"/>
      <c r="ULZ37" s="79"/>
      <c r="UMA37" s="79"/>
      <c r="UMB37" s="79"/>
      <c r="UMC37" s="79"/>
      <c r="UMD37" s="79"/>
      <c r="UME37" s="79"/>
      <c r="UMF37" s="79"/>
      <c r="UMG37" s="79"/>
      <c r="UMH37" s="79"/>
      <c r="UMI37" s="79"/>
      <c r="UMJ37" s="79"/>
      <c r="UMK37" s="79"/>
      <c r="UML37" s="79"/>
      <c r="UMM37" s="79"/>
      <c r="UMN37" s="79"/>
      <c r="UMO37" s="79"/>
      <c r="UMP37" s="79"/>
      <c r="UMQ37" s="79"/>
      <c r="UMR37" s="79"/>
      <c r="UMS37" s="79"/>
      <c r="UMT37" s="79"/>
      <c r="UMU37" s="79"/>
      <c r="UMV37" s="79"/>
      <c r="UMW37" s="79"/>
      <c r="UMX37" s="79"/>
      <c r="UMY37" s="79"/>
      <c r="UMZ37" s="79"/>
      <c r="UNA37" s="79"/>
      <c r="UNB37" s="79"/>
      <c r="UNC37" s="79"/>
      <c r="UND37" s="79"/>
      <c r="UNE37" s="79"/>
      <c r="UNF37" s="79"/>
      <c r="UNG37" s="79"/>
      <c r="UNH37" s="79"/>
      <c r="UNI37" s="79"/>
      <c r="UNJ37" s="79"/>
      <c r="UNK37" s="79"/>
      <c r="UNL37" s="79"/>
      <c r="UNM37" s="79"/>
      <c r="UNN37" s="79"/>
      <c r="UNO37" s="79"/>
      <c r="UNP37" s="79"/>
      <c r="UNQ37" s="79"/>
      <c r="UNR37" s="79"/>
      <c r="UNS37" s="79"/>
      <c r="UNT37" s="79"/>
      <c r="UNU37" s="79"/>
      <c r="UNV37" s="79"/>
      <c r="UNW37" s="79"/>
      <c r="UNX37" s="79"/>
      <c r="UNY37" s="79"/>
      <c r="UNZ37" s="79"/>
      <c r="UOA37" s="79"/>
      <c r="UOB37" s="79"/>
      <c r="UOC37" s="79"/>
      <c r="UOD37" s="79"/>
      <c r="UOE37" s="79"/>
      <c r="UOF37" s="79"/>
      <c r="UOG37" s="79"/>
      <c r="UOH37" s="79"/>
      <c r="UOI37" s="79"/>
      <c r="UOJ37" s="79"/>
      <c r="UOK37" s="79"/>
      <c r="UOL37" s="79"/>
      <c r="UOM37" s="79"/>
      <c r="UON37" s="79"/>
      <c r="UOO37" s="79"/>
      <c r="UOP37" s="79"/>
      <c r="UOQ37" s="79"/>
      <c r="UOR37" s="79"/>
      <c r="UOS37" s="79"/>
      <c r="UOT37" s="79"/>
      <c r="UOU37" s="79"/>
      <c r="UOV37" s="79"/>
      <c r="UOW37" s="79"/>
      <c r="UOX37" s="79"/>
      <c r="UOY37" s="79"/>
      <c r="UOZ37" s="79"/>
      <c r="UPA37" s="79"/>
      <c r="UPB37" s="79"/>
      <c r="UPC37" s="79"/>
      <c r="UPD37" s="79"/>
      <c r="UPE37" s="79"/>
      <c r="UPF37" s="79"/>
      <c r="UPG37" s="79"/>
      <c r="UPH37" s="79"/>
      <c r="UPI37" s="79"/>
      <c r="UPJ37" s="79"/>
      <c r="UPK37" s="79"/>
      <c r="UPL37" s="79"/>
      <c r="UPM37" s="79"/>
      <c r="UPN37" s="79"/>
      <c r="UPO37" s="79"/>
      <c r="UPP37" s="79"/>
      <c r="UPQ37" s="79"/>
      <c r="UPR37" s="79"/>
      <c r="UPS37" s="79"/>
      <c r="UPT37" s="79"/>
      <c r="UPU37" s="79"/>
      <c r="UPV37" s="79"/>
      <c r="UPW37" s="79"/>
      <c r="UPX37" s="79"/>
      <c r="UPY37" s="79"/>
      <c r="UPZ37" s="79"/>
      <c r="UQA37" s="79"/>
      <c r="UQB37" s="79"/>
      <c r="UQC37" s="79"/>
      <c r="UQD37" s="79"/>
      <c r="UQE37" s="79"/>
      <c r="UQF37" s="79"/>
      <c r="UQG37" s="79"/>
      <c r="UQH37" s="79"/>
      <c r="UQI37" s="79"/>
      <c r="UQJ37" s="79"/>
      <c r="UQK37" s="79"/>
      <c r="UQL37" s="79"/>
      <c r="UQM37" s="79"/>
      <c r="UQN37" s="79"/>
      <c r="UQO37" s="79"/>
      <c r="UQP37" s="79"/>
      <c r="UQQ37" s="79"/>
      <c r="UQR37" s="79"/>
      <c r="UQS37" s="79"/>
      <c r="UQT37" s="79"/>
      <c r="UQU37" s="79"/>
      <c r="UQV37" s="79"/>
      <c r="UQW37" s="79"/>
      <c r="UQX37" s="79"/>
      <c r="UQY37" s="79"/>
      <c r="UQZ37" s="79"/>
      <c r="URA37" s="79"/>
      <c r="URB37" s="79"/>
      <c r="URC37" s="79"/>
      <c r="URD37" s="79"/>
      <c r="URE37" s="79"/>
      <c r="URF37" s="79"/>
      <c r="URG37" s="79"/>
      <c r="URH37" s="79"/>
      <c r="URI37" s="79"/>
      <c r="URJ37" s="79"/>
      <c r="URK37" s="79"/>
      <c r="URL37" s="79"/>
      <c r="URM37" s="79"/>
      <c r="URN37" s="79"/>
      <c r="URO37" s="79"/>
      <c r="URP37" s="79"/>
      <c r="URQ37" s="79"/>
      <c r="URR37" s="79"/>
      <c r="URS37" s="79"/>
      <c r="URT37" s="79"/>
      <c r="URU37" s="79"/>
      <c r="URV37" s="79"/>
      <c r="URW37" s="79"/>
      <c r="URX37" s="79"/>
      <c r="URY37" s="79"/>
      <c r="URZ37" s="79"/>
      <c r="USA37" s="79"/>
      <c r="USB37" s="79"/>
      <c r="USC37" s="79"/>
      <c r="USD37" s="79"/>
      <c r="USE37" s="79"/>
      <c r="USF37" s="79"/>
      <c r="USG37" s="79"/>
      <c r="USH37" s="79"/>
      <c r="USI37" s="79"/>
      <c r="USJ37" s="79"/>
      <c r="USK37" s="79"/>
      <c r="USL37" s="79"/>
      <c r="USM37" s="79"/>
      <c r="USN37" s="79"/>
      <c r="USO37" s="79"/>
      <c r="USP37" s="79"/>
      <c r="USQ37" s="79"/>
      <c r="USR37" s="79"/>
      <c r="USS37" s="79"/>
      <c r="UST37" s="79"/>
      <c r="USU37" s="79"/>
      <c r="USV37" s="79"/>
      <c r="USW37" s="79"/>
      <c r="USX37" s="79"/>
      <c r="USY37" s="79"/>
      <c r="USZ37" s="79"/>
      <c r="UTA37" s="79"/>
      <c r="UTB37" s="79"/>
      <c r="UTC37" s="79"/>
      <c r="UTD37" s="79"/>
      <c r="UTE37" s="79"/>
      <c r="UTF37" s="79"/>
      <c r="UTG37" s="79"/>
      <c r="UTH37" s="79"/>
      <c r="UTI37" s="79"/>
      <c r="UTJ37" s="79"/>
      <c r="UTK37" s="79"/>
      <c r="UTL37" s="79"/>
      <c r="UTM37" s="79"/>
      <c r="UTN37" s="79"/>
      <c r="UTO37" s="79"/>
      <c r="UTP37" s="79"/>
      <c r="UTQ37" s="79"/>
      <c r="UTR37" s="79"/>
      <c r="UTS37" s="79"/>
      <c r="UTT37" s="79"/>
      <c r="UTU37" s="79"/>
      <c r="UTV37" s="79"/>
      <c r="UTW37" s="79"/>
      <c r="UTX37" s="79"/>
      <c r="UTY37" s="79"/>
      <c r="UTZ37" s="79"/>
      <c r="UUA37" s="79"/>
      <c r="UUB37" s="79"/>
      <c r="UUC37" s="79"/>
      <c r="UUD37" s="79"/>
      <c r="UUE37" s="79"/>
      <c r="UUF37" s="79"/>
      <c r="UUG37" s="79"/>
      <c r="UUH37" s="79"/>
      <c r="UUI37" s="79"/>
      <c r="UUJ37" s="79"/>
      <c r="UUK37" s="79"/>
      <c r="UUL37" s="79"/>
      <c r="UUM37" s="79"/>
      <c r="UUN37" s="79"/>
      <c r="UUO37" s="79"/>
      <c r="UUP37" s="79"/>
      <c r="UUQ37" s="79"/>
      <c r="UUR37" s="79"/>
      <c r="UUS37" s="79"/>
      <c r="UUT37" s="79"/>
      <c r="UUU37" s="79"/>
      <c r="UUV37" s="79"/>
      <c r="UUW37" s="79"/>
      <c r="UUX37" s="79"/>
      <c r="UUY37" s="79"/>
      <c r="UUZ37" s="79"/>
      <c r="UVA37" s="79"/>
      <c r="UVB37" s="79"/>
      <c r="UVC37" s="79"/>
      <c r="UVD37" s="79"/>
      <c r="UVE37" s="79"/>
      <c r="UVF37" s="79"/>
      <c r="UVG37" s="79"/>
      <c r="UVH37" s="79"/>
      <c r="UVI37" s="79"/>
      <c r="UVJ37" s="79"/>
      <c r="UVK37" s="79"/>
      <c r="UVL37" s="79"/>
      <c r="UVM37" s="79"/>
      <c r="UVN37" s="79"/>
      <c r="UVO37" s="79"/>
      <c r="UVP37" s="79"/>
      <c r="UVQ37" s="79"/>
      <c r="UVR37" s="79"/>
      <c r="UVS37" s="79"/>
      <c r="UVT37" s="79"/>
      <c r="UVU37" s="79"/>
      <c r="UVV37" s="79"/>
      <c r="UVW37" s="79"/>
      <c r="UVX37" s="79"/>
      <c r="UVY37" s="79"/>
      <c r="UVZ37" s="79"/>
      <c r="UWA37" s="79"/>
      <c r="UWB37" s="79"/>
      <c r="UWC37" s="79"/>
      <c r="UWD37" s="79"/>
      <c r="UWE37" s="79"/>
      <c r="UWF37" s="79"/>
      <c r="UWG37" s="79"/>
      <c r="UWH37" s="79"/>
      <c r="UWI37" s="79"/>
      <c r="UWJ37" s="79"/>
      <c r="UWK37" s="79"/>
      <c r="UWL37" s="79"/>
      <c r="UWM37" s="79"/>
      <c r="UWN37" s="79"/>
      <c r="UWO37" s="79"/>
      <c r="UWP37" s="79"/>
      <c r="UWQ37" s="79"/>
      <c r="UWR37" s="79"/>
      <c r="UWS37" s="79"/>
      <c r="UWT37" s="79"/>
      <c r="UWU37" s="79"/>
      <c r="UWV37" s="79"/>
      <c r="UWW37" s="79"/>
      <c r="UWX37" s="79"/>
      <c r="UWY37" s="79"/>
      <c r="UWZ37" s="79"/>
      <c r="UXA37" s="79"/>
      <c r="UXB37" s="79"/>
      <c r="UXC37" s="79"/>
      <c r="UXD37" s="79"/>
      <c r="UXE37" s="79"/>
      <c r="UXF37" s="79"/>
      <c r="UXG37" s="79"/>
      <c r="UXH37" s="79"/>
      <c r="UXI37" s="79"/>
      <c r="UXJ37" s="79"/>
      <c r="UXK37" s="79"/>
      <c r="UXL37" s="79"/>
      <c r="UXM37" s="79"/>
      <c r="UXN37" s="79"/>
      <c r="UXO37" s="79"/>
      <c r="UXP37" s="79"/>
      <c r="UXQ37" s="79"/>
      <c r="UXR37" s="79"/>
      <c r="UXS37" s="79"/>
      <c r="UXT37" s="79"/>
      <c r="UXU37" s="79"/>
      <c r="UXV37" s="79"/>
      <c r="UXW37" s="79"/>
      <c r="UXX37" s="79"/>
      <c r="UXY37" s="79"/>
      <c r="UXZ37" s="79"/>
      <c r="UYA37" s="79"/>
      <c r="UYB37" s="79"/>
      <c r="UYC37" s="79"/>
      <c r="UYD37" s="79"/>
      <c r="UYE37" s="79"/>
      <c r="UYF37" s="79"/>
      <c r="UYG37" s="79"/>
      <c r="UYH37" s="79"/>
      <c r="UYI37" s="79"/>
      <c r="UYJ37" s="79"/>
      <c r="UYK37" s="79"/>
      <c r="UYL37" s="79"/>
      <c r="UYM37" s="79"/>
      <c r="UYN37" s="79"/>
      <c r="UYO37" s="79"/>
      <c r="UYP37" s="79"/>
      <c r="UYQ37" s="79"/>
      <c r="UYR37" s="79"/>
      <c r="UYS37" s="79"/>
      <c r="UYT37" s="79"/>
      <c r="UYU37" s="79"/>
      <c r="UYV37" s="79"/>
      <c r="UYW37" s="79"/>
      <c r="UYX37" s="79"/>
      <c r="UYY37" s="79"/>
      <c r="UYZ37" s="79"/>
      <c r="UZA37" s="79"/>
      <c r="UZB37" s="79"/>
      <c r="UZC37" s="79"/>
      <c r="UZD37" s="79"/>
      <c r="UZE37" s="79"/>
      <c r="UZF37" s="79"/>
      <c r="UZG37" s="79"/>
      <c r="UZH37" s="79"/>
      <c r="UZI37" s="79"/>
      <c r="UZJ37" s="79"/>
      <c r="UZK37" s="79"/>
      <c r="UZL37" s="79"/>
      <c r="UZM37" s="79"/>
      <c r="UZN37" s="79"/>
      <c r="UZO37" s="79"/>
      <c r="UZP37" s="79"/>
      <c r="UZQ37" s="79"/>
      <c r="UZR37" s="79"/>
      <c r="UZS37" s="79"/>
      <c r="UZT37" s="79"/>
      <c r="UZU37" s="79"/>
      <c r="UZV37" s="79"/>
      <c r="UZW37" s="79"/>
      <c r="UZX37" s="79"/>
      <c r="UZY37" s="79"/>
      <c r="UZZ37" s="79"/>
      <c r="VAA37" s="79"/>
      <c r="VAB37" s="79"/>
      <c r="VAC37" s="79"/>
      <c r="VAD37" s="79"/>
      <c r="VAE37" s="79"/>
      <c r="VAF37" s="79"/>
      <c r="VAG37" s="79"/>
      <c r="VAH37" s="79"/>
      <c r="VAI37" s="79"/>
      <c r="VAJ37" s="79"/>
      <c r="VAK37" s="79"/>
      <c r="VAL37" s="79"/>
      <c r="VAM37" s="79"/>
      <c r="VAN37" s="79"/>
      <c r="VAO37" s="79"/>
      <c r="VAP37" s="79"/>
      <c r="VAQ37" s="79"/>
      <c r="VAR37" s="79"/>
      <c r="VAS37" s="79"/>
      <c r="VAT37" s="79"/>
      <c r="VAU37" s="79"/>
      <c r="VAV37" s="79"/>
      <c r="VAW37" s="79"/>
      <c r="VAX37" s="79"/>
      <c r="VAY37" s="79"/>
      <c r="VAZ37" s="79"/>
      <c r="VBA37" s="79"/>
      <c r="VBB37" s="79"/>
      <c r="VBC37" s="79"/>
      <c r="VBD37" s="79"/>
      <c r="VBE37" s="79"/>
      <c r="VBF37" s="79"/>
      <c r="VBG37" s="79"/>
      <c r="VBH37" s="79"/>
      <c r="VBI37" s="79"/>
      <c r="VBJ37" s="79"/>
      <c r="VBK37" s="79"/>
      <c r="VBL37" s="79"/>
      <c r="VBM37" s="79"/>
      <c r="VBN37" s="79"/>
      <c r="VBO37" s="79"/>
      <c r="VBP37" s="79"/>
      <c r="VBQ37" s="79"/>
      <c r="VBR37" s="79"/>
      <c r="VBS37" s="79"/>
      <c r="VBT37" s="79"/>
      <c r="VBU37" s="79"/>
      <c r="VBV37" s="79"/>
      <c r="VBW37" s="79"/>
      <c r="VBX37" s="79"/>
      <c r="VBY37" s="79"/>
      <c r="VBZ37" s="79"/>
      <c r="VCA37" s="79"/>
      <c r="VCB37" s="79"/>
      <c r="VCC37" s="79"/>
      <c r="VCD37" s="79"/>
      <c r="VCE37" s="79"/>
      <c r="VCF37" s="79"/>
      <c r="VCG37" s="79"/>
      <c r="VCH37" s="79"/>
      <c r="VCI37" s="79"/>
      <c r="VCJ37" s="79"/>
      <c r="VCK37" s="79"/>
      <c r="VCL37" s="79"/>
      <c r="VCM37" s="79"/>
      <c r="VCN37" s="79"/>
      <c r="VCO37" s="79"/>
      <c r="VCP37" s="79"/>
      <c r="VCQ37" s="79"/>
      <c r="VCR37" s="79"/>
      <c r="VCS37" s="79"/>
      <c r="VCT37" s="79"/>
      <c r="VCU37" s="79"/>
      <c r="VCV37" s="79"/>
      <c r="VCW37" s="79"/>
      <c r="VCX37" s="79"/>
      <c r="VCY37" s="79"/>
      <c r="VCZ37" s="79"/>
      <c r="VDA37" s="79"/>
      <c r="VDB37" s="79"/>
      <c r="VDC37" s="79"/>
      <c r="VDD37" s="79"/>
      <c r="VDE37" s="79"/>
      <c r="VDF37" s="79"/>
      <c r="VDG37" s="79"/>
      <c r="VDH37" s="79"/>
      <c r="VDI37" s="79"/>
      <c r="VDJ37" s="79"/>
      <c r="VDK37" s="79"/>
      <c r="VDL37" s="79"/>
      <c r="VDM37" s="79"/>
      <c r="VDN37" s="79"/>
      <c r="VDO37" s="79"/>
      <c r="VDP37" s="79"/>
      <c r="VDQ37" s="79"/>
      <c r="VDR37" s="79"/>
      <c r="VDS37" s="79"/>
      <c r="VDT37" s="79"/>
      <c r="VDU37" s="79"/>
      <c r="VDV37" s="79"/>
      <c r="VDW37" s="79"/>
      <c r="VDX37" s="79"/>
      <c r="VDY37" s="79"/>
      <c r="VDZ37" s="79"/>
      <c r="VEA37" s="79"/>
      <c r="VEB37" s="79"/>
      <c r="VEC37" s="79"/>
      <c r="VED37" s="79"/>
      <c r="VEE37" s="79"/>
      <c r="VEF37" s="79"/>
      <c r="VEG37" s="79"/>
      <c r="VEH37" s="79"/>
      <c r="VEI37" s="79"/>
      <c r="VEJ37" s="79"/>
      <c r="VEK37" s="79"/>
      <c r="VEL37" s="79"/>
      <c r="VEM37" s="79"/>
      <c r="VEN37" s="79"/>
      <c r="VEO37" s="79"/>
      <c r="VEP37" s="79"/>
      <c r="VEQ37" s="79"/>
      <c r="VER37" s="79"/>
      <c r="VES37" s="79"/>
      <c r="VET37" s="79"/>
      <c r="VEU37" s="79"/>
      <c r="VEV37" s="79"/>
      <c r="VEW37" s="79"/>
      <c r="VEX37" s="79"/>
      <c r="VEY37" s="79"/>
      <c r="VEZ37" s="79"/>
      <c r="VFA37" s="79"/>
      <c r="VFB37" s="79"/>
      <c r="VFC37" s="79"/>
      <c r="VFD37" s="79"/>
      <c r="VFE37" s="79"/>
      <c r="VFF37" s="79"/>
      <c r="VFG37" s="79"/>
      <c r="VFH37" s="79"/>
      <c r="VFI37" s="79"/>
      <c r="VFJ37" s="79"/>
      <c r="VFK37" s="79"/>
      <c r="VFL37" s="79"/>
      <c r="VFM37" s="79"/>
      <c r="VFN37" s="79"/>
      <c r="VFO37" s="79"/>
      <c r="VFP37" s="79"/>
      <c r="VFQ37" s="79"/>
      <c r="VFR37" s="79"/>
      <c r="VFS37" s="79"/>
      <c r="VFT37" s="79"/>
      <c r="VFU37" s="79"/>
      <c r="VFV37" s="79"/>
      <c r="VFW37" s="79"/>
      <c r="VFX37" s="79"/>
      <c r="VFY37" s="79"/>
      <c r="VFZ37" s="79"/>
      <c r="VGA37" s="79"/>
      <c r="VGB37" s="79"/>
      <c r="VGC37" s="79"/>
      <c r="VGD37" s="79"/>
      <c r="VGE37" s="79"/>
      <c r="VGF37" s="79"/>
      <c r="VGG37" s="79"/>
      <c r="VGH37" s="79"/>
      <c r="VGI37" s="79"/>
      <c r="VGJ37" s="79"/>
      <c r="VGK37" s="79"/>
      <c r="VGL37" s="79"/>
      <c r="VGM37" s="79"/>
      <c r="VGN37" s="79"/>
      <c r="VGO37" s="79"/>
      <c r="VGP37" s="79"/>
      <c r="VGQ37" s="79"/>
      <c r="VGR37" s="79"/>
      <c r="VGS37" s="79"/>
      <c r="VGT37" s="79"/>
      <c r="VGU37" s="79"/>
      <c r="VGV37" s="79"/>
      <c r="VGW37" s="79"/>
      <c r="VGX37" s="79"/>
      <c r="VGY37" s="79"/>
      <c r="VGZ37" s="79"/>
      <c r="VHA37" s="79"/>
      <c r="VHB37" s="79"/>
      <c r="VHC37" s="79"/>
      <c r="VHD37" s="79"/>
      <c r="VHE37" s="79"/>
      <c r="VHF37" s="79"/>
      <c r="VHG37" s="79"/>
      <c r="VHH37" s="79"/>
      <c r="VHI37" s="79"/>
      <c r="VHJ37" s="79"/>
      <c r="VHK37" s="79"/>
      <c r="VHL37" s="79"/>
      <c r="VHM37" s="79"/>
      <c r="VHN37" s="79"/>
      <c r="VHO37" s="79"/>
      <c r="VHP37" s="79"/>
      <c r="VHQ37" s="79"/>
      <c r="VHR37" s="79"/>
      <c r="VHS37" s="79"/>
      <c r="VHT37" s="79"/>
      <c r="VHU37" s="79"/>
      <c r="VHV37" s="79"/>
      <c r="VHW37" s="79"/>
      <c r="VHX37" s="79"/>
      <c r="VHY37" s="79"/>
      <c r="VHZ37" s="79"/>
      <c r="VIA37" s="79"/>
      <c r="VIB37" s="79"/>
      <c r="VIC37" s="79"/>
      <c r="VID37" s="79"/>
      <c r="VIE37" s="79"/>
      <c r="VIF37" s="79"/>
      <c r="VIG37" s="79"/>
      <c r="VIH37" s="79"/>
      <c r="VII37" s="79"/>
      <c r="VIJ37" s="79"/>
      <c r="VIK37" s="79"/>
      <c r="VIL37" s="79"/>
      <c r="VIM37" s="79"/>
      <c r="VIN37" s="79"/>
      <c r="VIO37" s="79"/>
      <c r="VIP37" s="79"/>
      <c r="VIQ37" s="79"/>
      <c r="VIR37" s="79"/>
      <c r="VIS37" s="79"/>
      <c r="VIT37" s="79"/>
      <c r="VIU37" s="79"/>
      <c r="VIV37" s="79"/>
      <c r="VIW37" s="79"/>
      <c r="VIX37" s="79"/>
      <c r="VIY37" s="79"/>
      <c r="VIZ37" s="79"/>
      <c r="VJA37" s="79"/>
      <c r="VJB37" s="79"/>
      <c r="VJC37" s="79"/>
      <c r="VJD37" s="79"/>
      <c r="VJE37" s="79"/>
      <c r="VJF37" s="79"/>
      <c r="VJG37" s="79"/>
      <c r="VJH37" s="79"/>
      <c r="VJI37" s="79"/>
      <c r="VJJ37" s="79"/>
      <c r="VJK37" s="79"/>
      <c r="VJL37" s="79"/>
      <c r="VJM37" s="79"/>
      <c r="VJN37" s="79"/>
      <c r="VJO37" s="79"/>
      <c r="VJP37" s="79"/>
      <c r="VJQ37" s="79"/>
      <c r="VJR37" s="79"/>
      <c r="VJS37" s="79"/>
      <c r="VJT37" s="79"/>
      <c r="VJU37" s="79"/>
      <c r="VJV37" s="79"/>
      <c r="VJW37" s="79"/>
      <c r="VJX37" s="79"/>
      <c r="VJY37" s="79"/>
      <c r="VJZ37" s="79"/>
      <c r="VKA37" s="79"/>
      <c r="VKB37" s="79"/>
      <c r="VKC37" s="79"/>
      <c r="VKD37" s="79"/>
      <c r="VKE37" s="79"/>
      <c r="VKF37" s="79"/>
      <c r="VKG37" s="79"/>
      <c r="VKH37" s="79"/>
      <c r="VKI37" s="79"/>
      <c r="VKJ37" s="79"/>
      <c r="VKK37" s="79"/>
      <c r="VKL37" s="79"/>
      <c r="VKM37" s="79"/>
      <c r="VKN37" s="79"/>
      <c r="VKO37" s="79"/>
      <c r="VKP37" s="79"/>
      <c r="VKQ37" s="79"/>
      <c r="VKR37" s="79"/>
      <c r="VKS37" s="79"/>
      <c r="VKT37" s="79"/>
      <c r="VKU37" s="79"/>
      <c r="VKV37" s="79"/>
      <c r="VKW37" s="79"/>
      <c r="VKX37" s="79"/>
      <c r="VKY37" s="79"/>
      <c r="VKZ37" s="79"/>
      <c r="VLA37" s="79"/>
      <c r="VLB37" s="79"/>
      <c r="VLC37" s="79"/>
      <c r="VLD37" s="79"/>
      <c r="VLE37" s="79"/>
      <c r="VLF37" s="79"/>
      <c r="VLG37" s="79"/>
      <c r="VLH37" s="79"/>
      <c r="VLI37" s="79"/>
      <c r="VLJ37" s="79"/>
      <c r="VLK37" s="79"/>
      <c r="VLL37" s="79"/>
      <c r="VLM37" s="79"/>
      <c r="VLN37" s="79"/>
      <c r="VLO37" s="79"/>
      <c r="VLP37" s="79"/>
      <c r="VLQ37" s="79"/>
      <c r="VLR37" s="79"/>
      <c r="VLS37" s="79"/>
      <c r="VLT37" s="79"/>
      <c r="VLU37" s="79"/>
      <c r="VLV37" s="79"/>
      <c r="VLW37" s="79"/>
      <c r="VLX37" s="79"/>
      <c r="VLY37" s="79"/>
      <c r="VLZ37" s="79"/>
      <c r="VMA37" s="79"/>
      <c r="VMB37" s="79"/>
      <c r="VMC37" s="79"/>
      <c r="VMD37" s="79"/>
      <c r="VME37" s="79"/>
      <c r="VMF37" s="79"/>
      <c r="VMG37" s="79"/>
      <c r="VMH37" s="79"/>
      <c r="VMI37" s="79"/>
      <c r="VMJ37" s="79"/>
      <c r="VMK37" s="79"/>
      <c r="VML37" s="79"/>
      <c r="VMM37" s="79"/>
      <c r="VMN37" s="79"/>
      <c r="VMO37" s="79"/>
      <c r="VMP37" s="79"/>
      <c r="VMQ37" s="79"/>
      <c r="VMR37" s="79"/>
      <c r="VMS37" s="79"/>
      <c r="VMT37" s="79"/>
      <c r="VMU37" s="79"/>
      <c r="VMV37" s="79"/>
      <c r="VMW37" s="79"/>
      <c r="VMX37" s="79"/>
      <c r="VMY37" s="79"/>
      <c r="VMZ37" s="79"/>
      <c r="VNA37" s="79"/>
      <c r="VNB37" s="79"/>
      <c r="VNC37" s="79"/>
      <c r="VND37" s="79"/>
      <c r="VNE37" s="79"/>
      <c r="VNF37" s="79"/>
      <c r="VNG37" s="79"/>
      <c r="VNH37" s="79"/>
      <c r="VNI37" s="79"/>
      <c r="VNJ37" s="79"/>
      <c r="VNK37" s="79"/>
      <c r="VNL37" s="79"/>
      <c r="VNM37" s="79"/>
      <c r="VNN37" s="79"/>
      <c r="VNO37" s="79"/>
      <c r="VNP37" s="79"/>
      <c r="VNQ37" s="79"/>
      <c r="VNR37" s="79"/>
      <c r="VNS37" s="79"/>
      <c r="VNT37" s="79"/>
      <c r="VNU37" s="79"/>
      <c r="VNV37" s="79"/>
      <c r="VNW37" s="79"/>
      <c r="VNX37" s="79"/>
      <c r="VNY37" s="79"/>
      <c r="VNZ37" s="79"/>
      <c r="VOA37" s="79"/>
      <c r="VOB37" s="79"/>
      <c r="VOC37" s="79"/>
      <c r="VOD37" s="79"/>
      <c r="VOE37" s="79"/>
      <c r="VOF37" s="79"/>
      <c r="VOG37" s="79"/>
      <c r="VOH37" s="79"/>
      <c r="VOI37" s="79"/>
      <c r="VOJ37" s="79"/>
      <c r="VOK37" s="79"/>
      <c r="VOL37" s="79"/>
      <c r="VOM37" s="79"/>
      <c r="VON37" s="79"/>
      <c r="VOO37" s="79"/>
      <c r="VOP37" s="79"/>
      <c r="VOQ37" s="79"/>
      <c r="VOR37" s="79"/>
      <c r="VOS37" s="79"/>
      <c r="VOT37" s="79"/>
      <c r="VOU37" s="79"/>
      <c r="VOV37" s="79"/>
      <c r="VOW37" s="79"/>
      <c r="VOX37" s="79"/>
      <c r="VOY37" s="79"/>
      <c r="VOZ37" s="79"/>
      <c r="VPA37" s="79"/>
      <c r="VPB37" s="79"/>
      <c r="VPC37" s="79"/>
      <c r="VPD37" s="79"/>
      <c r="VPE37" s="79"/>
      <c r="VPF37" s="79"/>
      <c r="VPG37" s="79"/>
      <c r="VPH37" s="79"/>
      <c r="VPI37" s="79"/>
      <c r="VPJ37" s="79"/>
      <c r="VPK37" s="79"/>
      <c r="VPL37" s="79"/>
      <c r="VPM37" s="79"/>
      <c r="VPN37" s="79"/>
      <c r="VPO37" s="79"/>
      <c r="VPP37" s="79"/>
      <c r="VPQ37" s="79"/>
      <c r="VPR37" s="79"/>
      <c r="VPS37" s="79"/>
      <c r="VPT37" s="79"/>
      <c r="VPU37" s="79"/>
      <c r="VPV37" s="79"/>
      <c r="VPW37" s="79"/>
      <c r="VPX37" s="79"/>
      <c r="VPY37" s="79"/>
      <c r="VPZ37" s="79"/>
      <c r="VQA37" s="79"/>
      <c r="VQB37" s="79"/>
      <c r="VQC37" s="79"/>
      <c r="VQD37" s="79"/>
      <c r="VQE37" s="79"/>
      <c r="VQF37" s="79"/>
      <c r="VQG37" s="79"/>
      <c r="VQH37" s="79"/>
      <c r="VQI37" s="79"/>
      <c r="VQJ37" s="79"/>
      <c r="VQK37" s="79"/>
      <c r="VQL37" s="79"/>
      <c r="VQM37" s="79"/>
      <c r="VQN37" s="79"/>
      <c r="VQO37" s="79"/>
      <c r="VQP37" s="79"/>
      <c r="VQQ37" s="79"/>
      <c r="VQR37" s="79"/>
      <c r="VQS37" s="79"/>
      <c r="VQT37" s="79"/>
      <c r="VQU37" s="79"/>
      <c r="VQV37" s="79"/>
      <c r="VQW37" s="79"/>
      <c r="VQX37" s="79"/>
      <c r="VQY37" s="79"/>
      <c r="VQZ37" s="79"/>
      <c r="VRA37" s="79"/>
      <c r="VRB37" s="79"/>
      <c r="VRC37" s="79"/>
      <c r="VRD37" s="79"/>
      <c r="VRE37" s="79"/>
      <c r="VRF37" s="79"/>
      <c r="VRG37" s="79"/>
      <c r="VRH37" s="79"/>
      <c r="VRI37" s="79"/>
      <c r="VRJ37" s="79"/>
      <c r="VRK37" s="79"/>
      <c r="VRL37" s="79"/>
      <c r="VRM37" s="79"/>
      <c r="VRN37" s="79"/>
      <c r="VRO37" s="79"/>
      <c r="VRP37" s="79"/>
      <c r="VRQ37" s="79"/>
      <c r="VRR37" s="79"/>
      <c r="VRS37" s="79"/>
      <c r="VRT37" s="79"/>
      <c r="VRU37" s="79"/>
      <c r="VRV37" s="79"/>
      <c r="VRW37" s="79"/>
      <c r="VRX37" s="79"/>
      <c r="VRY37" s="79"/>
      <c r="VRZ37" s="79"/>
      <c r="VSA37" s="79"/>
      <c r="VSB37" s="79"/>
      <c r="VSC37" s="79"/>
      <c r="VSD37" s="79"/>
      <c r="VSE37" s="79"/>
      <c r="VSF37" s="79"/>
      <c r="VSG37" s="79"/>
      <c r="VSH37" s="79"/>
      <c r="VSI37" s="79"/>
      <c r="VSJ37" s="79"/>
      <c r="VSK37" s="79"/>
      <c r="VSL37" s="79"/>
      <c r="VSM37" s="79"/>
      <c r="VSN37" s="79"/>
      <c r="VSO37" s="79"/>
      <c r="VSP37" s="79"/>
      <c r="VSQ37" s="79"/>
      <c r="VSR37" s="79"/>
      <c r="VSS37" s="79"/>
      <c r="VST37" s="79"/>
      <c r="VSU37" s="79"/>
      <c r="VSV37" s="79"/>
      <c r="VSW37" s="79"/>
      <c r="VSX37" s="79"/>
      <c r="VSY37" s="79"/>
      <c r="VSZ37" s="79"/>
      <c r="VTA37" s="79"/>
      <c r="VTB37" s="79"/>
      <c r="VTC37" s="79"/>
      <c r="VTD37" s="79"/>
      <c r="VTE37" s="79"/>
      <c r="VTF37" s="79"/>
      <c r="VTG37" s="79"/>
      <c r="VTH37" s="79"/>
      <c r="VTI37" s="79"/>
      <c r="VTJ37" s="79"/>
      <c r="VTK37" s="79"/>
      <c r="VTL37" s="79"/>
      <c r="VTM37" s="79"/>
      <c r="VTN37" s="79"/>
      <c r="VTO37" s="79"/>
      <c r="VTP37" s="79"/>
      <c r="VTQ37" s="79"/>
      <c r="VTR37" s="79"/>
      <c r="VTS37" s="79"/>
      <c r="VTT37" s="79"/>
      <c r="VTU37" s="79"/>
      <c r="VTV37" s="79"/>
      <c r="VTW37" s="79"/>
      <c r="VTX37" s="79"/>
      <c r="VTY37" s="79"/>
      <c r="VTZ37" s="79"/>
      <c r="VUA37" s="79"/>
      <c r="VUB37" s="79"/>
      <c r="VUC37" s="79"/>
      <c r="VUD37" s="79"/>
      <c r="VUE37" s="79"/>
      <c r="VUF37" s="79"/>
      <c r="VUG37" s="79"/>
      <c r="VUH37" s="79"/>
      <c r="VUI37" s="79"/>
      <c r="VUJ37" s="79"/>
      <c r="VUK37" s="79"/>
      <c r="VUL37" s="79"/>
      <c r="VUM37" s="79"/>
      <c r="VUN37" s="79"/>
      <c r="VUO37" s="79"/>
      <c r="VUP37" s="79"/>
      <c r="VUQ37" s="79"/>
      <c r="VUR37" s="79"/>
      <c r="VUS37" s="79"/>
      <c r="VUT37" s="79"/>
      <c r="VUU37" s="79"/>
      <c r="VUV37" s="79"/>
      <c r="VUW37" s="79"/>
      <c r="VUX37" s="79"/>
      <c r="VUY37" s="79"/>
      <c r="VUZ37" s="79"/>
      <c r="VVA37" s="79"/>
      <c r="VVB37" s="79"/>
      <c r="VVC37" s="79"/>
      <c r="VVD37" s="79"/>
      <c r="VVE37" s="79"/>
      <c r="VVF37" s="79"/>
      <c r="VVG37" s="79"/>
      <c r="VVH37" s="79"/>
      <c r="VVI37" s="79"/>
      <c r="VVJ37" s="79"/>
      <c r="VVK37" s="79"/>
      <c r="VVL37" s="79"/>
      <c r="VVM37" s="79"/>
      <c r="VVN37" s="79"/>
      <c r="VVO37" s="79"/>
      <c r="VVP37" s="79"/>
      <c r="VVQ37" s="79"/>
      <c r="VVR37" s="79"/>
      <c r="VVS37" s="79"/>
      <c r="VVT37" s="79"/>
      <c r="VVU37" s="79"/>
      <c r="VVV37" s="79"/>
      <c r="VVW37" s="79"/>
      <c r="VVX37" s="79"/>
      <c r="VVY37" s="79"/>
      <c r="VVZ37" s="79"/>
      <c r="VWA37" s="79"/>
      <c r="VWB37" s="79"/>
      <c r="VWC37" s="79"/>
      <c r="VWD37" s="79"/>
      <c r="VWE37" s="79"/>
      <c r="VWF37" s="79"/>
      <c r="VWG37" s="79"/>
      <c r="VWH37" s="79"/>
      <c r="VWI37" s="79"/>
      <c r="VWJ37" s="79"/>
      <c r="VWK37" s="79"/>
      <c r="VWL37" s="79"/>
      <c r="VWM37" s="79"/>
      <c r="VWN37" s="79"/>
      <c r="VWO37" s="79"/>
      <c r="VWP37" s="79"/>
      <c r="VWQ37" s="79"/>
      <c r="VWR37" s="79"/>
      <c r="VWS37" s="79"/>
      <c r="VWT37" s="79"/>
      <c r="VWU37" s="79"/>
      <c r="VWV37" s="79"/>
      <c r="VWW37" s="79"/>
      <c r="VWX37" s="79"/>
      <c r="VWY37" s="79"/>
      <c r="VWZ37" s="79"/>
      <c r="VXA37" s="79"/>
      <c r="VXB37" s="79"/>
      <c r="VXC37" s="79"/>
      <c r="VXD37" s="79"/>
      <c r="VXE37" s="79"/>
      <c r="VXF37" s="79"/>
      <c r="VXG37" s="79"/>
      <c r="VXH37" s="79"/>
      <c r="VXI37" s="79"/>
      <c r="VXJ37" s="79"/>
      <c r="VXK37" s="79"/>
      <c r="VXL37" s="79"/>
      <c r="VXM37" s="79"/>
      <c r="VXN37" s="79"/>
      <c r="VXO37" s="79"/>
      <c r="VXP37" s="79"/>
      <c r="VXQ37" s="79"/>
      <c r="VXR37" s="79"/>
      <c r="VXS37" s="79"/>
      <c r="VXT37" s="79"/>
      <c r="VXU37" s="79"/>
      <c r="VXV37" s="79"/>
      <c r="VXW37" s="79"/>
      <c r="VXX37" s="79"/>
      <c r="VXY37" s="79"/>
      <c r="VXZ37" s="79"/>
      <c r="VYA37" s="79"/>
      <c r="VYB37" s="79"/>
      <c r="VYC37" s="79"/>
      <c r="VYD37" s="79"/>
      <c r="VYE37" s="79"/>
      <c r="VYF37" s="79"/>
      <c r="VYG37" s="79"/>
      <c r="VYH37" s="79"/>
      <c r="VYI37" s="79"/>
      <c r="VYJ37" s="79"/>
      <c r="VYK37" s="79"/>
      <c r="VYL37" s="79"/>
      <c r="VYM37" s="79"/>
      <c r="VYN37" s="79"/>
      <c r="VYO37" s="79"/>
      <c r="VYP37" s="79"/>
      <c r="VYQ37" s="79"/>
      <c r="VYR37" s="79"/>
      <c r="VYS37" s="79"/>
      <c r="VYT37" s="79"/>
      <c r="VYU37" s="79"/>
      <c r="VYV37" s="79"/>
      <c r="VYW37" s="79"/>
      <c r="VYX37" s="79"/>
      <c r="VYY37" s="79"/>
      <c r="VYZ37" s="79"/>
      <c r="VZA37" s="79"/>
      <c r="VZB37" s="79"/>
      <c r="VZC37" s="79"/>
      <c r="VZD37" s="79"/>
      <c r="VZE37" s="79"/>
      <c r="VZF37" s="79"/>
      <c r="VZG37" s="79"/>
      <c r="VZH37" s="79"/>
      <c r="VZI37" s="79"/>
      <c r="VZJ37" s="79"/>
      <c r="VZK37" s="79"/>
      <c r="VZL37" s="79"/>
      <c r="VZM37" s="79"/>
      <c r="VZN37" s="79"/>
      <c r="VZO37" s="79"/>
      <c r="VZP37" s="79"/>
      <c r="VZQ37" s="79"/>
      <c r="VZR37" s="79"/>
      <c r="VZS37" s="79"/>
      <c r="VZT37" s="79"/>
      <c r="VZU37" s="79"/>
      <c r="VZV37" s="79"/>
      <c r="VZW37" s="79"/>
      <c r="VZX37" s="79"/>
      <c r="VZY37" s="79"/>
      <c r="VZZ37" s="79"/>
      <c r="WAA37" s="79"/>
      <c r="WAB37" s="79"/>
      <c r="WAC37" s="79"/>
      <c r="WAD37" s="79"/>
      <c r="WAE37" s="79"/>
      <c r="WAF37" s="79"/>
      <c r="WAG37" s="79"/>
      <c r="WAH37" s="79"/>
      <c r="WAI37" s="79"/>
      <c r="WAJ37" s="79"/>
      <c r="WAK37" s="79"/>
      <c r="WAL37" s="79"/>
      <c r="WAM37" s="79"/>
      <c r="WAN37" s="79"/>
      <c r="WAO37" s="79"/>
      <c r="WAP37" s="79"/>
      <c r="WAQ37" s="79"/>
      <c r="WAR37" s="79"/>
      <c r="WAS37" s="79"/>
      <c r="WAT37" s="79"/>
      <c r="WAU37" s="79"/>
      <c r="WAV37" s="79"/>
      <c r="WAW37" s="79"/>
      <c r="WAX37" s="79"/>
      <c r="WAY37" s="79"/>
      <c r="WAZ37" s="79"/>
      <c r="WBA37" s="79"/>
      <c r="WBB37" s="79"/>
      <c r="WBC37" s="79"/>
      <c r="WBD37" s="79"/>
      <c r="WBE37" s="79"/>
      <c r="WBF37" s="79"/>
      <c r="WBG37" s="79"/>
      <c r="WBH37" s="79"/>
      <c r="WBI37" s="79"/>
      <c r="WBJ37" s="79"/>
      <c r="WBK37" s="79"/>
      <c r="WBL37" s="79"/>
      <c r="WBM37" s="79"/>
      <c r="WBN37" s="79"/>
      <c r="WBO37" s="79"/>
      <c r="WBP37" s="79"/>
      <c r="WBQ37" s="79"/>
      <c r="WBR37" s="79"/>
      <c r="WBS37" s="79"/>
      <c r="WBT37" s="79"/>
      <c r="WBU37" s="79"/>
      <c r="WBV37" s="79"/>
      <c r="WBW37" s="79"/>
      <c r="WBX37" s="79"/>
      <c r="WBY37" s="79"/>
      <c r="WBZ37" s="79"/>
      <c r="WCA37" s="79"/>
      <c r="WCB37" s="79"/>
      <c r="WCC37" s="79"/>
      <c r="WCD37" s="79"/>
      <c r="WCE37" s="79"/>
      <c r="WCF37" s="79"/>
      <c r="WCG37" s="79"/>
      <c r="WCH37" s="79"/>
      <c r="WCI37" s="79"/>
      <c r="WCJ37" s="79"/>
      <c r="WCK37" s="79"/>
      <c r="WCL37" s="79"/>
      <c r="WCM37" s="79"/>
      <c r="WCN37" s="79"/>
      <c r="WCO37" s="79"/>
      <c r="WCP37" s="79"/>
      <c r="WCQ37" s="79"/>
      <c r="WCR37" s="79"/>
      <c r="WCS37" s="79"/>
      <c r="WCT37" s="79"/>
      <c r="WCU37" s="79"/>
      <c r="WCV37" s="79"/>
      <c r="WCW37" s="79"/>
      <c r="WCX37" s="79"/>
      <c r="WCY37" s="79"/>
      <c r="WCZ37" s="79"/>
      <c r="WDA37" s="79"/>
      <c r="WDB37" s="79"/>
      <c r="WDC37" s="79"/>
      <c r="WDD37" s="79"/>
      <c r="WDE37" s="79"/>
      <c r="WDF37" s="79"/>
      <c r="WDG37" s="79"/>
      <c r="WDH37" s="79"/>
      <c r="WDI37" s="79"/>
      <c r="WDJ37" s="79"/>
      <c r="WDK37" s="79"/>
      <c r="WDL37" s="79"/>
      <c r="WDM37" s="79"/>
      <c r="WDN37" s="79"/>
      <c r="WDO37" s="79"/>
      <c r="WDP37" s="79"/>
      <c r="WDQ37" s="79"/>
      <c r="WDR37" s="79"/>
      <c r="WDS37" s="79"/>
      <c r="WDT37" s="79"/>
      <c r="WDU37" s="79"/>
      <c r="WDV37" s="79"/>
      <c r="WDW37" s="79"/>
      <c r="WDX37" s="79"/>
      <c r="WDY37" s="79"/>
      <c r="WDZ37" s="79"/>
      <c r="WEA37" s="79"/>
      <c r="WEB37" s="79"/>
      <c r="WEC37" s="79"/>
      <c r="WED37" s="79"/>
      <c r="WEE37" s="79"/>
      <c r="WEF37" s="79"/>
      <c r="WEG37" s="79"/>
      <c r="WEH37" s="79"/>
      <c r="WEI37" s="79"/>
      <c r="WEJ37" s="79"/>
      <c r="WEK37" s="79"/>
      <c r="WEL37" s="79"/>
      <c r="WEM37" s="79"/>
      <c r="WEN37" s="79"/>
      <c r="WEO37" s="79"/>
      <c r="WEP37" s="79"/>
      <c r="WEQ37" s="79"/>
      <c r="WER37" s="79"/>
      <c r="WES37" s="79"/>
      <c r="WET37" s="79"/>
      <c r="WEU37" s="79"/>
      <c r="WEV37" s="79"/>
      <c r="WEW37" s="79"/>
      <c r="WEX37" s="79"/>
      <c r="WEY37" s="79"/>
      <c r="WEZ37" s="79"/>
      <c r="WFA37" s="79"/>
      <c r="WFB37" s="79"/>
      <c r="WFC37" s="79"/>
      <c r="WFD37" s="79"/>
      <c r="WFE37" s="79"/>
      <c r="WFF37" s="79"/>
      <c r="WFG37" s="79"/>
      <c r="WFH37" s="79"/>
      <c r="WFI37" s="79"/>
      <c r="WFJ37" s="79"/>
      <c r="WFK37" s="79"/>
      <c r="WFL37" s="79"/>
      <c r="WFM37" s="79"/>
      <c r="WFN37" s="79"/>
      <c r="WFO37" s="79"/>
      <c r="WFP37" s="79"/>
      <c r="WFQ37" s="79"/>
      <c r="WFR37" s="79"/>
      <c r="WFS37" s="79"/>
      <c r="WFT37" s="79"/>
      <c r="WFU37" s="79"/>
      <c r="WFV37" s="79"/>
      <c r="WFW37" s="79"/>
      <c r="WFX37" s="79"/>
      <c r="WFY37" s="79"/>
      <c r="WFZ37" s="79"/>
      <c r="WGA37" s="79"/>
      <c r="WGB37" s="79"/>
      <c r="WGC37" s="79"/>
      <c r="WGD37" s="79"/>
      <c r="WGE37" s="79"/>
      <c r="WGF37" s="79"/>
      <c r="WGG37" s="79"/>
      <c r="WGH37" s="79"/>
      <c r="WGI37" s="79"/>
      <c r="WGJ37" s="79"/>
      <c r="WGK37" s="79"/>
      <c r="WGL37" s="79"/>
      <c r="WGM37" s="79"/>
      <c r="WGN37" s="79"/>
      <c r="WGO37" s="79"/>
      <c r="WGP37" s="79"/>
      <c r="WGQ37" s="79"/>
      <c r="WGR37" s="79"/>
      <c r="WGS37" s="79"/>
      <c r="WGT37" s="79"/>
      <c r="WGU37" s="79"/>
      <c r="WGV37" s="79"/>
      <c r="WGW37" s="79"/>
      <c r="WGX37" s="79"/>
      <c r="WGY37" s="79"/>
      <c r="WGZ37" s="79"/>
      <c r="WHA37" s="79"/>
      <c r="WHB37" s="79"/>
      <c r="WHC37" s="79"/>
      <c r="WHD37" s="79"/>
      <c r="WHE37" s="79"/>
      <c r="WHF37" s="79"/>
      <c r="WHG37" s="79"/>
      <c r="WHH37" s="79"/>
      <c r="WHI37" s="79"/>
      <c r="WHJ37" s="79"/>
      <c r="WHK37" s="79"/>
      <c r="WHL37" s="79"/>
      <c r="WHM37" s="79"/>
      <c r="WHN37" s="79"/>
      <c r="WHO37" s="79"/>
      <c r="WHP37" s="79"/>
      <c r="WHQ37" s="79"/>
      <c r="WHR37" s="79"/>
      <c r="WHS37" s="79"/>
      <c r="WHT37" s="79"/>
      <c r="WHU37" s="79"/>
      <c r="WHV37" s="79"/>
      <c r="WHW37" s="79"/>
      <c r="WHX37" s="79"/>
      <c r="WHY37" s="79"/>
      <c r="WHZ37" s="79"/>
      <c r="WIA37" s="79"/>
      <c r="WIB37" s="79"/>
      <c r="WIC37" s="79"/>
      <c r="WID37" s="79"/>
      <c r="WIE37" s="79"/>
      <c r="WIF37" s="79"/>
      <c r="WIG37" s="79"/>
      <c r="WIH37" s="79"/>
      <c r="WII37" s="79"/>
      <c r="WIJ37" s="79"/>
      <c r="WIK37" s="79"/>
      <c r="WIL37" s="79"/>
      <c r="WIM37" s="79"/>
      <c r="WIN37" s="79"/>
      <c r="WIO37" s="79"/>
      <c r="WIP37" s="79"/>
      <c r="WIQ37" s="79"/>
      <c r="WIR37" s="79"/>
      <c r="WIS37" s="79"/>
      <c r="WIT37" s="79"/>
      <c r="WIU37" s="79"/>
      <c r="WIV37" s="79"/>
      <c r="WIW37" s="79"/>
      <c r="WIX37" s="79"/>
      <c r="WIY37" s="79"/>
      <c r="WIZ37" s="79"/>
      <c r="WJA37" s="79"/>
      <c r="WJB37" s="79"/>
      <c r="WJC37" s="79"/>
      <c r="WJD37" s="79"/>
      <c r="WJE37" s="79"/>
      <c r="WJF37" s="79"/>
      <c r="WJG37" s="79"/>
      <c r="WJH37" s="79"/>
      <c r="WJI37" s="79"/>
      <c r="WJJ37" s="79"/>
      <c r="WJK37" s="79"/>
      <c r="WJL37" s="79"/>
      <c r="WJM37" s="79"/>
      <c r="WJN37" s="79"/>
      <c r="WJO37" s="79"/>
      <c r="WJP37" s="79"/>
      <c r="WJQ37" s="79"/>
      <c r="WJR37" s="79"/>
      <c r="WJS37" s="79"/>
      <c r="WJT37" s="79"/>
      <c r="WJU37" s="79"/>
      <c r="WJV37" s="79"/>
      <c r="WJW37" s="79"/>
      <c r="WJX37" s="79"/>
      <c r="WJY37" s="79"/>
      <c r="WJZ37" s="79"/>
      <c r="WKA37" s="79"/>
      <c r="WKB37" s="79"/>
      <c r="WKC37" s="79"/>
      <c r="WKD37" s="79"/>
      <c r="WKE37" s="79"/>
      <c r="WKF37" s="79"/>
      <c r="WKG37" s="79"/>
      <c r="WKH37" s="79"/>
      <c r="WKI37" s="79"/>
      <c r="WKJ37" s="79"/>
      <c r="WKK37" s="79"/>
      <c r="WKL37" s="79"/>
      <c r="WKM37" s="79"/>
      <c r="WKN37" s="79"/>
      <c r="WKO37" s="79"/>
      <c r="WKP37" s="79"/>
      <c r="WKQ37" s="79"/>
      <c r="WKR37" s="79"/>
      <c r="WKS37" s="79"/>
      <c r="WKT37" s="79"/>
      <c r="WKU37" s="79"/>
      <c r="WKV37" s="79"/>
      <c r="WKW37" s="79"/>
      <c r="WKX37" s="79"/>
      <c r="WKY37" s="79"/>
      <c r="WKZ37" s="79"/>
      <c r="WLA37" s="79"/>
      <c r="WLB37" s="79"/>
      <c r="WLC37" s="79"/>
      <c r="WLD37" s="79"/>
      <c r="WLE37" s="79"/>
      <c r="WLF37" s="79"/>
      <c r="WLG37" s="79"/>
      <c r="WLH37" s="79"/>
      <c r="WLI37" s="79"/>
      <c r="WLJ37" s="79"/>
      <c r="WLK37" s="79"/>
      <c r="WLL37" s="79"/>
      <c r="WLM37" s="79"/>
      <c r="WLN37" s="79"/>
      <c r="WLO37" s="79"/>
      <c r="WLP37" s="79"/>
      <c r="WLQ37" s="79"/>
      <c r="WLR37" s="79"/>
      <c r="WLS37" s="79"/>
      <c r="WLT37" s="79"/>
      <c r="WLU37" s="79"/>
      <c r="WLV37" s="79"/>
      <c r="WLW37" s="79"/>
      <c r="WLX37" s="79"/>
      <c r="WLY37" s="79"/>
      <c r="WLZ37" s="79"/>
      <c r="WMA37" s="79"/>
      <c r="WMB37" s="79"/>
      <c r="WMC37" s="79"/>
      <c r="WMD37" s="79"/>
      <c r="WME37" s="79"/>
      <c r="WMF37" s="79"/>
      <c r="WMG37" s="79"/>
      <c r="WMH37" s="79"/>
      <c r="WMI37" s="79"/>
      <c r="WMJ37" s="79"/>
      <c r="WMK37" s="79"/>
      <c r="WML37" s="79"/>
      <c r="WMM37" s="79"/>
      <c r="WMN37" s="79"/>
      <c r="WMO37" s="79"/>
      <c r="WMP37" s="79"/>
      <c r="WMQ37" s="79"/>
      <c r="WMR37" s="79"/>
      <c r="WMS37" s="79"/>
      <c r="WMT37" s="79"/>
      <c r="WMU37" s="79"/>
      <c r="WMV37" s="79"/>
      <c r="WMW37" s="79"/>
      <c r="WMX37" s="79"/>
      <c r="WMY37" s="79"/>
      <c r="WMZ37" s="79"/>
      <c r="WNA37" s="79"/>
      <c r="WNB37" s="79"/>
      <c r="WNC37" s="79"/>
      <c r="WND37" s="79"/>
      <c r="WNE37" s="79"/>
      <c r="WNF37" s="79"/>
      <c r="WNG37" s="79"/>
      <c r="WNH37" s="79"/>
      <c r="WNI37" s="79"/>
      <c r="WNJ37" s="79"/>
      <c r="WNK37" s="79"/>
      <c r="WNL37" s="79"/>
      <c r="WNM37" s="79"/>
      <c r="WNN37" s="79"/>
      <c r="WNO37" s="79"/>
      <c r="WNP37" s="79"/>
      <c r="WNQ37" s="79"/>
      <c r="WNR37" s="79"/>
      <c r="WNS37" s="79"/>
      <c r="WNT37" s="79"/>
      <c r="WNU37" s="79"/>
      <c r="WNV37" s="79"/>
      <c r="WNW37" s="79"/>
      <c r="WNX37" s="79"/>
      <c r="WNY37" s="79"/>
      <c r="WNZ37" s="79"/>
      <c r="WOA37" s="79"/>
      <c r="WOB37" s="79"/>
      <c r="WOC37" s="79"/>
      <c r="WOD37" s="79"/>
      <c r="WOE37" s="79"/>
      <c r="WOF37" s="79"/>
      <c r="WOG37" s="79"/>
      <c r="WOH37" s="79"/>
      <c r="WOI37" s="79"/>
      <c r="WOJ37" s="79"/>
      <c r="WOK37" s="79"/>
      <c r="WOL37" s="79"/>
      <c r="WOM37" s="79"/>
      <c r="WON37" s="79"/>
      <c r="WOO37" s="79"/>
      <c r="WOP37" s="79"/>
      <c r="WOQ37" s="79"/>
      <c r="WOR37" s="79"/>
      <c r="WOS37" s="79"/>
      <c r="WOT37" s="79"/>
      <c r="WOU37" s="79"/>
      <c r="WOV37" s="79"/>
      <c r="WOW37" s="79"/>
      <c r="WOX37" s="79"/>
      <c r="WOY37" s="79"/>
      <c r="WOZ37" s="79"/>
      <c r="WPA37" s="79"/>
      <c r="WPB37" s="79"/>
      <c r="WPC37" s="79"/>
      <c r="WPD37" s="79"/>
      <c r="WPE37" s="79"/>
      <c r="WPF37" s="79"/>
      <c r="WPG37" s="79"/>
      <c r="WPH37" s="79"/>
      <c r="WPI37" s="79"/>
      <c r="WPJ37" s="79"/>
      <c r="WPK37" s="79"/>
      <c r="WPL37" s="79"/>
      <c r="WPM37" s="79"/>
      <c r="WPN37" s="79"/>
      <c r="WPO37" s="79"/>
      <c r="WPP37" s="79"/>
      <c r="WPQ37" s="79"/>
      <c r="WPR37" s="79"/>
      <c r="WPS37" s="79"/>
      <c r="WPT37" s="79"/>
      <c r="WPU37" s="79"/>
      <c r="WPV37" s="79"/>
      <c r="WPW37" s="79"/>
      <c r="WPX37" s="79"/>
      <c r="WPY37" s="79"/>
      <c r="WPZ37" s="79"/>
      <c r="WQA37" s="79"/>
      <c r="WQB37" s="79"/>
      <c r="WQC37" s="79"/>
      <c r="WQD37" s="79"/>
      <c r="WQE37" s="79"/>
      <c r="WQF37" s="79"/>
      <c r="WQG37" s="79"/>
      <c r="WQH37" s="79"/>
      <c r="WQI37" s="79"/>
      <c r="WQJ37" s="79"/>
      <c r="WQK37" s="79"/>
      <c r="WQL37" s="79"/>
      <c r="WQM37" s="79"/>
      <c r="WQN37" s="79"/>
      <c r="WQO37" s="79"/>
      <c r="WQP37" s="79"/>
      <c r="WQQ37" s="79"/>
      <c r="WQR37" s="79"/>
      <c r="WQS37" s="79"/>
      <c r="WQT37" s="79"/>
      <c r="WQU37" s="79"/>
      <c r="WQV37" s="79"/>
      <c r="WQW37" s="79"/>
      <c r="WQX37" s="79"/>
      <c r="WQY37" s="79"/>
      <c r="WQZ37" s="79"/>
      <c r="WRA37" s="79"/>
      <c r="WRB37" s="79"/>
      <c r="WRC37" s="79"/>
      <c r="WRD37" s="79"/>
      <c r="WRE37" s="79"/>
      <c r="WRF37" s="79"/>
      <c r="WRG37" s="79"/>
      <c r="WRH37" s="79"/>
      <c r="WRI37" s="79"/>
      <c r="WRJ37" s="79"/>
      <c r="WRK37" s="79"/>
      <c r="WRL37" s="79"/>
      <c r="WRM37" s="79"/>
      <c r="WRN37" s="79"/>
      <c r="WRO37" s="79"/>
      <c r="WRP37" s="79"/>
      <c r="WRQ37" s="79"/>
      <c r="WRR37" s="79"/>
      <c r="WRS37" s="79"/>
      <c r="WRT37" s="79"/>
      <c r="WRU37" s="79"/>
      <c r="WRV37" s="79"/>
      <c r="WRW37" s="79"/>
      <c r="WRX37" s="79"/>
      <c r="WRY37" s="79"/>
      <c r="WRZ37" s="79"/>
      <c r="WSA37" s="79"/>
      <c r="WSB37" s="79"/>
      <c r="WSC37" s="79"/>
      <c r="WSD37" s="79"/>
      <c r="WSE37" s="79"/>
      <c r="WSF37" s="79"/>
      <c r="WSG37" s="79"/>
      <c r="WSH37" s="79"/>
      <c r="WSI37" s="79"/>
      <c r="WSJ37" s="79"/>
      <c r="WSK37" s="79"/>
      <c r="WSL37" s="79"/>
      <c r="WSM37" s="79"/>
      <c r="WSN37" s="79"/>
      <c r="WSO37" s="79"/>
      <c r="WSP37" s="79"/>
      <c r="WSQ37" s="79"/>
      <c r="WSR37" s="79"/>
      <c r="WSS37" s="79"/>
      <c r="WST37" s="79"/>
      <c r="WSU37" s="79"/>
      <c r="WSV37" s="79"/>
      <c r="WSW37" s="79"/>
      <c r="WSX37" s="79"/>
      <c r="WSY37" s="79"/>
      <c r="WSZ37" s="79"/>
      <c r="WTA37" s="79"/>
      <c r="WTB37" s="79"/>
      <c r="WTC37" s="79"/>
      <c r="WTD37" s="79"/>
      <c r="WTE37" s="79"/>
      <c r="WTF37" s="79"/>
      <c r="WTG37" s="79"/>
      <c r="WTH37" s="79"/>
      <c r="WTI37" s="79"/>
      <c r="WTJ37" s="79"/>
      <c r="WTK37" s="79"/>
      <c r="WTL37" s="79"/>
      <c r="WTM37" s="79"/>
      <c r="WTN37" s="79"/>
      <c r="WTO37" s="79"/>
      <c r="WTP37" s="79"/>
      <c r="WTQ37" s="79"/>
      <c r="WTR37" s="79"/>
      <c r="WTS37" s="79"/>
      <c r="WTT37" s="79"/>
      <c r="WTU37" s="79"/>
      <c r="WTV37" s="79"/>
      <c r="WTW37" s="79"/>
      <c r="WTX37" s="79"/>
      <c r="WTY37" s="79"/>
      <c r="WTZ37" s="79"/>
      <c r="WUA37" s="79"/>
      <c r="WUB37" s="79"/>
      <c r="WUC37" s="79"/>
      <c r="WUD37" s="79"/>
      <c r="WUE37" s="79"/>
      <c r="WUF37" s="79"/>
      <c r="WUG37" s="79"/>
      <c r="WUH37" s="79"/>
      <c r="WUI37" s="79"/>
      <c r="WUJ37" s="79"/>
      <c r="WUK37" s="79"/>
      <c r="WUL37" s="79"/>
      <c r="WUM37" s="79"/>
      <c r="WUN37" s="79"/>
      <c r="WUO37" s="79"/>
      <c r="WUP37" s="79"/>
      <c r="WUQ37" s="79"/>
      <c r="WUR37" s="79"/>
      <c r="WUS37" s="79"/>
      <c r="WUT37" s="79"/>
      <c r="WUU37" s="79"/>
      <c r="WUV37" s="79"/>
      <c r="WUW37" s="79"/>
      <c r="WUX37" s="79"/>
      <c r="WUY37" s="79"/>
      <c r="WUZ37" s="79"/>
      <c r="WVA37" s="79"/>
      <c r="WVB37" s="79"/>
      <c r="WVC37" s="79"/>
      <c r="WVD37" s="79"/>
      <c r="WVE37" s="79"/>
      <c r="WVF37" s="79"/>
      <c r="WVG37" s="79"/>
      <c r="WVH37" s="79"/>
      <c r="WVI37" s="79"/>
      <c r="WVJ37" s="79"/>
      <c r="WVK37" s="79"/>
      <c r="WVL37" s="79"/>
      <c r="WVM37" s="79"/>
      <c r="WVN37" s="79"/>
      <c r="WVO37" s="79"/>
      <c r="WVP37" s="79"/>
      <c r="WVQ37" s="79"/>
      <c r="WVR37" s="79"/>
      <c r="WVS37" s="79"/>
      <c r="WVT37" s="79"/>
      <c r="WVU37" s="79"/>
      <c r="WVV37" s="79"/>
      <c r="WVW37" s="79"/>
      <c r="WVX37" s="79"/>
      <c r="WVY37" s="79"/>
      <c r="WVZ37" s="79"/>
      <c r="WWA37" s="79"/>
      <c r="WWB37" s="79"/>
      <c r="WWC37" s="79"/>
      <c r="WWD37" s="79"/>
      <c r="WWE37" s="79"/>
      <c r="WWF37" s="79"/>
      <c r="WWG37" s="79"/>
      <c r="WWH37" s="79"/>
      <c r="WWI37" s="79"/>
      <c r="WWJ37" s="79"/>
      <c r="WWK37" s="79"/>
      <c r="WWL37" s="79"/>
      <c r="WWM37" s="79"/>
      <c r="WWN37" s="79"/>
      <c r="WWO37" s="79"/>
      <c r="WWP37" s="79"/>
      <c r="WWQ37" s="79"/>
      <c r="WWR37" s="79"/>
      <c r="WWS37" s="79"/>
      <c r="WWT37" s="79"/>
      <c r="WWU37" s="79"/>
      <c r="WWV37" s="79"/>
      <c r="WWW37" s="79"/>
      <c r="WWX37" s="79"/>
      <c r="WWY37" s="79"/>
      <c r="WWZ37" s="79"/>
      <c r="WXA37" s="79"/>
      <c r="WXB37" s="79"/>
      <c r="WXC37" s="79"/>
      <c r="WXD37" s="79"/>
      <c r="WXE37" s="79"/>
      <c r="WXF37" s="79"/>
      <c r="WXG37" s="79"/>
      <c r="WXH37" s="79"/>
      <c r="WXI37" s="79"/>
      <c r="WXJ37" s="79"/>
      <c r="WXK37" s="79"/>
      <c r="WXL37" s="79"/>
      <c r="WXM37" s="79"/>
      <c r="WXN37" s="79"/>
      <c r="WXO37" s="79"/>
      <c r="WXP37" s="79"/>
      <c r="WXQ37" s="79"/>
      <c r="WXR37" s="79"/>
      <c r="WXS37" s="79"/>
      <c r="WXT37" s="79"/>
      <c r="WXU37" s="79"/>
      <c r="WXV37" s="79"/>
      <c r="WXW37" s="79"/>
      <c r="WXX37" s="79"/>
      <c r="WXY37" s="79"/>
      <c r="WXZ37" s="79"/>
      <c r="WYA37" s="79"/>
      <c r="WYB37" s="79"/>
      <c r="WYC37" s="79"/>
      <c r="WYD37" s="79"/>
      <c r="WYE37" s="79"/>
      <c r="WYF37" s="79"/>
      <c r="WYG37" s="79"/>
      <c r="WYH37" s="79"/>
      <c r="WYI37" s="79"/>
      <c r="WYJ37" s="79"/>
      <c r="WYK37" s="79"/>
      <c r="WYL37" s="79"/>
      <c r="WYM37" s="79"/>
      <c r="WYN37" s="79"/>
      <c r="WYO37" s="79"/>
      <c r="WYP37" s="79"/>
      <c r="WYQ37" s="79"/>
      <c r="WYR37" s="79"/>
      <c r="WYS37" s="79"/>
      <c r="WYT37" s="79"/>
      <c r="WYU37" s="79"/>
      <c r="WYV37" s="79"/>
      <c r="WYW37" s="79"/>
      <c r="WYX37" s="79"/>
      <c r="WYY37" s="79"/>
      <c r="WYZ37" s="79"/>
      <c r="WZA37" s="79"/>
      <c r="WZB37" s="79"/>
      <c r="WZC37" s="79"/>
      <c r="WZD37" s="79"/>
      <c r="WZE37" s="79"/>
      <c r="WZF37" s="79"/>
      <c r="WZG37" s="79"/>
      <c r="WZH37" s="79"/>
      <c r="WZI37" s="79"/>
      <c r="WZJ37" s="79"/>
      <c r="WZK37" s="79"/>
      <c r="WZL37" s="79"/>
      <c r="WZM37" s="79"/>
      <c r="WZN37" s="79"/>
      <c r="WZO37" s="79"/>
      <c r="WZP37" s="79"/>
      <c r="WZQ37" s="79"/>
      <c r="WZR37" s="79"/>
      <c r="WZS37" s="79"/>
      <c r="WZT37" s="79"/>
      <c r="WZU37" s="79"/>
      <c r="WZV37" s="79"/>
      <c r="WZW37" s="79"/>
      <c r="WZX37" s="79"/>
      <c r="WZY37" s="79"/>
      <c r="WZZ37" s="79"/>
      <c r="XAA37" s="79"/>
      <c r="XAB37" s="79"/>
      <c r="XAC37" s="79"/>
      <c r="XAD37" s="79"/>
      <c r="XAE37" s="79"/>
      <c r="XAF37" s="79"/>
      <c r="XAG37" s="79"/>
      <c r="XAH37" s="79"/>
      <c r="XAI37" s="79"/>
      <c r="XAJ37" s="79"/>
      <c r="XAK37" s="79"/>
      <c r="XAL37" s="79"/>
      <c r="XAM37" s="79"/>
      <c r="XAN37" s="79"/>
      <c r="XAO37" s="79"/>
      <c r="XAP37" s="79"/>
      <c r="XAQ37" s="79"/>
      <c r="XAR37" s="79"/>
      <c r="XAS37" s="79"/>
      <c r="XAT37" s="79"/>
      <c r="XAU37" s="79"/>
      <c r="XAV37" s="79"/>
      <c r="XAW37" s="79"/>
      <c r="XAX37" s="79"/>
      <c r="XAY37" s="79"/>
      <c r="XAZ37" s="79"/>
      <c r="XBA37" s="79"/>
      <c r="XBB37" s="79"/>
      <c r="XBC37" s="79"/>
      <c r="XBD37" s="79"/>
      <c r="XBE37" s="79"/>
      <c r="XBF37" s="79"/>
      <c r="XBG37" s="79"/>
      <c r="XBH37" s="79"/>
      <c r="XBI37" s="79"/>
      <c r="XBJ37" s="79"/>
      <c r="XBK37" s="79"/>
      <c r="XBL37" s="79"/>
      <c r="XBM37" s="79"/>
      <c r="XBN37" s="79"/>
      <c r="XBO37" s="79"/>
      <c r="XBP37" s="79"/>
      <c r="XBQ37" s="79"/>
      <c r="XBR37" s="79"/>
      <c r="XBS37" s="79"/>
      <c r="XBT37" s="79"/>
      <c r="XBU37" s="79"/>
      <c r="XBV37" s="79"/>
      <c r="XBW37" s="79"/>
      <c r="XBX37" s="79"/>
      <c r="XBY37" s="79"/>
      <c r="XBZ37" s="79"/>
      <c r="XCA37" s="79"/>
      <c r="XCB37" s="79"/>
      <c r="XCC37" s="79"/>
      <c r="XCD37" s="79"/>
      <c r="XCE37" s="79"/>
      <c r="XCF37" s="79"/>
      <c r="XCG37" s="79"/>
      <c r="XCH37" s="79"/>
      <c r="XCI37" s="79"/>
      <c r="XCJ37" s="79"/>
      <c r="XCK37" s="79"/>
      <c r="XCL37" s="79"/>
      <c r="XCM37" s="79"/>
      <c r="XCN37" s="79"/>
      <c r="XCO37" s="79"/>
      <c r="XCP37" s="79"/>
      <c r="XCQ37" s="79"/>
      <c r="XCR37" s="79"/>
      <c r="XCS37" s="79"/>
      <c r="XCT37" s="79"/>
      <c r="XCU37" s="79"/>
      <c r="XCV37" s="79"/>
      <c r="XCW37" s="79"/>
      <c r="XCX37" s="79"/>
      <c r="XCY37" s="79"/>
      <c r="XCZ37" s="79"/>
      <c r="XDA37" s="79"/>
      <c r="XDB37" s="79"/>
      <c r="XDC37" s="79"/>
      <c r="XDD37" s="79"/>
      <c r="XDE37" s="79"/>
      <c r="XDF37" s="79"/>
      <c r="XDG37" s="79"/>
      <c r="XDH37" s="79"/>
      <c r="XDI37" s="79"/>
      <c r="XDJ37" s="79"/>
      <c r="XDK37" s="79"/>
      <c r="XDL37" s="79"/>
      <c r="XDM37" s="79"/>
      <c r="XDN37" s="79"/>
      <c r="XDO37" s="79"/>
      <c r="XDP37" s="79"/>
      <c r="XDQ37" s="79"/>
      <c r="XDR37" s="79"/>
      <c r="XDS37" s="79"/>
      <c r="XDT37" s="79"/>
      <c r="XDU37" s="79"/>
      <c r="XDV37" s="79"/>
      <c r="XDW37" s="79"/>
      <c r="XDX37" s="79"/>
      <c r="XDY37" s="79"/>
      <c r="XDZ37" s="79"/>
      <c r="XEA37" s="79"/>
      <c r="XEB37" s="79"/>
      <c r="XEC37" s="79"/>
      <c r="XED37" s="79"/>
      <c r="XEE37" s="79"/>
      <c r="XEF37" s="79"/>
      <c r="XEG37" s="79"/>
      <c r="XEH37" s="79"/>
      <c r="XEI37" s="79"/>
      <c r="XEJ37" s="79"/>
      <c r="XEK37" s="79"/>
      <c r="XEL37" s="79"/>
      <c r="XEM37" s="79"/>
      <c r="XEN37" s="79"/>
      <c r="XEO37" s="79"/>
      <c r="XEP37" s="79"/>
      <c r="XEQ37" s="79"/>
      <c r="XER37" s="79"/>
      <c r="XES37" s="79"/>
      <c r="XET37" s="79"/>
      <c r="XEU37" s="79"/>
    </row>
    <row r="38" spans="1:16375" s="73" customFormat="1" ht="14.5" x14ac:dyDescent="0.35">
      <c r="A38" s="78" t="s">
        <v>536</v>
      </c>
      <c r="B38" s="70" t="s">
        <v>535</v>
      </c>
      <c r="C38" s="70" t="s">
        <v>534</v>
      </c>
      <c r="D38" s="70">
        <v>26</v>
      </c>
      <c r="E38" s="70" t="s">
        <v>533</v>
      </c>
      <c r="F38" s="70">
        <v>4</v>
      </c>
      <c r="G38" s="70" t="s">
        <v>532</v>
      </c>
      <c r="H38" s="70" t="s">
        <v>531</v>
      </c>
      <c r="I38" s="70" t="s">
        <v>529</v>
      </c>
      <c r="J38" s="70">
        <v>1</v>
      </c>
      <c r="K38" s="70" t="s">
        <v>530</v>
      </c>
      <c r="L38" s="70" t="s">
        <v>529</v>
      </c>
      <c r="M38" s="70">
        <v>2023</v>
      </c>
      <c r="N38" s="77">
        <v>106921</v>
      </c>
      <c r="O38" s="70">
        <v>52</v>
      </c>
      <c r="P38" s="70">
        <v>80</v>
      </c>
      <c r="Q38" s="70" t="s">
        <v>528</v>
      </c>
      <c r="R38" s="76">
        <v>4191.32</v>
      </c>
      <c r="S38" s="76">
        <v>4258.42</v>
      </c>
      <c r="T38" s="76">
        <v>3398.34</v>
      </c>
      <c r="U38" s="76">
        <v>3398.3</v>
      </c>
      <c r="V38" s="76">
        <v>3354.22</v>
      </c>
      <c r="W38" s="76">
        <v>3398.34</v>
      </c>
      <c r="X38" s="76">
        <v>3398.3</v>
      </c>
      <c r="Y38" s="76">
        <v>3398.34</v>
      </c>
      <c r="Z38" s="76">
        <v>3398.3</v>
      </c>
      <c r="AA38" s="76">
        <v>3398.34</v>
      </c>
      <c r="AB38" s="76">
        <v>3398.31</v>
      </c>
      <c r="AC38" s="76">
        <v>4318.93</v>
      </c>
      <c r="AD38" s="76">
        <v>4318.8900000000003</v>
      </c>
      <c r="AE38" s="76">
        <v>4318.93</v>
      </c>
      <c r="AF38" s="76">
        <v>4318.8900000000003</v>
      </c>
      <c r="AG38" s="76">
        <v>4318.93</v>
      </c>
      <c r="AH38" s="76">
        <v>4318.8900000000003</v>
      </c>
      <c r="AI38" s="76">
        <v>4318.93</v>
      </c>
      <c r="AJ38" s="76">
        <v>4318.8900000000003</v>
      </c>
      <c r="AK38" s="76">
        <v>3354.22</v>
      </c>
      <c r="AL38" s="76">
        <v>4911.3999999999996</v>
      </c>
      <c r="AM38" s="76">
        <v>4452.22</v>
      </c>
      <c r="AN38" s="76">
        <v>4452.25</v>
      </c>
      <c r="AO38" s="76">
        <v>4452.21</v>
      </c>
      <c r="AP38" s="76">
        <v>4452.25</v>
      </c>
      <c r="AQ38" s="76">
        <v>4452.25</v>
      </c>
      <c r="AR38" s="76">
        <v>104068.61</v>
      </c>
      <c r="AS38" s="76">
        <v>289.2</v>
      </c>
      <c r="AT38" s="76">
        <v>110954.69</v>
      </c>
      <c r="AU38" s="76">
        <v>360</v>
      </c>
      <c r="AV38" s="76">
        <v>116062.62</v>
      </c>
      <c r="AW38" s="76">
        <v>360</v>
      </c>
      <c r="AX38" s="76">
        <v>118379.21</v>
      </c>
      <c r="AY38" s="76">
        <v>360</v>
      </c>
      <c r="AZ38" s="74"/>
    </row>
    <row r="39" spans="1:16375" s="72" customFormat="1" ht="15.75" hidden="1" customHeight="1" x14ac:dyDescent="0.35">
      <c r="A39" s="78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7"/>
      <c r="O39" s="70"/>
      <c r="P39" s="70"/>
      <c r="Q39" s="70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5"/>
      <c r="AV39" s="75"/>
      <c r="AW39" s="75"/>
      <c r="AX39" s="75"/>
      <c r="AY39" s="75"/>
      <c r="AZ39" s="74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  <c r="IW39" s="73"/>
      <c r="IX39" s="73"/>
      <c r="IY39" s="73"/>
      <c r="IZ39" s="73"/>
      <c r="JA39" s="73"/>
      <c r="JB39" s="73"/>
      <c r="JC39" s="73"/>
      <c r="JD39" s="73"/>
      <c r="JE39" s="73"/>
      <c r="JF39" s="73"/>
      <c r="JG39" s="73"/>
      <c r="JH39" s="73"/>
      <c r="JI39" s="73"/>
      <c r="JJ39" s="73"/>
      <c r="JK39" s="73"/>
      <c r="JL39" s="73"/>
      <c r="JM39" s="73"/>
      <c r="JN39" s="73"/>
      <c r="JO39" s="73"/>
      <c r="JP39" s="73"/>
      <c r="JQ39" s="73"/>
      <c r="JR39" s="73"/>
      <c r="JS39" s="73"/>
      <c r="JT39" s="73"/>
      <c r="JU39" s="73"/>
      <c r="JV39" s="73"/>
      <c r="JW39" s="73"/>
      <c r="JX39" s="73"/>
      <c r="JY39" s="73"/>
      <c r="JZ39" s="73"/>
      <c r="KA39" s="73"/>
      <c r="KB39" s="73"/>
      <c r="KC39" s="73"/>
      <c r="KD39" s="73"/>
      <c r="KE39" s="73"/>
      <c r="KF39" s="73"/>
      <c r="KG39" s="73"/>
      <c r="KH39" s="73"/>
      <c r="KI39" s="73"/>
      <c r="KJ39" s="73"/>
      <c r="KK39" s="73"/>
      <c r="KL39" s="73"/>
      <c r="KM39" s="73"/>
      <c r="KN39" s="73"/>
      <c r="KO39" s="73"/>
      <c r="KP39" s="73"/>
      <c r="KQ39" s="73"/>
      <c r="KR39" s="73"/>
      <c r="KS39" s="73"/>
      <c r="KT39" s="73"/>
      <c r="KU39" s="73"/>
      <c r="KV39" s="73"/>
      <c r="KW39" s="73"/>
      <c r="KX39" s="73"/>
      <c r="KY39" s="73"/>
      <c r="KZ39" s="73"/>
      <c r="LA39" s="73"/>
      <c r="LB39" s="73"/>
      <c r="LC39" s="73"/>
      <c r="LD39" s="73"/>
      <c r="LE39" s="73"/>
      <c r="LF39" s="73"/>
      <c r="LG39" s="73"/>
      <c r="LH39" s="73"/>
      <c r="LI39" s="73"/>
      <c r="LJ39" s="73"/>
      <c r="LK39" s="73"/>
      <c r="LL39" s="73"/>
      <c r="LM39" s="73"/>
      <c r="LN39" s="73"/>
      <c r="LO39" s="73"/>
      <c r="LP39" s="73"/>
      <c r="LQ39" s="73"/>
      <c r="LR39" s="73"/>
      <c r="LS39" s="73"/>
      <c r="LT39" s="73"/>
      <c r="LU39" s="73"/>
      <c r="LV39" s="73"/>
      <c r="LW39" s="73"/>
      <c r="LX39" s="73"/>
      <c r="LY39" s="73"/>
      <c r="LZ39" s="73"/>
      <c r="MA39" s="73"/>
      <c r="MB39" s="73"/>
      <c r="MC39" s="73"/>
      <c r="MD39" s="73"/>
      <c r="ME39" s="73"/>
      <c r="MF39" s="73"/>
      <c r="MG39" s="73"/>
      <c r="MH39" s="73"/>
      <c r="MI39" s="73"/>
      <c r="MJ39" s="73"/>
      <c r="MK39" s="73"/>
      <c r="ML39" s="73"/>
      <c r="MM39" s="73"/>
      <c r="MN39" s="73"/>
      <c r="MO39" s="73"/>
      <c r="MP39" s="73"/>
      <c r="MQ39" s="73"/>
      <c r="MR39" s="73"/>
      <c r="MS39" s="73"/>
      <c r="MT39" s="73"/>
      <c r="MU39" s="73"/>
      <c r="MV39" s="73"/>
      <c r="MW39" s="73"/>
      <c r="MX39" s="73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  <c r="PC39" s="73"/>
      <c r="PD39" s="73"/>
      <c r="PE39" s="73"/>
      <c r="PF39" s="73"/>
      <c r="PG39" s="73"/>
      <c r="PH39" s="73"/>
      <c r="PI39" s="73"/>
      <c r="PJ39" s="73"/>
      <c r="PK39" s="73"/>
      <c r="PL39" s="73"/>
      <c r="PM39" s="73"/>
      <c r="PN39" s="73"/>
      <c r="PO39" s="73"/>
      <c r="PP39" s="73"/>
      <c r="PQ39" s="73"/>
      <c r="PR39" s="73"/>
      <c r="PS39" s="73"/>
      <c r="PT39" s="73"/>
      <c r="PU39" s="73"/>
      <c r="PV39" s="73"/>
      <c r="PW39" s="73"/>
      <c r="PX39" s="73"/>
      <c r="PY39" s="73"/>
      <c r="PZ39" s="73"/>
      <c r="QA39" s="73"/>
      <c r="QB39" s="73"/>
      <c r="QC39" s="73"/>
      <c r="QD39" s="73"/>
      <c r="QE39" s="73"/>
      <c r="QF39" s="73"/>
      <c r="QG39" s="73"/>
      <c r="QH39" s="73"/>
      <c r="QI39" s="73"/>
      <c r="QJ39" s="73"/>
      <c r="QK39" s="73"/>
      <c r="QL39" s="73"/>
      <c r="QM39" s="73"/>
      <c r="QN39" s="73"/>
      <c r="QO39" s="73"/>
      <c r="QP39" s="73"/>
      <c r="QQ39" s="73"/>
      <c r="QR39" s="73"/>
      <c r="QS39" s="73"/>
      <c r="QT39" s="73"/>
      <c r="QU39" s="73"/>
      <c r="QV39" s="73"/>
      <c r="QW39" s="73"/>
      <c r="QX39" s="73"/>
      <c r="QY39" s="73"/>
      <c r="QZ39" s="73"/>
      <c r="RA39" s="73"/>
      <c r="RB39" s="73"/>
      <c r="RC39" s="73"/>
      <c r="RD39" s="73"/>
      <c r="RE39" s="73"/>
      <c r="RF39" s="73"/>
      <c r="RG39" s="73"/>
      <c r="RH39" s="73"/>
      <c r="RI39" s="73"/>
      <c r="RJ39" s="73"/>
      <c r="RK39" s="73"/>
      <c r="RL39" s="73"/>
      <c r="RM39" s="73"/>
      <c r="RN39" s="73"/>
      <c r="RO39" s="73"/>
      <c r="RP39" s="73"/>
      <c r="RQ39" s="73"/>
      <c r="RR39" s="73"/>
      <c r="RS39" s="73"/>
      <c r="RT39" s="73"/>
      <c r="RU39" s="73"/>
      <c r="RV39" s="73"/>
      <c r="RW39" s="73"/>
      <c r="RX39" s="73"/>
      <c r="RY39" s="73"/>
      <c r="RZ39" s="73"/>
      <c r="SA39" s="73"/>
      <c r="SB39" s="73"/>
      <c r="SC39" s="73"/>
      <c r="SD39" s="73"/>
      <c r="SE39" s="73"/>
      <c r="SF39" s="73"/>
      <c r="SG39" s="73"/>
      <c r="SH39" s="73"/>
      <c r="SI39" s="73"/>
      <c r="SJ39" s="73"/>
      <c r="SK39" s="73"/>
      <c r="SL39" s="73"/>
      <c r="SM39" s="73"/>
      <c r="SN39" s="73"/>
      <c r="SO39" s="73"/>
      <c r="SP39" s="73"/>
      <c r="SQ39" s="73"/>
      <c r="SR39" s="73"/>
      <c r="SS39" s="73"/>
      <c r="ST39" s="73"/>
      <c r="SU39" s="73"/>
      <c r="SV39" s="73"/>
      <c r="SW39" s="73"/>
      <c r="SX39" s="73"/>
      <c r="SY39" s="73"/>
      <c r="SZ39" s="73"/>
      <c r="TA39" s="73"/>
      <c r="TB39" s="73"/>
      <c r="TC39" s="73"/>
      <c r="TD39" s="73"/>
      <c r="TE39" s="73"/>
      <c r="TF39" s="73"/>
      <c r="TG39" s="73"/>
      <c r="TH39" s="73"/>
      <c r="TI39" s="73"/>
      <c r="TJ39" s="73"/>
      <c r="TK39" s="73"/>
      <c r="TL39" s="73"/>
      <c r="TM39" s="73"/>
      <c r="TN39" s="73"/>
      <c r="TO39" s="73"/>
      <c r="TP39" s="73"/>
      <c r="TQ39" s="73"/>
      <c r="TR39" s="73"/>
      <c r="TS39" s="73"/>
      <c r="TT39" s="73"/>
      <c r="TU39" s="73"/>
      <c r="TV39" s="73"/>
      <c r="TW39" s="73"/>
      <c r="TX39" s="73"/>
      <c r="TY39" s="73"/>
      <c r="TZ39" s="73"/>
      <c r="UA39" s="73"/>
      <c r="UB39" s="73"/>
      <c r="UC39" s="73"/>
      <c r="UD39" s="73"/>
      <c r="UE39" s="73"/>
      <c r="UF39" s="73"/>
      <c r="UG39" s="73"/>
      <c r="UH39" s="73"/>
      <c r="UI39" s="73"/>
      <c r="UJ39" s="73"/>
      <c r="UK39" s="73"/>
      <c r="UL39" s="73"/>
      <c r="UM39" s="73"/>
      <c r="UN39" s="73"/>
      <c r="UO39" s="73"/>
      <c r="UP39" s="73"/>
      <c r="UQ39" s="73"/>
      <c r="UR39" s="73"/>
      <c r="US39" s="73"/>
      <c r="UT39" s="73"/>
      <c r="UU39" s="73"/>
      <c r="UV39" s="73"/>
      <c r="UW39" s="73"/>
      <c r="UX39" s="73"/>
      <c r="UY39" s="73"/>
      <c r="UZ39" s="73"/>
      <c r="VA39" s="73"/>
      <c r="VB39" s="73"/>
      <c r="VC39" s="73"/>
      <c r="VD39" s="73"/>
      <c r="VE39" s="73"/>
      <c r="VF39" s="73"/>
      <c r="VG39" s="73"/>
      <c r="VH39" s="73"/>
      <c r="VI39" s="73"/>
      <c r="VJ39" s="73"/>
      <c r="VK39" s="73"/>
      <c r="VL39" s="73"/>
      <c r="VM39" s="73"/>
      <c r="VN39" s="73"/>
      <c r="VO39" s="73"/>
      <c r="VP39" s="73"/>
      <c r="VQ39" s="73"/>
      <c r="VR39" s="73"/>
      <c r="VS39" s="73"/>
      <c r="VT39" s="73"/>
      <c r="VU39" s="73"/>
      <c r="VV39" s="73"/>
      <c r="VW39" s="73"/>
      <c r="VX39" s="73"/>
      <c r="VY39" s="73"/>
      <c r="VZ39" s="73"/>
      <c r="WA39" s="73"/>
      <c r="WB39" s="73"/>
      <c r="WC39" s="73"/>
      <c r="WD39" s="73"/>
      <c r="WE39" s="73"/>
      <c r="WF39" s="73"/>
      <c r="WG39" s="73"/>
      <c r="WH39" s="73"/>
      <c r="WI39" s="73"/>
      <c r="WJ39" s="73"/>
      <c r="WK39" s="73"/>
      <c r="WL39" s="73"/>
      <c r="WM39" s="73"/>
      <c r="WN39" s="73"/>
      <c r="WO39" s="73"/>
      <c r="WP39" s="73"/>
      <c r="WQ39" s="73"/>
      <c r="WR39" s="73"/>
      <c r="WS39" s="73"/>
      <c r="WT39" s="73"/>
      <c r="WU39" s="73"/>
      <c r="WV39" s="73"/>
      <c r="WW39" s="73"/>
      <c r="WX39" s="73"/>
      <c r="WY39" s="73"/>
      <c r="WZ39" s="73"/>
      <c r="XA39" s="73"/>
      <c r="XB39" s="73"/>
      <c r="XC39" s="73"/>
      <c r="XD39" s="73"/>
      <c r="XE39" s="73"/>
      <c r="XF39" s="73"/>
      <c r="XG39" s="73"/>
      <c r="XH39" s="73"/>
      <c r="XI39" s="73"/>
      <c r="XJ39" s="73"/>
      <c r="XK39" s="73"/>
      <c r="XL39" s="73"/>
      <c r="XM39" s="73"/>
      <c r="XN39" s="73"/>
      <c r="XO39" s="73"/>
      <c r="XP39" s="73"/>
      <c r="XQ39" s="73"/>
      <c r="XR39" s="73"/>
      <c r="XS39" s="73"/>
      <c r="XT39" s="73"/>
      <c r="XU39" s="73"/>
      <c r="XV39" s="73"/>
      <c r="XW39" s="73"/>
      <c r="XX39" s="73"/>
      <c r="XY39" s="73"/>
      <c r="XZ39" s="73"/>
      <c r="YA39" s="73"/>
      <c r="YB39" s="73"/>
      <c r="YC39" s="73"/>
      <c r="YD39" s="73"/>
      <c r="YE39" s="73"/>
      <c r="YF39" s="73"/>
      <c r="YG39" s="73"/>
      <c r="YH39" s="73"/>
      <c r="YI39" s="73"/>
      <c r="YJ39" s="73"/>
      <c r="YK39" s="73"/>
      <c r="YL39" s="73"/>
      <c r="YM39" s="73"/>
      <c r="YN39" s="73"/>
      <c r="YO39" s="73"/>
      <c r="YP39" s="73"/>
      <c r="YQ39" s="73"/>
      <c r="YR39" s="73"/>
      <c r="YS39" s="73"/>
      <c r="YT39" s="73"/>
      <c r="YU39" s="73"/>
      <c r="YV39" s="73"/>
      <c r="YW39" s="73"/>
      <c r="YX39" s="73"/>
      <c r="YY39" s="73"/>
      <c r="YZ39" s="73"/>
      <c r="ZA39" s="73"/>
      <c r="ZB39" s="73"/>
      <c r="ZC39" s="73"/>
      <c r="ZD39" s="73"/>
      <c r="ZE39" s="73"/>
      <c r="ZF39" s="73"/>
      <c r="ZG39" s="73"/>
      <c r="ZH39" s="73"/>
      <c r="ZI39" s="73"/>
      <c r="ZJ39" s="73"/>
      <c r="ZK39" s="73"/>
      <c r="ZL39" s="73"/>
      <c r="ZM39" s="73"/>
      <c r="ZN39" s="73"/>
      <c r="ZO39" s="73"/>
      <c r="ZP39" s="73"/>
      <c r="ZQ39" s="73"/>
      <c r="ZR39" s="73"/>
      <c r="ZS39" s="73"/>
      <c r="ZT39" s="73"/>
      <c r="ZU39" s="73"/>
      <c r="ZV39" s="73"/>
      <c r="ZW39" s="73"/>
      <c r="ZX39" s="73"/>
      <c r="ZY39" s="73"/>
      <c r="ZZ39" s="73"/>
      <c r="AAA39" s="73"/>
      <c r="AAB39" s="73"/>
      <c r="AAC39" s="73"/>
      <c r="AAD39" s="73"/>
      <c r="AAE39" s="73"/>
      <c r="AAF39" s="73"/>
      <c r="AAG39" s="73"/>
      <c r="AAH39" s="73"/>
      <c r="AAI39" s="73"/>
      <c r="AAJ39" s="73"/>
      <c r="AAK39" s="73"/>
      <c r="AAL39" s="73"/>
      <c r="AAM39" s="73"/>
      <c r="AAN39" s="73"/>
      <c r="AAO39" s="73"/>
      <c r="AAP39" s="73"/>
      <c r="AAQ39" s="73"/>
      <c r="AAR39" s="73"/>
      <c r="AAS39" s="73"/>
      <c r="AAT39" s="73"/>
      <c r="AAU39" s="73"/>
      <c r="AAV39" s="73"/>
      <c r="AAW39" s="73"/>
      <c r="AAX39" s="73"/>
      <c r="AAY39" s="73"/>
      <c r="AAZ39" s="73"/>
      <c r="ABA39" s="73"/>
      <c r="ABB39" s="73"/>
      <c r="ABC39" s="73"/>
      <c r="ABD39" s="73"/>
      <c r="ABE39" s="73"/>
      <c r="ABF39" s="73"/>
      <c r="ABG39" s="73"/>
      <c r="ABH39" s="73"/>
      <c r="ABI39" s="73"/>
      <c r="ABJ39" s="73"/>
      <c r="ABK39" s="73"/>
      <c r="ABL39" s="73"/>
      <c r="ABM39" s="73"/>
      <c r="ABN39" s="73"/>
      <c r="ABO39" s="73"/>
      <c r="ABP39" s="73"/>
      <c r="ABQ39" s="73"/>
      <c r="ABR39" s="73"/>
      <c r="ABS39" s="73"/>
      <c r="ABT39" s="73"/>
      <c r="ABU39" s="73"/>
      <c r="ABV39" s="73"/>
      <c r="ABW39" s="73"/>
      <c r="ABX39" s="73"/>
      <c r="ABY39" s="73"/>
      <c r="ABZ39" s="73"/>
      <c r="ACA39" s="73"/>
      <c r="ACB39" s="73"/>
      <c r="ACC39" s="73"/>
      <c r="ACD39" s="73"/>
      <c r="ACE39" s="73"/>
      <c r="ACF39" s="73"/>
      <c r="ACG39" s="73"/>
      <c r="ACH39" s="73"/>
      <c r="ACI39" s="73"/>
      <c r="ACJ39" s="73"/>
      <c r="ACK39" s="73"/>
      <c r="ACL39" s="73"/>
      <c r="ACM39" s="73"/>
      <c r="ACN39" s="73"/>
      <c r="ACO39" s="73"/>
      <c r="ACP39" s="73"/>
      <c r="ACQ39" s="73"/>
      <c r="ACR39" s="73"/>
      <c r="ACS39" s="73"/>
      <c r="ACT39" s="73"/>
      <c r="ACU39" s="73"/>
      <c r="ACV39" s="73"/>
      <c r="ACW39" s="73"/>
      <c r="ACX39" s="73"/>
      <c r="ACY39" s="73"/>
      <c r="ACZ39" s="73"/>
      <c r="ADA39" s="73"/>
      <c r="ADB39" s="73"/>
      <c r="ADC39" s="73"/>
      <c r="ADD39" s="73"/>
      <c r="ADE39" s="73"/>
      <c r="ADF39" s="73"/>
      <c r="ADG39" s="73"/>
      <c r="ADH39" s="73"/>
      <c r="ADI39" s="73"/>
      <c r="ADJ39" s="73"/>
      <c r="ADK39" s="73"/>
      <c r="ADL39" s="73"/>
      <c r="ADM39" s="73"/>
      <c r="ADN39" s="73"/>
      <c r="ADO39" s="73"/>
      <c r="ADP39" s="73"/>
      <c r="ADQ39" s="73"/>
      <c r="ADR39" s="73"/>
      <c r="ADS39" s="73"/>
      <c r="ADT39" s="73"/>
      <c r="ADU39" s="73"/>
      <c r="ADV39" s="73"/>
      <c r="ADW39" s="73"/>
      <c r="ADX39" s="73"/>
      <c r="ADY39" s="73"/>
      <c r="ADZ39" s="73"/>
      <c r="AEA39" s="73"/>
      <c r="AEB39" s="73"/>
      <c r="AEC39" s="73"/>
      <c r="AED39" s="73"/>
      <c r="AEE39" s="73"/>
      <c r="AEF39" s="73"/>
      <c r="AEG39" s="73"/>
      <c r="AEH39" s="73"/>
      <c r="AEI39" s="73"/>
      <c r="AEJ39" s="73"/>
      <c r="AEK39" s="73"/>
      <c r="AEL39" s="73"/>
      <c r="AEM39" s="73"/>
      <c r="AEN39" s="73"/>
      <c r="AEO39" s="73"/>
      <c r="AEP39" s="73"/>
      <c r="AEQ39" s="73"/>
      <c r="AER39" s="73"/>
      <c r="AES39" s="73"/>
      <c r="AET39" s="73"/>
      <c r="AEU39" s="73"/>
      <c r="AEV39" s="73"/>
      <c r="AEW39" s="73"/>
      <c r="AEX39" s="73"/>
      <c r="AEY39" s="73"/>
      <c r="AEZ39" s="73"/>
      <c r="AFA39" s="73"/>
      <c r="AFB39" s="73"/>
      <c r="AFC39" s="73"/>
      <c r="AFD39" s="73"/>
      <c r="AFE39" s="73"/>
      <c r="AFF39" s="73"/>
      <c r="AFG39" s="73"/>
      <c r="AFH39" s="73"/>
      <c r="AFI39" s="73"/>
      <c r="AFJ39" s="73"/>
      <c r="AFK39" s="73"/>
      <c r="AFL39" s="73"/>
      <c r="AFM39" s="73"/>
      <c r="AFN39" s="73"/>
      <c r="AFO39" s="73"/>
      <c r="AFP39" s="73"/>
      <c r="AFQ39" s="73"/>
      <c r="AFR39" s="73"/>
      <c r="AFS39" s="73"/>
      <c r="AFT39" s="73"/>
      <c r="AFU39" s="73"/>
      <c r="AFV39" s="73"/>
      <c r="AFW39" s="73"/>
      <c r="AFX39" s="73"/>
      <c r="AFY39" s="73"/>
      <c r="AFZ39" s="73"/>
      <c r="AGA39" s="73"/>
      <c r="AGB39" s="73"/>
      <c r="AGC39" s="73"/>
      <c r="AGD39" s="73"/>
      <c r="AGE39" s="73"/>
      <c r="AGF39" s="73"/>
      <c r="AGG39" s="73"/>
      <c r="AGH39" s="73"/>
      <c r="AGI39" s="73"/>
      <c r="AGJ39" s="73"/>
      <c r="AGK39" s="73"/>
      <c r="AGL39" s="73"/>
      <c r="AGM39" s="73"/>
      <c r="AGN39" s="73"/>
      <c r="AGO39" s="73"/>
      <c r="AGP39" s="73"/>
      <c r="AGQ39" s="73"/>
      <c r="AGR39" s="73"/>
      <c r="AGS39" s="73"/>
      <c r="AGT39" s="73"/>
      <c r="AGU39" s="73"/>
      <c r="AGV39" s="73"/>
      <c r="AGW39" s="73"/>
      <c r="AGX39" s="73"/>
      <c r="AGY39" s="73"/>
      <c r="AGZ39" s="73"/>
      <c r="AHA39" s="73"/>
      <c r="AHB39" s="73"/>
      <c r="AHC39" s="73"/>
      <c r="AHD39" s="73"/>
      <c r="AHE39" s="73"/>
      <c r="AHF39" s="73"/>
      <c r="AHG39" s="73"/>
      <c r="AHH39" s="73"/>
      <c r="AHI39" s="73"/>
      <c r="AHJ39" s="73"/>
      <c r="AHK39" s="73"/>
      <c r="AHL39" s="73"/>
      <c r="AHM39" s="73"/>
      <c r="AHN39" s="73"/>
      <c r="AHO39" s="73"/>
      <c r="AHP39" s="73"/>
      <c r="AHQ39" s="73"/>
      <c r="AHR39" s="73"/>
      <c r="AHS39" s="73"/>
      <c r="AHT39" s="73"/>
      <c r="AHU39" s="73"/>
      <c r="AHV39" s="73"/>
      <c r="AHW39" s="73"/>
      <c r="AHX39" s="73"/>
      <c r="AHY39" s="73"/>
      <c r="AHZ39" s="73"/>
      <c r="AIA39" s="73"/>
      <c r="AIB39" s="73"/>
      <c r="AIC39" s="73"/>
      <c r="AID39" s="73"/>
      <c r="AIE39" s="73"/>
      <c r="AIF39" s="73"/>
      <c r="AIG39" s="73"/>
      <c r="AIH39" s="73"/>
      <c r="AII39" s="73"/>
      <c r="AIJ39" s="73"/>
      <c r="AIK39" s="73"/>
      <c r="AIL39" s="73"/>
      <c r="AIM39" s="73"/>
      <c r="AIN39" s="73"/>
      <c r="AIO39" s="73"/>
      <c r="AIP39" s="73"/>
      <c r="AIQ39" s="73"/>
      <c r="AIR39" s="73"/>
      <c r="AIS39" s="73"/>
      <c r="AIT39" s="73"/>
      <c r="AIU39" s="73"/>
      <c r="AIV39" s="73"/>
      <c r="AIW39" s="73"/>
      <c r="AIX39" s="73"/>
      <c r="AIY39" s="73"/>
      <c r="AIZ39" s="73"/>
      <c r="AJA39" s="73"/>
      <c r="AJB39" s="73"/>
      <c r="AJC39" s="73"/>
      <c r="AJD39" s="73"/>
      <c r="AJE39" s="73"/>
      <c r="AJF39" s="73"/>
      <c r="AJG39" s="73"/>
      <c r="AJH39" s="73"/>
      <c r="AJI39" s="73"/>
      <c r="AJJ39" s="73"/>
      <c r="AJK39" s="73"/>
      <c r="AJL39" s="73"/>
      <c r="AJM39" s="73"/>
      <c r="AJN39" s="73"/>
      <c r="AJO39" s="73"/>
      <c r="AJP39" s="73"/>
      <c r="AJQ39" s="73"/>
      <c r="AJR39" s="73"/>
      <c r="AJS39" s="73"/>
      <c r="AJT39" s="73"/>
      <c r="AJU39" s="73"/>
      <c r="AJV39" s="73"/>
      <c r="AJW39" s="73"/>
      <c r="AJX39" s="73"/>
      <c r="AJY39" s="73"/>
      <c r="AJZ39" s="73"/>
      <c r="AKA39" s="73"/>
      <c r="AKB39" s="73"/>
      <c r="AKC39" s="73"/>
      <c r="AKD39" s="73"/>
      <c r="AKE39" s="73"/>
      <c r="AKF39" s="73"/>
      <c r="AKG39" s="73"/>
      <c r="AKH39" s="73"/>
      <c r="AKI39" s="73"/>
      <c r="AKJ39" s="73"/>
      <c r="AKK39" s="73"/>
      <c r="AKL39" s="73"/>
      <c r="AKM39" s="73"/>
      <c r="AKN39" s="73"/>
      <c r="AKO39" s="73"/>
      <c r="AKP39" s="73"/>
      <c r="AKQ39" s="73"/>
      <c r="AKR39" s="73"/>
      <c r="AKS39" s="73"/>
      <c r="AKT39" s="73"/>
      <c r="AKU39" s="73"/>
      <c r="AKV39" s="73"/>
      <c r="AKW39" s="73"/>
      <c r="AKX39" s="73"/>
      <c r="AKY39" s="73"/>
      <c r="AKZ39" s="73"/>
      <c r="ALA39" s="73"/>
      <c r="ALB39" s="73"/>
      <c r="ALC39" s="73"/>
      <c r="ALD39" s="73"/>
      <c r="ALE39" s="73"/>
      <c r="ALF39" s="73"/>
      <c r="ALG39" s="73"/>
      <c r="ALH39" s="73"/>
      <c r="ALI39" s="73"/>
      <c r="ALJ39" s="73"/>
      <c r="ALK39" s="73"/>
      <c r="ALL39" s="73"/>
      <c r="ALM39" s="73"/>
      <c r="ALN39" s="73"/>
      <c r="ALO39" s="73"/>
      <c r="ALP39" s="73"/>
      <c r="ALQ39" s="73"/>
      <c r="ALR39" s="73"/>
      <c r="ALS39" s="73"/>
      <c r="ALT39" s="73"/>
      <c r="ALU39" s="73"/>
      <c r="ALV39" s="73"/>
      <c r="ALW39" s="73"/>
      <c r="ALX39" s="73"/>
      <c r="ALY39" s="73"/>
      <c r="ALZ39" s="73"/>
      <c r="AMA39" s="73"/>
      <c r="AMB39" s="73"/>
      <c r="AMC39" s="73"/>
      <c r="AMD39" s="73"/>
      <c r="AME39" s="73"/>
      <c r="AMF39" s="73"/>
      <c r="AMG39" s="73"/>
      <c r="AMH39" s="73"/>
      <c r="AMI39" s="73"/>
      <c r="AMJ39" s="73"/>
      <c r="AMK39" s="73"/>
      <c r="AML39" s="73"/>
      <c r="AMM39" s="73"/>
      <c r="AMN39" s="73"/>
      <c r="AMO39" s="73"/>
      <c r="AMP39" s="73"/>
      <c r="AMQ39" s="73"/>
      <c r="AMR39" s="73"/>
      <c r="AMS39" s="73"/>
      <c r="AMT39" s="73"/>
      <c r="AMU39" s="73"/>
      <c r="AMV39" s="73"/>
      <c r="AMW39" s="73"/>
      <c r="AMX39" s="73"/>
      <c r="AMY39" s="73"/>
      <c r="AMZ39" s="73"/>
      <c r="ANA39" s="73"/>
      <c r="ANB39" s="73"/>
      <c r="ANC39" s="73"/>
      <c r="AND39" s="73"/>
      <c r="ANE39" s="73"/>
      <c r="ANF39" s="73"/>
      <c r="ANG39" s="73"/>
      <c r="ANH39" s="73"/>
      <c r="ANI39" s="73"/>
      <c r="ANJ39" s="73"/>
      <c r="ANK39" s="73"/>
      <c r="ANL39" s="73"/>
      <c r="ANM39" s="73"/>
      <c r="ANN39" s="73"/>
      <c r="ANO39" s="73"/>
      <c r="ANP39" s="73"/>
      <c r="ANQ39" s="73"/>
      <c r="ANR39" s="73"/>
      <c r="ANS39" s="73"/>
      <c r="ANT39" s="73"/>
      <c r="ANU39" s="73"/>
      <c r="ANV39" s="73"/>
      <c r="ANW39" s="73"/>
      <c r="ANX39" s="73"/>
      <c r="ANY39" s="73"/>
      <c r="ANZ39" s="73"/>
      <c r="AOA39" s="73"/>
      <c r="AOB39" s="73"/>
      <c r="AOC39" s="73"/>
      <c r="AOD39" s="73"/>
      <c r="AOE39" s="73"/>
      <c r="AOF39" s="73"/>
      <c r="AOG39" s="73"/>
      <c r="AOH39" s="73"/>
      <c r="AOI39" s="73"/>
      <c r="AOJ39" s="73"/>
      <c r="AOK39" s="73"/>
      <c r="AOL39" s="73"/>
      <c r="AOM39" s="73"/>
      <c r="AON39" s="73"/>
      <c r="AOO39" s="73"/>
      <c r="AOP39" s="73"/>
      <c r="AOQ39" s="73"/>
      <c r="AOR39" s="73"/>
      <c r="AOS39" s="73"/>
      <c r="AOT39" s="73"/>
      <c r="AOU39" s="73"/>
      <c r="AOV39" s="73"/>
      <c r="AOW39" s="73"/>
      <c r="AOX39" s="73"/>
      <c r="AOY39" s="73"/>
      <c r="AOZ39" s="73"/>
      <c r="APA39" s="73"/>
      <c r="APB39" s="73"/>
      <c r="APC39" s="73"/>
      <c r="APD39" s="73"/>
      <c r="APE39" s="73"/>
      <c r="APF39" s="73"/>
      <c r="APG39" s="73"/>
      <c r="APH39" s="73"/>
      <c r="API39" s="73"/>
      <c r="APJ39" s="73"/>
      <c r="APK39" s="73"/>
      <c r="APL39" s="73"/>
      <c r="APM39" s="73"/>
      <c r="APN39" s="73"/>
      <c r="APO39" s="73"/>
      <c r="APP39" s="73"/>
      <c r="APQ39" s="73"/>
      <c r="APR39" s="73"/>
      <c r="APS39" s="73"/>
      <c r="APT39" s="73"/>
      <c r="APU39" s="73"/>
      <c r="APV39" s="73"/>
      <c r="APW39" s="73"/>
      <c r="APX39" s="73"/>
      <c r="APY39" s="73"/>
      <c r="APZ39" s="73"/>
      <c r="AQA39" s="73"/>
      <c r="AQB39" s="73"/>
      <c r="AQC39" s="73"/>
      <c r="AQD39" s="73"/>
      <c r="AQE39" s="73"/>
      <c r="AQF39" s="73"/>
      <c r="AQG39" s="73"/>
      <c r="AQH39" s="73"/>
      <c r="AQI39" s="73"/>
      <c r="AQJ39" s="73"/>
      <c r="AQK39" s="73"/>
      <c r="AQL39" s="73"/>
      <c r="AQM39" s="73"/>
      <c r="AQN39" s="73"/>
      <c r="AQO39" s="73"/>
      <c r="AQP39" s="73"/>
      <c r="AQQ39" s="73"/>
      <c r="AQR39" s="73"/>
      <c r="AQS39" s="73"/>
      <c r="AQT39" s="73"/>
      <c r="AQU39" s="73"/>
      <c r="AQV39" s="73"/>
      <c r="AQW39" s="73"/>
      <c r="AQX39" s="73"/>
      <c r="AQY39" s="73"/>
      <c r="AQZ39" s="73"/>
      <c r="ARA39" s="73"/>
      <c r="ARB39" s="73"/>
      <c r="ARC39" s="73"/>
      <c r="ARD39" s="73"/>
      <c r="ARE39" s="73"/>
      <c r="ARF39" s="73"/>
      <c r="ARG39" s="73"/>
      <c r="ARH39" s="73"/>
      <c r="ARI39" s="73"/>
      <c r="ARJ39" s="73"/>
      <c r="ARK39" s="73"/>
      <c r="ARL39" s="73"/>
      <c r="ARM39" s="73"/>
      <c r="ARN39" s="73"/>
      <c r="ARO39" s="73"/>
      <c r="ARP39" s="73"/>
      <c r="ARQ39" s="73"/>
      <c r="ARR39" s="73"/>
      <c r="ARS39" s="73"/>
      <c r="ART39" s="73"/>
      <c r="ARU39" s="73"/>
      <c r="ARV39" s="73"/>
      <c r="ARW39" s="73"/>
      <c r="ARX39" s="73"/>
      <c r="ARY39" s="73"/>
      <c r="ARZ39" s="73"/>
      <c r="ASA39" s="73"/>
      <c r="ASB39" s="73"/>
      <c r="ASC39" s="73"/>
      <c r="ASD39" s="73"/>
      <c r="ASE39" s="73"/>
      <c r="ASF39" s="73"/>
      <c r="ASG39" s="73"/>
      <c r="ASH39" s="73"/>
      <c r="ASI39" s="73"/>
      <c r="ASJ39" s="73"/>
      <c r="ASK39" s="73"/>
      <c r="ASL39" s="73"/>
      <c r="ASM39" s="73"/>
      <c r="ASN39" s="73"/>
      <c r="ASO39" s="73"/>
      <c r="ASP39" s="73"/>
      <c r="ASQ39" s="73"/>
      <c r="ASR39" s="73"/>
      <c r="ASS39" s="73"/>
      <c r="AST39" s="73"/>
      <c r="ASU39" s="73"/>
      <c r="ASV39" s="73"/>
      <c r="ASW39" s="73"/>
      <c r="ASX39" s="73"/>
      <c r="ASY39" s="73"/>
      <c r="ASZ39" s="73"/>
      <c r="ATA39" s="73"/>
      <c r="ATB39" s="73"/>
      <c r="ATC39" s="73"/>
      <c r="ATD39" s="73"/>
      <c r="ATE39" s="73"/>
      <c r="ATF39" s="73"/>
      <c r="ATG39" s="73"/>
      <c r="ATH39" s="73"/>
      <c r="ATI39" s="73"/>
      <c r="ATJ39" s="73"/>
      <c r="ATK39" s="73"/>
      <c r="ATL39" s="73"/>
      <c r="ATM39" s="73"/>
      <c r="ATN39" s="73"/>
      <c r="ATO39" s="73"/>
      <c r="ATP39" s="73"/>
      <c r="ATQ39" s="73"/>
      <c r="ATR39" s="73"/>
      <c r="ATS39" s="73"/>
      <c r="ATT39" s="73"/>
      <c r="ATU39" s="73"/>
      <c r="ATV39" s="73"/>
      <c r="ATW39" s="73"/>
      <c r="ATX39" s="73"/>
      <c r="ATY39" s="73"/>
      <c r="ATZ39" s="73"/>
      <c r="AUA39" s="73"/>
      <c r="AUB39" s="73"/>
      <c r="AUC39" s="73"/>
      <c r="AUD39" s="73"/>
      <c r="AUE39" s="73"/>
      <c r="AUF39" s="73"/>
      <c r="AUG39" s="73"/>
      <c r="AUH39" s="73"/>
      <c r="AUI39" s="73"/>
      <c r="AUJ39" s="73"/>
      <c r="AUK39" s="73"/>
      <c r="AUL39" s="73"/>
      <c r="AUM39" s="73"/>
      <c r="AUN39" s="73"/>
      <c r="AUO39" s="73"/>
      <c r="AUP39" s="73"/>
      <c r="AUQ39" s="73"/>
      <c r="AUR39" s="73"/>
      <c r="AUS39" s="73"/>
      <c r="AUT39" s="73"/>
      <c r="AUU39" s="73"/>
      <c r="AUV39" s="73"/>
      <c r="AUW39" s="73"/>
      <c r="AUX39" s="73"/>
      <c r="AUY39" s="73"/>
      <c r="AUZ39" s="73"/>
      <c r="AVA39" s="73"/>
      <c r="AVB39" s="73"/>
      <c r="AVC39" s="73"/>
      <c r="AVD39" s="73"/>
      <c r="AVE39" s="73"/>
      <c r="AVF39" s="73"/>
      <c r="AVG39" s="73"/>
      <c r="AVH39" s="73"/>
      <c r="AVI39" s="73"/>
      <c r="AVJ39" s="73"/>
      <c r="AVK39" s="73"/>
      <c r="AVL39" s="73"/>
      <c r="AVM39" s="73"/>
      <c r="AVN39" s="73"/>
      <c r="AVO39" s="73"/>
      <c r="AVP39" s="73"/>
      <c r="AVQ39" s="73"/>
      <c r="AVR39" s="73"/>
      <c r="AVS39" s="73"/>
      <c r="AVT39" s="73"/>
      <c r="AVU39" s="73"/>
      <c r="AVV39" s="73"/>
      <c r="AVW39" s="73"/>
      <c r="AVX39" s="73"/>
      <c r="AVY39" s="73"/>
      <c r="AVZ39" s="73"/>
      <c r="AWA39" s="73"/>
      <c r="AWB39" s="73"/>
      <c r="AWC39" s="73"/>
      <c r="AWD39" s="73"/>
      <c r="AWE39" s="73"/>
      <c r="AWF39" s="73"/>
      <c r="AWG39" s="73"/>
      <c r="AWH39" s="73"/>
      <c r="AWI39" s="73"/>
      <c r="AWJ39" s="73"/>
      <c r="AWK39" s="73"/>
      <c r="AWL39" s="73"/>
      <c r="AWM39" s="73"/>
      <c r="AWN39" s="73"/>
      <c r="AWO39" s="73"/>
      <c r="AWP39" s="73"/>
      <c r="AWQ39" s="73"/>
      <c r="AWR39" s="73"/>
      <c r="AWS39" s="73"/>
      <c r="AWT39" s="73"/>
      <c r="AWU39" s="73"/>
      <c r="AWV39" s="73"/>
      <c r="AWW39" s="73"/>
      <c r="AWX39" s="73"/>
      <c r="AWY39" s="73"/>
      <c r="AWZ39" s="73"/>
      <c r="AXA39" s="73"/>
      <c r="AXB39" s="73"/>
      <c r="AXC39" s="73"/>
      <c r="AXD39" s="73"/>
      <c r="AXE39" s="73"/>
      <c r="AXF39" s="73"/>
      <c r="AXG39" s="73"/>
      <c r="AXH39" s="73"/>
      <c r="AXI39" s="73"/>
      <c r="AXJ39" s="73"/>
      <c r="AXK39" s="73"/>
      <c r="AXL39" s="73"/>
      <c r="AXM39" s="73"/>
      <c r="AXN39" s="73"/>
      <c r="AXO39" s="73"/>
      <c r="AXP39" s="73"/>
      <c r="AXQ39" s="73"/>
      <c r="AXR39" s="73"/>
      <c r="AXS39" s="73"/>
      <c r="AXT39" s="73"/>
      <c r="AXU39" s="73"/>
      <c r="AXV39" s="73"/>
      <c r="AXW39" s="73"/>
      <c r="AXX39" s="73"/>
      <c r="AXY39" s="73"/>
      <c r="AXZ39" s="73"/>
      <c r="AYA39" s="73"/>
      <c r="AYB39" s="73"/>
      <c r="AYC39" s="73"/>
      <c r="AYD39" s="73"/>
      <c r="AYE39" s="73"/>
      <c r="AYF39" s="73"/>
      <c r="AYG39" s="73"/>
      <c r="AYH39" s="73"/>
      <c r="AYI39" s="73"/>
      <c r="AYJ39" s="73"/>
      <c r="AYK39" s="73"/>
      <c r="AYL39" s="73"/>
      <c r="AYM39" s="73"/>
      <c r="AYN39" s="73"/>
      <c r="AYO39" s="73"/>
      <c r="AYP39" s="73"/>
      <c r="AYQ39" s="73"/>
      <c r="AYR39" s="73"/>
      <c r="AYS39" s="73"/>
      <c r="AYT39" s="73"/>
      <c r="AYU39" s="73"/>
      <c r="AYV39" s="73"/>
      <c r="AYW39" s="73"/>
      <c r="AYX39" s="73"/>
      <c r="AYY39" s="73"/>
      <c r="AYZ39" s="73"/>
      <c r="AZA39" s="73"/>
      <c r="AZB39" s="73"/>
      <c r="AZC39" s="73"/>
      <c r="AZD39" s="73"/>
      <c r="AZE39" s="73"/>
      <c r="AZF39" s="73"/>
      <c r="AZG39" s="73"/>
      <c r="AZH39" s="73"/>
      <c r="AZI39" s="73"/>
      <c r="AZJ39" s="73"/>
      <c r="AZK39" s="73"/>
      <c r="AZL39" s="73"/>
      <c r="AZM39" s="73"/>
      <c r="AZN39" s="73"/>
      <c r="AZO39" s="73"/>
      <c r="AZP39" s="73"/>
      <c r="AZQ39" s="73"/>
      <c r="AZR39" s="73"/>
      <c r="AZS39" s="73"/>
      <c r="AZT39" s="73"/>
      <c r="AZU39" s="73"/>
      <c r="AZV39" s="73"/>
      <c r="AZW39" s="73"/>
      <c r="AZX39" s="73"/>
      <c r="AZY39" s="73"/>
      <c r="AZZ39" s="73"/>
      <c r="BAA39" s="73"/>
      <c r="BAB39" s="73"/>
      <c r="BAC39" s="73"/>
      <c r="BAD39" s="73"/>
      <c r="BAE39" s="73"/>
      <c r="BAF39" s="73"/>
      <c r="BAG39" s="73"/>
      <c r="BAH39" s="73"/>
      <c r="BAI39" s="73"/>
      <c r="BAJ39" s="73"/>
      <c r="BAK39" s="73"/>
      <c r="BAL39" s="73"/>
      <c r="BAM39" s="73"/>
      <c r="BAN39" s="73"/>
      <c r="BAO39" s="73"/>
      <c r="BAP39" s="73"/>
      <c r="BAQ39" s="73"/>
      <c r="BAR39" s="73"/>
      <c r="BAS39" s="73"/>
      <c r="BAT39" s="73"/>
      <c r="BAU39" s="73"/>
      <c r="BAV39" s="73"/>
      <c r="BAW39" s="73"/>
      <c r="BAX39" s="73"/>
      <c r="BAY39" s="73"/>
      <c r="BAZ39" s="73"/>
      <c r="BBA39" s="73"/>
      <c r="BBB39" s="73"/>
      <c r="BBC39" s="73"/>
      <c r="BBD39" s="73"/>
      <c r="BBE39" s="73"/>
      <c r="BBF39" s="73"/>
      <c r="BBG39" s="73"/>
      <c r="BBH39" s="73"/>
      <c r="BBI39" s="73"/>
      <c r="BBJ39" s="73"/>
      <c r="BBK39" s="73"/>
      <c r="BBL39" s="73"/>
      <c r="BBM39" s="73"/>
      <c r="BBN39" s="73"/>
      <c r="BBO39" s="73"/>
      <c r="BBP39" s="73"/>
      <c r="BBQ39" s="73"/>
      <c r="BBR39" s="73"/>
      <c r="BBS39" s="73"/>
      <c r="BBT39" s="73"/>
      <c r="BBU39" s="73"/>
      <c r="BBV39" s="73"/>
      <c r="BBW39" s="73"/>
      <c r="BBX39" s="73"/>
      <c r="BBY39" s="73"/>
      <c r="BBZ39" s="73"/>
      <c r="BCA39" s="73"/>
      <c r="BCB39" s="73"/>
      <c r="BCC39" s="73"/>
      <c r="BCD39" s="73"/>
      <c r="BCE39" s="73"/>
      <c r="BCF39" s="73"/>
      <c r="BCG39" s="73"/>
      <c r="BCH39" s="73"/>
      <c r="BCI39" s="73"/>
      <c r="BCJ39" s="73"/>
      <c r="BCK39" s="73"/>
      <c r="BCL39" s="73"/>
      <c r="BCM39" s="73"/>
      <c r="BCN39" s="73"/>
      <c r="BCO39" s="73"/>
      <c r="BCP39" s="73"/>
      <c r="BCQ39" s="73"/>
      <c r="BCR39" s="73"/>
      <c r="BCS39" s="73"/>
      <c r="BCT39" s="73"/>
      <c r="BCU39" s="73"/>
      <c r="BCV39" s="73"/>
      <c r="BCW39" s="73"/>
      <c r="BCX39" s="73"/>
      <c r="BCY39" s="73"/>
      <c r="BCZ39" s="73"/>
      <c r="BDA39" s="73"/>
      <c r="BDB39" s="73"/>
      <c r="BDC39" s="73"/>
      <c r="BDD39" s="73"/>
      <c r="BDE39" s="73"/>
      <c r="BDF39" s="73"/>
      <c r="BDG39" s="73"/>
      <c r="BDH39" s="73"/>
      <c r="BDI39" s="73"/>
      <c r="BDJ39" s="73"/>
      <c r="BDK39" s="73"/>
      <c r="BDL39" s="73"/>
      <c r="BDM39" s="73"/>
      <c r="BDN39" s="73"/>
      <c r="BDO39" s="73"/>
      <c r="BDP39" s="73"/>
      <c r="BDQ39" s="73"/>
      <c r="BDR39" s="73"/>
      <c r="BDS39" s="73"/>
      <c r="BDT39" s="73"/>
      <c r="BDU39" s="73"/>
      <c r="BDV39" s="73"/>
      <c r="BDW39" s="73"/>
      <c r="BDX39" s="73"/>
      <c r="BDY39" s="73"/>
      <c r="BDZ39" s="73"/>
      <c r="BEA39" s="73"/>
      <c r="BEB39" s="73"/>
      <c r="BEC39" s="73"/>
      <c r="BED39" s="73"/>
      <c r="BEE39" s="73"/>
      <c r="BEF39" s="73"/>
      <c r="BEG39" s="73"/>
      <c r="BEH39" s="73"/>
      <c r="BEI39" s="73"/>
      <c r="BEJ39" s="73"/>
      <c r="BEK39" s="73"/>
      <c r="BEL39" s="73"/>
      <c r="BEM39" s="73"/>
      <c r="BEN39" s="73"/>
      <c r="BEO39" s="73"/>
      <c r="BEP39" s="73"/>
      <c r="BEQ39" s="73"/>
      <c r="BER39" s="73"/>
      <c r="BES39" s="73"/>
      <c r="BET39" s="73"/>
      <c r="BEU39" s="73"/>
      <c r="BEV39" s="73"/>
      <c r="BEW39" s="73"/>
      <c r="BEX39" s="73"/>
      <c r="BEY39" s="73"/>
      <c r="BEZ39" s="73"/>
      <c r="BFA39" s="73"/>
      <c r="BFB39" s="73"/>
      <c r="BFC39" s="73"/>
      <c r="BFD39" s="73"/>
      <c r="BFE39" s="73"/>
      <c r="BFF39" s="73"/>
      <c r="BFG39" s="73"/>
      <c r="BFH39" s="73"/>
      <c r="BFI39" s="73"/>
      <c r="BFJ39" s="73"/>
      <c r="BFK39" s="73"/>
      <c r="BFL39" s="73"/>
      <c r="BFM39" s="73"/>
      <c r="BFN39" s="73"/>
      <c r="BFO39" s="73"/>
      <c r="BFP39" s="73"/>
      <c r="BFQ39" s="73"/>
      <c r="BFR39" s="73"/>
      <c r="BFS39" s="73"/>
      <c r="BFT39" s="73"/>
      <c r="BFU39" s="73"/>
      <c r="BFV39" s="73"/>
      <c r="BFW39" s="73"/>
      <c r="BFX39" s="73"/>
      <c r="BFY39" s="73"/>
      <c r="BFZ39" s="73"/>
      <c r="BGA39" s="73"/>
      <c r="BGB39" s="73"/>
      <c r="BGC39" s="73"/>
      <c r="BGD39" s="73"/>
      <c r="BGE39" s="73"/>
      <c r="BGF39" s="73"/>
      <c r="BGG39" s="73"/>
      <c r="BGH39" s="73"/>
      <c r="BGI39" s="73"/>
      <c r="BGJ39" s="73"/>
      <c r="BGK39" s="73"/>
      <c r="BGL39" s="73"/>
      <c r="BGM39" s="73"/>
      <c r="BGN39" s="73"/>
      <c r="BGO39" s="73"/>
      <c r="BGP39" s="73"/>
      <c r="BGQ39" s="73"/>
      <c r="BGR39" s="73"/>
      <c r="BGS39" s="73"/>
      <c r="BGT39" s="73"/>
      <c r="BGU39" s="73"/>
      <c r="BGV39" s="73"/>
      <c r="BGW39" s="73"/>
      <c r="BGX39" s="73"/>
      <c r="BGY39" s="73"/>
      <c r="BGZ39" s="73"/>
      <c r="BHA39" s="73"/>
      <c r="BHB39" s="73"/>
      <c r="BHC39" s="73"/>
      <c r="BHD39" s="73"/>
      <c r="BHE39" s="73"/>
      <c r="BHF39" s="73"/>
      <c r="BHG39" s="73"/>
      <c r="BHH39" s="73"/>
      <c r="BHI39" s="73"/>
      <c r="BHJ39" s="73"/>
      <c r="BHK39" s="73"/>
      <c r="BHL39" s="73"/>
      <c r="BHM39" s="73"/>
      <c r="BHN39" s="73"/>
      <c r="BHO39" s="73"/>
      <c r="BHP39" s="73"/>
      <c r="BHQ39" s="73"/>
      <c r="BHR39" s="73"/>
      <c r="BHS39" s="73"/>
      <c r="BHT39" s="73"/>
      <c r="BHU39" s="73"/>
      <c r="BHV39" s="73"/>
      <c r="BHW39" s="73"/>
      <c r="BHX39" s="73"/>
      <c r="BHY39" s="73"/>
      <c r="BHZ39" s="73"/>
      <c r="BIA39" s="73"/>
      <c r="BIB39" s="73"/>
      <c r="BIC39" s="73"/>
      <c r="BID39" s="73"/>
      <c r="BIE39" s="73"/>
      <c r="BIF39" s="73"/>
      <c r="BIG39" s="73"/>
      <c r="BIH39" s="73"/>
      <c r="BII39" s="73"/>
      <c r="BIJ39" s="73"/>
      <c r="BIK39" s="73"/>
      <c r="BIL39" s="73"/>
      <c r="BIM39" s="73"/>
      <c r="BIN39" s="73"/>
      <c r="BIO39" s="73"/>
      <c r="BIP39" s="73"/>
      <c r="BIQ39" s="73"/>
      <c r="BIR39" s="73"/>
      <c r="BIS39" s="73"/>
      <c r="BIT39" s="73"/>
      <c r="BIU39" s="73"/>
      <c r="BIV39" s="73"/>
      <c r="BIW39" s="73"/>
      <c r="BIX39" s="73"/>
      <c r="BIY39" s="73"/>
      <c r="BIZ39" s="73"/>
      <c r="BJA39" s="73"/>
      <c r="BJB39" s="73"/>
      <c r="BJC39" s="73"/>
      <c r="BJD39" s="73"/>
      <c r="BJE39" s="73"/>
      <c r="BJF39" s="73"/>
      <c r="BJG39" s="73"/>
      <c r="BJH39" s="73"/>
      <c r="BJI39" s="73"/>
      <c r="BJJ39" s="73"/>
      <c r="BJK39" s="73"/>
      <c r="BJL39" s="73"/>
      <c r="BJM39" s="73"/>
      <c r="BJN39" s="73"/>
      <c r="BJO39" s="73"/>
      <c r="BJP39" s="73"/>
      <c r="BJQ39" s="73"/>
      <c r="BJR39" s="73"/>
      <c r="BJS39" s="73"/>
      <c r="BJT39" s="73"/>
      <c r="BJU39" s="73"/>
      <c r="BJV39" s="73"/>
      <c r="BJW39" s="73"/>
      <c r="BJX39" s="73"/>
      <c r="BJY39" s="73"/>
      <c r="BJZ39" s="73"/>
      <c r="BKA39" s="73"/>
      <c r="BKB39" s="73"/>
      <c r="BKC39" s="73"/>
      <c r="BKD39" s="73"/>
      <c r="BKE39" s="73"/>
      <c r="BKF39" s="73"/>
      <c r="BKG39" s="73"/>
      <c r="BKH39" s="73"/>
      <c r="BKI39" s="73"/>
      <c r="BKJ39" s="73"/>
      <c r="BKK39" s="73"/>
      <c r="BKL39" s="73"/>
      <c r="BKM39" s="73"/>
      <c r="BKN39" s="73"/>
      <c r="BKO39" s="73"/>
      <c r="BKP39" s="73"/>
      <c r="BKQ39" s="73"/>
      <c r="BKR39" s="73"/>
      <c r="BKS39" s="73"/>
      <c r="BKT39" s="73"/>
      <c r="BKU39" s="73"/>
      <c r="BKV39" s="73"/>
      <c r="BKW39" s="73"/>
      <c r="BKX39" s="73"/>
      <c r="BKY39" s="73"/>
      <c r="BKZ39" s="73"/>
      <c r="BLA39" s="73"/>
      <c r="BLB39" s="73"/>
      <c r="BLC39" s="73"/>
      <c r="BLD39" s="73"/>
      <c r="BLE39" s="73"/>
      <c r="BLF39" s="73"/>
      <c r="BLG39" s="73"/>
      <c r="BLH39" s="73"/>
      <c r="BLI39" s="73"/>
      <c r="BLJ39" s="73"/>
      <c r="BLK39" s="73"/>
      <c r="BLL39" s="73"/>
      <c r="BLM39" s="73"/>
      <c r="BLN39" s="73"/>
      <c r="BLO39" s="73"/>
      <c r="BLP39" s="73"/>
      <c r="BLQ39" s="73"/>
      <c r="BLR39" s="73"/>
      <c r="BLS39" s="73"/>
      <c r="BLT39" s="73"/>
      <c r="BLU39" s="73"/>
      <c r="BLV39" s="73"/>
      <c r="BLW39" s="73"/>
      <c r="BLX39" s="73"/>
      <c r="BLY39" s="73"/>
      <c r="BLZ39" s="73"/>
      <c r="BMA39" s="73"/>
      <c r="BMB39" s="73"/>
      <c r="BMC39" s="73"/>
      <c r="BMD39" s="73"/>
      <c r="BME39" s="73"/>
      <c r="BMF39" s="73"/>
      <c r="BMG39" s="73"/>
      <c r="BMH39" s="73"/>
      <c r="BMI39" s="73"/>
      <c r="BMJ39" s="73"/>
      <c r="BMK39" s="73"/>
      <c r="BML39" s="73"/>
      <c r="BMM39" s="73"/>
      <c r="BMN39" s="73"/>
      <c r="BMO39" s="73"/>
      <c r="BMP39" s="73"/>
      <c r="BMQ39" s="73"/>
      <c r="BMR39" s="73"/>
      <c r="BMS39" s="73"/>
      <c r="BMT39" s="73"/>
      <c r="BMU39" s="73"/>
      <c r="BMV39" s="73"/>
      <c r="BMW39" s="73"/>
      <c r="BMX39" s="73"/>
      <c r="BMY39" s="73"/>
      <c r="BMZ39" s="73"/>
      <c r="BNA39" s="73"/>
      <c r="BNB39" s="73"/>
      <c r="BNC39" s="73"/>
      <c r="BND39" s="73"/>
      <c r="BNE39" s="73"/>
      <c r="BNF39" s="73"/>
      <c r="BNG39" s="73"/>
      <c r="BNH39" s="73"/>
      <c r="BNI39" s="73"/>
      <c r="BNJ39" s="73"/>
      <c r="BNK39" s="73"/>
      <c r="BNL39" s="73"/>
      <c r="BNM39" s="73"/>
      <c r="BNN39" s="73"/>
      <c r="BNO39" s="73"/>
      <c r="BNP39" s="73"/>
      <c r="BNQ39" s="73"/>
      <c r="BNR39" s="73"/>
      <c r="BNS39" s="73"/>
      <c r="BNT39" s="73"/>
      <c r="BNU39" s="73"/>
      <c r="BNV39" s="73"/>
      <c r="BNW39" s="73"/>
      <c r="BNX39" s="73"/>
      <c r="BNY39" s="73"/>
      <c r="BNZ39" s="73"/>
      <c r="BOA39" s="73"/>
      <c r="BOB39" s="73"/>
      <c r="BOC39" s="73"/>
      <c r="BOD39" s="73"/>
      <c r="BOE39" s="73"/>
      <c r="BOF39" s="73"/>
      <c r="BOG39" s="73"/>
      <c r="BOH39" s="73"/>
      <c r="BOI39" s="73"/>
      <c r="BOJ39" s="73"/>
      <c r="BOK39" s="73"/>
      <c r="BOL39" s="73"/>
      <c r="BOM39" s="73"/>
      <c r="BON39" s="73"/>
      <c r="BOO39" s="73"/>
      <c r="BOP39" s="73"/>
      <c r="BOQ39" s="73"/>
      <c r="BOR39" s="73"/>
      <c r="BOS39" s="73"/>
      <c r="BOT39" s="73"/>
      <c r="BOU39" s="73"/>
      <c r="BOV39" s="73"/>
      <c r="BOW39" s="73"/>
      <c r="BOX39" s="73"/>
      <c r="BOY39" s="73"/>
      <c r="BOZ39" s="73"/>
      <c r="BPA39" s="73"/>
      <c r="BPB39" s="73"/>
      <c r="BPC39" s="73"/>
      <c r="BPD39" s="73"/>
      <c r="BPE39" s="73"/>
      <c r="BPF39" s="73"/>
      <c r="BPG39" s="73"/>
      <c r="BPH39" s="73"/>
      <c r="BPI39" s="73"/>
      <c r="BPJ39" s="73"/>
      <c r="BPK39" s="73"/>
      <c r="BPL39" s="73"/>
      <c r="BPM39" s="73"/>
      <c r="BPN39" s="73"/>
      <c r="BPO39" s="73"/>
      <c r="BPP39" s="73"/>
      <c r="BPQ39" s="73"/>
      <c r="BPR39" s="73"/>
      <c r="BPS39" s="73"/>
      <c r="BPT39" s="73"/>
      <c r="BPU39" s="73"/>
      <c r="BPV39" s="73"/>
      <c r="BPW39" s="73"/>
      <c r="BPX39" s="73"/>
      <c r="BPY39" s="73"/>
      <c r="BPZ39" s="73"/>
      <c r="BQA39" s="73"/>
      <c r="BQB39" s="73"/>
      <c r="BQC39" s="73"/>
      <c r="BQD39" s="73"/>
      <c r="BQE39" s="73"/>
      <c r="BQF39" s="73"/>
      <c r="BQG39" s="73"/>
      <c r="BQH39" s="73"/>
      <c r="BQI39" s="73"/>
      <c r="BQJ39" s="73"/>
      <c r="BQK39" s="73"/>
      <c r="BQL39" s="73"/>
      <c r="BQM39" s="73"/>
      <c r="BQN39" s="73"/>
      <c r="BQO39" s="73"/>
      <c r="BQP39" s="73"/>
      <c r="BQQ39" s="73"/>
      <c r="BQR39" s="73"/>
      <c r="BQS39" s="73"/>
      <c r="BQT39" s="73"/>
      <c r="BQU39" s="73"/>
      <c r="BQV39" s="73"/>
      <c r="BQW39" s="73"/>
      <c r="BQX39" s="73"/>
      <c r="BQY39" s="73"/>
      <c r="BQZ39" s="73"/>
      <c r="BRA39" s="73"/>
      <c r="BRB39" s="73"/>
      <c r="BRC39" s="73"/>
      <c r="BRD39" s="73"/>
      <c r="BRE39" s="73"/>
      <c r="BRF39" s="73"/>
      <c r="BRG39" s="73"/>
      <c r="BRH39" s="73"/>
      <c r="BRI39" s="73"/>
      <c r="BRJ39" s="73"/>
      <c r="BRK39" s="73"/>
      <c r="BRL39" s="73"/>
      <c r="BRM39" s="73"/>
      <c r="BRN39" s="73"/>
      <c r="BRO39" s="73"/>
      <c r="BRP39" s="73"/>
      <c r="BRQ39" s="73"/>
      <c r="BRR39" s="73"/>
      <c r="BRS39" s="73"/>
      <c r="BRT39" s="73"/>
      <c r="BRU39" s="73"/>
      <c r="BRV39" s="73"/>
      <c r="BRW39" s="73"/>
      <c r="BRX39" s="73"/>
      <c r="BRY39" s="73"/>
      <c r="BRZ39" s="73"/>
      <c r="BSA39" s="73"/>
      <c r="BSB39" s="73"/>
      <c r="BSC39" s="73"/>
      <c r="BSD39" s="73"/>
      <c r="BSE39" s="73"/>
      <c r="BSF39" s="73"/>
      <c r="BSG39" s="73"/>
      <c r="BSH39" s="73"/>
      <c r="BSI39" s="73"/>
      <c r="BSJ39" s="73"/>
      <c r="BSK39" s="73"/>
      <c r="BSL39" s="73"/>
      <c r="BSM39" s="73"/>
      <c r="BSN39" s="73"/>
      <c r="BSO39" s="73"/>
      <c r="BSP39" s="73"/>
      <c r="BSQ39" s="73"/>
      <c r="BSR39" s="73"/>
      <c r="BSS39" s="73"/>
      <c r="BST39" s="73"/>
      <c r="BSU39" s="73"/>
      <c r="BSV39" s="73"/>
      <c r="BSW39" s="73"/>
      <c r="BSX39" s="73"/>
      <c r="BSY39" s="73"/>
      <c r="BSZ39" s="73"/>
      <c r="BTA39" s="73"/>
      <c r="BTB39" s="73"/>
      <c r="BTC39" s="73"/>
      <c r="BTD39" s="73"/>
      <c r="BTE39" s="73"/>
      <c r="BTF39" s="73"/>
      <c r="BTG39" s="73"/>
      <c r="BTH39" s="73"/>
      <c r="BTI39" s="73"/>
      <c r="BTJ39" s="73"/>
      <c r="BTK39" s="73"/>
      <c r="BTL39" s="73"/>
      <c r="BTM39" s="73"/>
      <c r="BTN39" s="73"/>
      <c r="BTO39" s="73"/>
      <c r="BTP39" s="73"/>
      <c r="BTQ39" s="73"/>
      <c r="BTR39" s="73"/>
      <c r="BTS39" s="73"/>
      <c r="BTT39" s="73"/>
      <c r="BTU39" s="73"/>
      <c r="BTV39" s="73"/>
      <c r="BTW39" s="73"/>
      <c r="BTX39" s="73"/>
      <c r="BTY39" s="73"/>
      <c r="BTZ39" s="73"/>
      <c r="BUA39" s="73"/>
      <c r="BUB39" s="73"/>
      <c r="BUC39" s="73"/>
      <c r="BUD39" s="73"/>
      <c r="BUE39" s="73"/>
      <c r="BUF39" s="73"/>
      <c r="BUG39" s="73"/>
      <c r="BUH39" s="73"/>
      <c r="BUI39" s="73"/>
      <c r="BUJ39" s="73"/>
      <c r="BUK39" s="73"/>
      <c r="BUL39" s="73"/>
      <c r="BUM39" s="73"/>
      <c r="BUN39" s="73"/>
      <c r="BUO39" s="73"/>
      <c r="BUP39" s="73"/>
      <c r="BUQ39" s="73"/>
      <c r="BUR39" s="73"/>
      <c r="BUS39" s="73"/>
      <c r="BUT39" s="73"/>
      <c r="BUU39" s="73"/>
      <c r="BUV39" s="73"/>
      <c r="BUW39" s="73"/>
      <c r="BUX39" s="73"/>
      <c r="BUY39" s="73"/>
      <c r="BUZ39" s="73"/>
      <c r="BVA39" s="73"/>
      <c r="BVB39" s="73"/>
      <c r="BVC39" s="73"/>
      <c r="BVD39" s="73"/>
      <c r="BVE39" s="73"/>
      <c r="BVF39" s="73"/>
      <c r="BVG39" s="73"/>
      <c r="BVH39" s="73"/>
      <c r="BVI39" s="73"/>
      <c r="BVJ39" s="73"/>
      <c r="BVK39" s="73"/>
      <c r="BVL39" s="73"/>
      <c r="BVM39" s="73"/>
      <c r="BVN39" s="73"/>
      <c r="BVO39" s="73"/>
      <c r="BVP39" s="73"/>
      <c r="BVQ39" s="73"/>
      <c r="BVR39" s="73"/>
      <c r="BVS39" s="73"/>
      <c r="BVT39" s="73"/>
      <c r="BVU39" s="73"/>
      <c r="BVV39" s="73"/>
      <c r="BVW39" s="73"/>
      <c r="BVX39" s="73"/>
      <c r="BVY39" s="73"/>
      <c r="BVZ39" s="73"/>
      <c r="BWA39" s="73"/>
      <c r="BWB39" s="73"/>
      <c r="BWC39" s="73"/>
      <c r="BWD39" s="73"/>
      <c r="BWE39" s="73"/>
      <c r="BWF39" s="73"/>
      <c r="BWG39" s="73"/>
      <c r="BWH39" s="73"/>
      <c r="BWI39" s="73"/>
      <c r="BWJ39" s="73"/>
      <c r="BWK39" s="73"/>
      <c r="BWL39" s="73"/>
      <c r="BWM39" s="73"/>
      <c r="BWN39" s="73"/>
      <c r="BWO39" s="73"/>
      <c r="BWP39" s="73"/>
      <c r="BWQ39" s="73"/>
      <c r="BWR39" s="73"/>
      <c r="BWS39" s="73"/>
      <c r="BWT39" s="73"/>
      <c r="BWU39" s="73"/>
      <c r="BWV39" s="73"/>
      <c r="BWW39" s="73"/>
      <c r="BWX39" s="73"/>
      <c r="BWY39" s="73"/>
      <c r="BWZ39" s="73"/>
      <c r="BXA39" s="73"/>
      <c r="BXB39" s="73"/>
      <c r="BXC39" s="73"/>
      <c r="BXD39" s="73"/>
      <c r="BXE39" s="73"/>
      <c r="BXF39" s="73"/>
      <c r="BXG39" s="73"/>
      <c r="BXH39" s="73"/>
      <c r="BXI39" s="73"/>
      <c r="BXJ39" s="73"/>
      <c r="BXK39" s="73"/>
      <c r="BXL39" s="73"/>
      <c r="BXM39" s="73"/>
      <c r="BXN39" s="73"/>
      <c r="BXO39" s="73"/>
      <c r="BXP39" s="73"/>
      <c r="BXQ39" s="73"/>
      <c r="BXR39" s="73"/>
      <c r="BXS39" s="73"/>
      <c r="BXT39" s="73"/>
      <c r="BXU39" s="73"/>
      <c r="BXV39" s="73"/>
      <c r="BXW39" s="73"/>
      <c r="BXX39" s="73"/>
      <c r="BXY39" s="73"/>
      <c r="BXZ39" s="73"/>
      <c r="BYA39" s="73"/>
      <c r="BYB39" s="73"/>
      <c r="BYC39" s="73"/>
      <c r="BYD39" s="73"/>
      <c r="BYE39" s="73"/>
      <c r="BYF39" s="73"/>
      <c r="BYG39" s="73"/>
      <c r="BYH39" s="73"/>
      <c r="BYI39" s="73"/>
      <c r="BYJ39" s="73"/>
      <c r="BYK39" s="73"/>
      <c r="BYL39" s="73"/>
      <c r="BYM39" s="73"/>
      <c r="BYN39" s="73"/>
      <c r="BYO39" s="73"/>
      <c r="BYP39" s="73"/>
      <c r="BYQ39" s="73"/>
      <c r="BYR39" s="73"/>
      <c r="BYS39" s="73"/>
      <c r="BYT39" s="73"/>
      <c r="BYU39" s="73"/>
      <c r="BYV39" s="73"/>
      <c r="BYW39" s="73"/>
      <c r="BYX39" s="73"/>
      <c r="BYY39" s="73"/>
      <c r="BYZ39" s="73"/>
      <c r="BZA39" s="73"/>
      <c r="BZB39" s="73"/>
      <c r="BZC39" s="73"/>
      <c r="BZD39" s="73"/>
      <c r="BZE39" s="73"/>
      <c r="BZF39" s="73"/>
      <c r="BZG39" s="73"/>
      <c r="BZH39" s="73"/>
      <c r="BZI39" s="73"/>
      <c r="BZJ39" s="73"/>
      <c r="BZK39" s="73"/>
      <c r="BZL39" s="73"/>
      <c r="BZM39" s="73"/>
      <c r="BZN39" s="73"/>
      <c r="BZO39" s="73"/>
      <c r="BZP39" s="73"/>
      <c r="BZQ39" s="73"/>
      <c r="BZR39" s="73"/>
      <c r="BZS39" s="73"/>
      <c r="BZT39" s="73"/>
      <c r="BZU39" s="73"/>
      <c r="BZV39" s="73"/>
      <c r="BZW39" s="73"/>
      <c r="BZX39" s="73"/>
      <c r="BZY39" s="73"/>
      <c r="BZZ39" s="73"/>
      <c r="CAA39" s="73"/>
      <c r="CAB39" s="73"/>
      <c r="CAC39" s="73"/>
      <c r="CAD39" s="73"/>
      <c r="CAE39" s="73"/>
      <c r="CAF39" s="73"/>
      <c r="CAG39" s="73"/>
      <c r="CAH39" s="73"/>
      <c r="CAI39" s="73"/>
      <c r="CAJ39" s="73"/>
      <c r="CAK39" s="73"/>
      <c r="CAL39" s="73"/>
      <c r="CAM39" s="73"/>
      <c r="CAN39" s="73"/>
      <c r="CAO39" s="73"/>
      <c r="CAP39" s="73"/>
      <c r="CAQ39" s="73"/>
      <c r="CAR39" s="73"/>
      <c r="CAS39" s="73"/>
      <c r="CAT39" s="73"/>
      <c r="CAU39" s="73"/>
      <c r="CAV39" s="73"/>
      <c r="CAW39" s="73"/>
      <c r="CAX39" s="73"/>
      <c r="CAY39" s="73"/>
      <c r="CAZ39" s="73"/>
      <c r="CBA39" s="73"/>
      <c r="CBB39" s="73"/>
      <c r="CBC39" s="73"/>
      <c r="CBD39" s="73"/>
      <c r="CBE39" s="73"/>
      <c r="CBF39" s="73"/>
      <c r="CBG39" s="73"/>
      <c r="CBH39" s="73"/>
      <c r="CBI39" s="73"/>
      <c r="CBJ39" s="73"/>
      <c r="CBK39" s="73"/>
      <c r="CBL39" s="73"/>
      <c r="CBM39" s="73"/>
      <c r="CBN39" s="73"/>
      <c r="CBO39" s="73"/>
      <c r="CBP39" s="73"/>
      <c r="CBQ39" s="73"/>
      <c r="CBR39" s="73"/>
      <c r="CBS39" s="73"/>
      <c r="CBT39" s="73"/>
      <c r="CBU39" s="73"/>
      <c r="CBV39" s="73"/>
      <c r="CBW39" s="73"/>
      <c r="CBX39" s="73"/>
      <c r="CBY39" s="73"/>
      <c r="CBZ39" s="73"/>
      <c r="CCA39" s="73"/>
      <c r="CCB39" s="73"/>
      <c r="CCC39" s="73"/>
      <c r="CCD39" s="73"/>
      <c r="CCE39" s="73"/>
      <c r="CCF39" s="73"/>
      <c r="CCG39" s="73"/>
      <c r="CCH39" s="73"/>
      <c r="CCI39" s="73"/>
      <c r="CCJ39" s="73"/>
      <c r="CCK39" s="73"/>
      <c r="CCL39" s="73"/>
      <c r="CCM39" s="73"/>
      <c r="CCN39" s="73"/>
      <c r="CCO39" s="73"/>
      <c r="CCP39" s="73"/>
      <c r="CCQ39" s="73"/>
      <c r="CCR39" s="73"/>
      <c r="CCS39" s="73"/>
      <c r="CCT39" s="73"/>
      <c r="CCU39" s="73"/>
      <c r="CCV39" s="73"/>
      <c r="CCW39" s="73"/>
      <c r="CCX39" s="73"/>
      <c r="CCY39" s="73"/>
      <c r="CCZ39" s="73"/>
      <c r="CDA39" s="73"/>
      <c r="CDB39" s="73"/>
      <c r="CDC39" s="73"/>
      <c r="CDD39" s="73"/>
      <c r="CDE39" s="73"/>
      <c r="CDF39" s="73"/>
      <c r="CDG39" s="73"/>
      <c r="CDH39" s="73"/>
      <c r="CDI39" s="73"/>
      <c r="CDJ39" s="73"/>
      <c r="CDK39" s="73"/>
      <c r="CDL39" s="73"/>
      <c r="CDM39" s="73"/>
      <c r="CDN39" s="73"/>
      <c r="CDO39" s="73"/>
      <c r="CDP39" s="73"/>
      <c r="CDQ39" s="73"/>
      <c r="CDR39" s="73"/>
      <c r="CDS39" s="73"/>
      <c r="CDT39" s="73"/>
      <c r="CDU39" s="73"/>
      <c r="CDV39" s="73"/>
      <c r="CDW39" s="73"/>
      <c r="CDX39" s="73"/>
      <c r="CDY39" s="73"/>
      <c r="CDZ39" s="73"/>
      <c r="CEA39" s="73"/>
      <c r="CEB39" s="73"/>
      <c r="CEC39" s="73"/>
      <c r="CED39" s="73"/>
      <c r="CEE39" s="73"/>
      <c r="CEF39" s="73"/>
      <c r="CEG39" s="73"/>
      <c r="CEH39" s="73"/>
      <c r="CEI39" s="73"/>
      <c r="CEJ39" s="73"/>
      <c r="CEK39" s="73"/>
      <c r="CEL39" s="73"/>
      <c r="CEM39" s="73"/>
      <c r="CEN39" s="73"/>
      <c r="CEO39" s="73"/>
      <c r="CEP39" s="73"/>
      <c r="CEQ39" s="73"/>
      <c r="CER39" s="73"/>
      <c r="CES39" s="73"/>
      <c r="CET39" s="73"/>
      <c r="CEU39" s="73"/>
      <c r="CEV39" s="73"/>
      <c r="CEW39" s="73"/>
      <c r="CEX39" s="73"/>
      <c r="CEY39" s="73"/>
      <c r="CEZ39" s="73"/>
      <c r="CFA39" s="73"/>
      <c r="CFB39" s="73"/>
      <c r="CFC39" s="73"/>
      <c r="CFD39" s="73"/>
      <c r="CFE39" s="73"/>
      <c r="CFF39" s="73"/>
      <c r="CFG39" s="73"/>
      <c r="CFH39" s="73"/>
      <c r="CFI39" s="73"/>
      <c r="CFJ39" s="73"/>
      <c r="CFK39" s="73"/>
      <c r="CFL39" s="73"/>
      <c r="CFM39" s="73"/>
      <c r="CFN39" s="73"/>
      <c r="CFO39" s="73"/>
      <c r="CFP39" s="73"/>
      <c r="CFQ39" s="73"/>
      <c r="CFR39" s="73"/>
      <c r="CFS39" s="73"/>
      <c r="CFT39" s="73"/>
      <c r="CFU39" s="73"/>
      <c r="CFV39" s="73"/>
      <c r="CFW39" s="73"/>
      <c r="CFX39" s="73"/>
      <c r="CFY39" s="73"/>
      <c r="CFZ39" s="73"/>
      <c r="CGA39" s="73"/>
      <c r="CGB39" s="73"/>
      <c r="CGC39" s="73"/>
      <c r="CGD39" s="73"/>
      <c r="CGE39" s="73"/>
      <c r="CGF39" s="73"/>
      <c r="CGG39" s="73"/>
      <c r="CGH39" s="73"/>
      <c r="CGI39" s="73"/>
      <c r="CGJ39" s="73"/>
      <c r="CGK39" s="73"/>
      <c r="CGL39" s="73"/>
      <c r="CGM39" s="73"/>
      <c r="CGN39" s="73"/>
      <c r="CGO39" s="73"/>
      <c r="CGP39" s="73"/>
      <c r="CGQ39" s="73"/>
      <c r="CGR39" s="73"/>
      <c r="CGS39" s="73"/>
      <c r="CGT39" s="73"/>
      <c r="CGU39" s="73"/>
      <c r="CGV39" s="73"/>
      <c r="CGW39" s="73"/>
      <c r="CGX39" s="73"/>
      <c r="CGY39" s="73"/>
      <c r="CGZ39" s="73"/>
      <c r="CHA39" s="73"/>
      <c r="CHB39" s="73"/>
      <c r="CHC39" s="73"/>
      <c r="CHD39" s="73"/>
      <c r="CHE39" s="73"/>
      <c r="CHF39" s="73"/>
      <c r="CHG39" s="73"/>
      <c r="CHH39" s="73"/>
      <c r="CHI39" s="73"/>
      <c r="CHJ39" s="73"/>
      <c r="CHK39" s="73"/>
      <c r="CHL39" s="73"/>
      <c r="CHM39" s="73"/>
      <c r="CHN39" s="73"/>
      <c r="CHO39" s="73"/>
      <c r="CHP39" s="73"/>
      <c r="CHQ39" s="73"/>
      <c r="CHR39" s="73"/>
      <c r="CHS39" s="73"/>
      <c r="CHT39" s="73"/>
      <c r="CHU39" s="73"/>
      <c r="CHV39" s="73"/>
      <c r="CHW39" s="73"/>
      <c r="CHX39" s="73"/>
      <c r="CHY39" s="73"/>
      <c r="CHZ39" s="73"/>
      <c r="CIA39" s="73"/>
      <c r="CIB39" s="73"/>
      <c r="CIC39" s="73"/>
      <c r="CID39" s="73"/>
      <c r="CIE39" s="73"/>
      <c r="CIF39" s="73"/>
      <c r="CIG39" s="73"/>
      <c r="CIH39" s="73"/>
      <c r="CII39" s="73"/>
      <c r="CIJ39" s="73"/>
      <c r="CIK39" s="73"/>
      <c r="CIL39" s="73"/>
      <c r="CIM39" s="73"/>
      <c r="CIN39" s="73"/>
      <c r="CIO39" s="73"/>
      <c r="CIP39" s="73"/>
      <c r="CIQ39" s="73"/>
      <c r="CIR39" s="73"/>
      <c r="CIS39" s="73"/>
      <c r="CIT39" s="73"/>
      <c r="CIU39" s="73"/>
      <c r="CIV39" s="73"/>
      <c r="CIW39" s="73"/>
      <c r="CIX39" s="73"/>
      <c r="CIY39" s="73"/>
      <c r="CIZ39" s="73"/>
      <c r="CJA39" s="73"/>
      <c r="CJB39" s="73"/>
      <c r="CJC39" s="73"/>
      <c r="CJD39" s="73"/>
      <c r="CJE39" s="73"/>
      <c r="CJF39" s="73"/>
      <c r="CJG39" s="73"/>
      <c r="CJH39" s="73"/>
      <c r="CJI39" s="73"/>
      <c r="CJJ39" s="73"/>
      <c r="CJK39" s="73"/>
      <c r="CJL39" s="73"/>
      <c r="CJM39" s="73"/>
      <c r="CJN39" s="73"/>
      <c r="CJO39" s="73"/>
      <c r="CJP39" s="73"/>
      <c r="CJQ39" s="73"/>
      <c r="CJR39" s="73"/>
      <c r="CJS39" s="73"/>
      <c r="CJT39" s="73"/>
      <c r="CJU39" s="73"/>
      <c r="CJV39" s="73"/>
      <c r="CJW39" s="73"/>
      <c r="CJX39" s="73"/>
      <c r="CJY39" s="73"/>
      <c r="CJZ39" s="73"/>
      <c r="CKA39" s="73"/>
      <c r="CKB39" s="73"/>
      <c r="CKC39" s="73"/>
      <c r="CKD39" s="73"/>
      <c r="CKE39" s="73"/>
      <c r="CKF39" s="73"/>
      <c r="CKG39" s="73"/>
      <c r="CKH39" s="73"/>
      <c r="CKI39" s="73"/>
      <c r="CKJ39" s="73"/>
      <c r="CKK39" s="73"/>
      <c r="CKL39" s="73"/>
      <c r="CKM39" s="73"/>
      <c r="CKN39" s="73"/>
      <c r="CKO39" s="73"/>
      <c r="CKP39" s="73"/>
      <c r="CKQ39" s="73"/>
      <c r="CKR39" s="73"/>
      <c r="CKS39" s="73"/>
      <c r="CKT39" s="73"/>
      <c r="CKU39" s="73"/>
      <c r="CKV39" s="73"/>
      <c r="CKW39" s="73"/>
      <c r="CKX39" s="73"/>
      <c r="CKY39" s="73"/>
      <c r="CKZ39" s="73"/>
      <c r="CLA39" s="73"/>
      <c r="CLB39" s="73"/>
      <c r="CLC39" s="73"/>
      <c r="CLD39" s="73"/>
      <c r="CLE39" s="73"/>
      <c r="CLF39" s="73"/>
      <c r="CLG39" s="73"/>
      <c r="CLH39" s="73"/>
      <c r="CLI39" s="73"/>
      <c r="CLJ39" s="73"/>
      <c r="CLK39" s="73"/>
      <c r="CLL39" s="73"/>
      <c r="CLM39" s="73"/>
      <c r="CLN39" s="73"/>
      <c r="CLO39" s="73"/>
      <c r="CLP39" s="73"/>
      <c r="CLQ39" s="73"/>
      <c r="CLR39" s="73"/>
      <c r="CLS39" s="73"/>
      <c r="CLT39" s="73"/>
      <c r="CLU39" s="73"/>
      <c r="CLV39" s="73"/>
      <c r="CLW39" s="73"/>
      <c r="CLX39" s="73"/>
      <c r="CLY39" s="73"/>
      <c r="CLZ39" s="73"/>
      <c r="CMA39" s="73"/>
      <c r="CMB39" s="73"/>
      <c r="CMC39" s="73"/>
      <c r="CMD39" s="73"/>
      <c r="CME39" s="73"/>
      <c r="CMF39" s="73"/>
      <c r="CMG39" s="73"/>
      <c r="CMH39" s="73"/>
      <c r="CMI39" s="73"/>
      <c r="CMJ39" s="73"/>
      <c r="CMK39" s="73"/>
      <c r="CML39" s="73"/>
      <c r="CMM39" s="73"/>
      <c r="CMN39" s="73"/>
      <c r="CMO39" s="73"/>
      <c r="CMP39" s="73"/>
      <c r="CMQ39" s="73"/>
      <c r="CMR39" s="73"/>
      <c r="CMS39" s="73"/>
      <c r="CMT39" s="73"/>
      <c r="CMU39" s="73"/>
      <c r="CMV39" s="73"/>
      <c r="CMW39" s="73"/>
      <c r="CMX39" s="73"/>
      <c r="CMY39" s="73"/>
      <c r="CMZ39" s="73"/>
      <c r="CNA39" s="73"/>
      <c r="CNB39" s="73"/>
      <c r="CNC39" s="73"/>
      <c r="CND39" s="73"/>
      <c r="CNE39" s="73"/>
      <c r="CNF39" s="73"/>
      <c r="CNG39" s="73"/>
      <c r="CNH39" s="73"/>
      <c r="CNI39" s="73"/>
      <c r="CNJ39" s="73"/>
      <c r="CNK39" s="73"/>
      <c r="CNL39" s="73"/>
      <c r="CNM39" s="73"/>
      <c r="CNN39" s="73"/>
      <c r="CNO39" s="73"/>
      <c r="CNP39" s="73"/>
      <c r="CNQ39" s="73"/>
      <c r="CNR39" s="73"/>
      <c r="CNS39" s="73"/>
      <c r="CNT39" s="73"/>
      <c r="CNU39" s="73"/>
      <c r="CNV39" s="73"/>
      <c r="CNW39" s="73"/>
      <c r="CNX39" s="73"/>
      <c r="CNY39" s="73"/>
      <c r="CNZ39" s="73"/>
      <c r="COA39" s="73"/>
      <c r="COB39" s="73"/>
      <c r="COC39" s="73"/>
      <c r="COD39" s="73"/>
      <c r="COE39" s="73"/>
      <c r="COF39" s="73"/>
      <c r="COG39" s="73"/>
      <c r="COH39" s="73"/>
      <c r="COI39" s="73"/>
      <c r="COJ39" s="73"/>
      <c r="COK39" s="73"/>
      <c r="COL39" s="73"/>
      <c r="COM39" s="73"/>
      <c r="CON39" s="73"/>
      <c r="COO39" s="73"/>
      <c r="COP39" s="73"/>
      <c r="COQ39" s="73"/>
      <c r="COR39" s="73"/>
      <c r="COS39" s="73"/>
      <c r="COT39" s="73"/>
      <c r="COU39" s="73"/>
      <c r="COV39" s="73"/>
      <c r="COW39" s="73"/>
      <c r="COX39" s="73"/>
      <c r="COY39" s="73"/>
      <c r="COZ39" s="73"/>
      <c r="CPA39" s="73"/>
      <c r="CPB39" s="73"/>
      <c r="CPC39" s="73"/>
      <c r="CPD39" s="73"/>
      <c r="CPE39" s="73"/>
      <c r="CPF39" s="73"/>
      <c r="CPG39" s="73"/>
      <c r="CPH39" s="73"/>
      <c r="CPI39" s="73"/>
      <c r="CPJ39" s="73"/>
      <c r="CPK39" s="73"/>
      <c r="CPL39" s="73"/>
      <c r="CPM39" s="73"/>
      <c r="CPN39" s="73"/>
      <c r="CPO39" s="73"/>
      <c r="CPP39" s="73"/>
      <c r="CPQ39" s="73"/>
      <c r="CPR39" s="73"/>
      <c r="CPS39" s="73"/>
      <c r="CPT39" s="73"/>
      <c r="CPU39" s="73"/>
      <c r="CPV39" s="73"/>
      <c r="CPW39" s="73"/>
      <c r="CPX39" s="73"/>
      <c r="CPY39" s="73"/>
      <c r="CPZ39" s="73"/>
      <c r="CQA39" s="73"/>
      <c r="CQB39" s="73"/>
      <c r="CQC39" s="73"/>
      <c r="CQD39" s="73"/>
      <c r="CQE39" s="73"/>
      <c r="CQF39" s="73"/>
      <c r="CQG39" s="73"/>
      <c r="CQH39" s="73"/>
      <c r="CQI39" s="73"/>
      <c r="CQJ39" s="73"/>
      <c r="CQK39" s="73"/>
      <c r="CQL39" s="73"/>
      <c r="CQM39" s="73"/>
      <c r="CQN39" s="73"/>
      <c r="CQO39" s="73"/>
      <c r="CQP39" s="73"/>
      <c r="CQQ39" s="73"/>
      <c r="CQR39" s="73"/>
      <c r="CQS39" s="73"/>
      <c r="CQT39" s="73"/>
      <c r="CQU39" s="73"/>
      <c r="CQV39" s="73"/>
      <c r="CQW39" s="73"/>
      <c r="CQX39" s="73"/>
      <c r="CQY39" s="73"/>
      <c r="CQZ39" s="73"/>
      <c r="CRA39" s="73"/>
      <c r="CRB39" s="73"/>
      <c r="CRC39" s="73"/>
      <c r="CRD39" s="73"/>
      <c r="CRE39" s="73"/>
      <c r="CRF39" s="73"/>
      <c r="CRG39" s="73"/>
      <c r="CRH39" s="73"/>
      <c r="CRI39" s="73"/>
      <c r="CRJ39" s="73"/>
      <c r="CRK39" s="73"/>
      <c r="CRL39" s="73"/>
      <c r="CRM39" s="73"/>
      <c r="CRN39" s="73"/>
      <c r="CRO39" s="73"/>
      <c r="CRP39" s="73"/>
      <c r="CRQ39" s="73"/>
      <c r="CRR39" s="73"/>
      <c r="CRS39" s="73"/>
      <c r="CRT39" s="73"/>
      <c r="CRU39" s="73"/>
      <c r="CRV39" s="73"/>
      <c r="CRW39" s="73"/>
      <c r="CRX39" s="73"/>
      <c r="CRY39" s="73"/>
      <c r="CRZ39" s="73"/>
      <c r="CSA39" s="73"/>
      <c r="CSB39" s="73"/>
      <c r="CSC39" s="73"/>
      <c r="CSD39" s="73"/>
      <c r="CSE39" s="73"/>
      <c r="CSF39" s="73"/>
      <c r="CSG39" s="73"/>
      <c r="CSH39" s="73"/>
      <c r="CSI39" s="73"/>
      <c r="CSJ39" s="73"/>
      <c r="CSK39" s="73"/>
      <c r="CSL39" s="73"/>
      <c r="CSM39" s="73"/>
      <c r="CSN39" s="73"/>
      <c r="CSO39" s="73"/>
      <c r="CSP39" s="73"/>
      <c r="CSQ39" s="73"/>
      <c r="CSR39" s="73"/>
      <c r="CSS39" s="73"/>
      <c r="CST39" s="73"/>
      <c r="CSU39" s="73"/>
      <c r="CSV39" s="73"/>
      <c r="CSW39" s="73"/>
      <c r="CSX39" s="73"/>
      <c r="CSY39" s="73"/>
      <c r="CSZ39" s="73"/>
      <c r="CTA39" s="73"/>
      <c r="CTB39" s="73"/>
      <c r="CTC39" s="73"/>
      <c r="CTD39" s="73"/>
      <c r="CTE39" s="73"/>
      <c r="CTF39" s="73"/>
      <c r="CTG39" s="73"/>
      <c r="CTH39" s="73"/>
      <c r="CTI39" s="73"/>
      <c r="CTJ39" s="73"/>
      <c r="CTK39" s="73"/>
      <c r="CTL39" s="73"/>
      <c r="CTM39" s="73"/>
      <c r="CTN39" s="73"/>
      <c r="CTO39" s="73"/>
      <c r="CTP39" s="73"/>
      <c r="CTQ39" s="73"/>
      <c r="CTR39" s="73"/>
      <c r="CTS39" s="73"/>
      <c r="CTT39" s="73"/>
      <c r="CTU39" s="73"/>
      <c r="CTV39" s="73"/>
      <c r="CTW39" s="73"/>
      <c r="CTX39" s="73"/>
      <c r="CTY39" s="73"/>
      <c r="CTZ39" s="73"/>
      <c r="CUA39" s="73"/>
      <c r="CUB39" s="73"/>
      <c r="CUC39" s="73"/>
      <c r="CUD39" s="73"/>
      <c r="CUE39" s="73"/>
      <c r="CUF39" s="73"/>
      <c r="CUG39" s="73"/>
      <c r="CUH39" s="73"/>
      <c r="CUI39" s="73"/>
      <c r="CUJ39" s="73"/>
      <c r="CUK39" s="73"/>
      <c r="CUL39" s="73"/>
      <c r="CUM39" s="73"/>
      <c r="CUN39" s="73"/>
      <c r="CUO39" s="73"/>
      <c r="CUP39" s="73"/>
      <c r="CUQ39" s="73"/>
      <c r="CUR39" s="73"/>
      <c r="CUS39" s="73"/>
      <c r="CUT39" s="73"/>
      <c r="CUU39" s="73"/>
      <c r="CUV39" s="73"/>
      <c r="CUW39" s="73"/>
      <c r="CUX39" s="73"/>
      <c r="CUY39" s="73"/>
      <c r="CUZ39" s="73"/>
      <c r="CVA39" s="73"/>
      <c r="CVB39" s="73"/>
      <c r="CVC39" s="73"/>
      <c r="CVD39" s="73"/>
      <c r="CVE39" s="73"/>
      <c r="CVF39" s="73"/>
      <c r="CVG39" s="73"/>
      <c r="CVH39" s="73"/>
      <c r="CVI39" s="73"/>
      <c r="CVJ39" s="73"/>
      <c r="CVK39" s="73"/>
      <c r="CVL39" s="73"/>
      <c r="CVM39" s="73"/>
      <c r="CVN39" s="73"/>
      <c r="CVO39" s="73"/>
      <c r="CVP39" s="73"/>
      <c r="CVQ39" s="73"/>
      <c r="CVR39" s="73"/>
      <c r="CVS39" s="73"/>
      <c r="CVT39" s="73"/>
      <c r="CVU39" s="73"/>
      <c r="CVV39" s="73"/>
      <c r="CVW39" s="73"/>
      <c r="CVX39" s="73"/>
      <c r="CVY39" s="73"/>
      <c r="CVZ39" s="73"/>
      <c r="CWA39" s="73"/>
      <c r="CWB39" s="73"/>
      <c r="CWC39" s="73"/>
      <c r="CWD39" s="73"/>
      <c r="CWE39" s="73"/>
      <c r="CWF39" s="73"/>
      <c r="CWG39" s="73"/>
      <c r="CWH39" s="73"/>
      <c r="CWI39" s="73"/>
      <c r="CWJ39" s="73"/>
      <c r="CWK39" s="73"/>
      <c r="CWL39" s="73"/>
      <c r="CWM39" s="73"/>
      <c r="CWN39" s="73"/>
      <c r="CWO39" s="73"/>
      <c r="CWP39" s="73"/>
      <c r="CWQ39" s="73"/>
      <c r="CWR39" s="73"/>
      <c r="CWS39" s="73"/>
      <c r="CWT39" s="73"/>
      <c r="CWU39" s="73"/>
      <c r="CWV39" s="73"/>
      <c r="CWW39" s="73"/>
      <c r="CWX39" s="73"/>
      <c r="CWY39" s="73"/>
      <c r="CWZ39" s="73"/>
      <c r="CXA39" s="73"/>
      <c r="CXB39" s="73"/>
      <c r="CXC39" s="73"/>
      <c r="CXD39" s="73"/>
      <c r="CXE39" s="73"/>
      <c r="CXF39" s="73"/>
      <c r="CXG39" s="73"/>
      <c r="CXH39" s="73"/>
      <c r="CXI39" s="73"/>
      <c r="CXJ39" s="73"/>
      <c r="CXK39" s="73"/>
      <c r="CXL39" s="73"/>
      <c r="CXM39" s="73"/>
      <c r="CXN39" s="73"/>
      <c r="CXO39" s="73"/>
      <c r="CXP39" s="73"/>
      <c r="CXQ39" s="73"/>
      <c r="CXR39" s="73"/>
      <c r="CXS39" s="73"/>
      <c r="CXT39" s="73"/>
      <c r="CXU39" s="73"/>
      <c r="CXV39" s="73"/>
      <c r="CXW39" s="73"/>
      <c r="CXX39" s="73"/>
      <c r="CXY39" s="73"/>
      <c r="CXZ39" s="73"/>
      <c r="CYA39" s="73"/>
      <c r="CYB39" s="73"/>
      <c r="CYC39" s="73"/>
      <c r="CYD39" s="73"/>
      <c r="CYE39" s="73"/>
      <c r="CYF39" s="73"/>
      <c r="CYG39" s="73"/>
      <c r="CYH39" s="73"/>
      <c r="CYI39" s="73"/>
      <c r="CYJ39" s="73"/>
      <c r="CYK39" s="73"/>
      <c r="CYL39" s="73"/>
      <c r="CYM39" s="73"/>
      <c r="CYN39" s="73"/>
      <c r="CYO39" s="73"/>
      <c r="CYP39" s="73"/>
      <c r="CYQ39" s="73"/>
      <c r="CYR39" s="73"/>
      <c r="CYS39" s="73"/>
      <c r="CYT39" s="73"/>
      <c r="CYU39" s="73"/>
      <c r="CYV39" s="73"/>
      <c r="CYW39" s="73"/>
      <c r="CYX39" s="73"/>
      <c r="CYY39" s="73"/>
      <c r="CYZ39" s="73"/>
      <c r="CZA39" s="73"/>
      <c r="CZB39" s="73"/>
      <c r="CZC39" s="73"/>
      <c r="CZD39" s="73"/>
      <c r="CZE39" s="73"/>
      <c r="CZF39" s="73"/>
      <c r="CZG39" s="73"/>
      <c r="CZH39" s="73"/>
      <c r="CZI39" s="73"/>
      <c r="CZJ39" s="73"/>
      <c r="CZK39" s="73"/>
      <c r="CZL39" s="73"/>
      <c r="CZM39" s="73"/>
      <c r="CZN39" s="73"/>
      <c r="CZO39" s="73"/>
      <c r="CZP39" s="73"/>
      <c r="CZQ39" s="73"/>
      <c r="CZR39" s="73"/>
      <c r="CZS39" s="73"/>
      <c r="CZT39" s="73"/>
      <c r="CZU39" s="73"/>
      <c r="CZV39" s="73"/>
      <c r="CZW39" s="73"/>
      <c r="CZX39" s="73"/>
      <c r="CZY39" s="73"/>
      <c r="CZZ39" s="73"/>
      <c r="DAA39" s="73"/>
      <c r="DAB39" s="73"/>
      <c r="DAC39" s="73"/>
      <c r="DAD39" s="73"/>
      <c r="DAE39" s="73"/>
      <c r="DAF39" s="73"/>
      <c r="DAG39" s="73"/>
      <c r="DAH39" s="73"/>
      <c r="DAI39" s="73"/>
      <c r="DAJ39" s="73"/>
      <c r="DAK39" s="73"/>
      <c r="DAL39" s="73"/>
      <c r="DAM39" s="73"/>
      <c r="DAN39" s="73"/>
      <c r="DAO39" s="73"/>
      <c r="DAP39" s="73"/>
      <c r="DAQ39" s="73"/>
      <c r="DAR39" s="73"/>
      <c r="DAS39" s="73"/>
      <c r="DAT39" s="73"/>
      <c r="DAU39" s="73"/>
      <c r="DAV39" s="73"/>
      <c r="DAW39" s="73"/>
      <c r="DAX39" s="73"/>
      <c r="DAY39" s="73"/>
      <c r="DAZ39" s="73"/>
      <c r="DBA39" s="73"/>
      <c r="DBB39" s="73"/>
      <c r="DBC39" s="73"/>
      <c r="DBD39" s="73"/>
      <c r="DBE39" s="73"/>
      <c r="DBF39" s="73"/>
      <c r="DBG39" s="73"/>
      <c r="DBH39" s="73"/>
      <c r="DBI39" s="73"/>
      <c r="DBJ39" s="73"/>
      <c r="DBK39" s="73"/>
      <c r="DBL39" s="73"/>
      <c r="DBM39" s="73"/>
      <c r="DBN39" s="73"/>
      <c r="DBO39" s="73"/>
      <c r="DBP39" s="73"/>
      <c r="DBQ39" s="73"/>
      <c r="DBR39" s="73"/>
      <c r="DBS39" s="73"/>
      <c r="DBT39" s="73"/>
      <c r="DBU39" s="73"/>
      <c r="DBV39" s="73"/>
      <c r="DBW39" s="73"/>
      <c r="DBX39" s="73"/>
      <c r="DBY39" s="73"/>
      <c r="DBZ39" s="73"/>
      <c r="DCA39" s="73"/>
      <c r="DCB39" s="73"/>
      <c r="DCC39" s="73"/>
      <c r="DCD39" s="73"/>
      <c r="DCE39" s="73"/>
      <c r="DCF39" s="73"/>
      <c r="DCG39" s="73"/>
      <c r="DCH39" s="73"/>
      <c r="DCI39" s="73"/>
      <c r="DCJ39" s="73"/>
      <c r="DCK39" s="73"/>
      <c r="DCL39" s="73"/>
      <c r="DCM39" s="73"/>
      <c r="DCN39" s="73"/>
      <c r="DCO39" s="73"/>
      <c r="DCP39" s="73"/>
      <c r="DCQ39" s="73"/>
      <c r="DCR39" s="73"/>
      <c r="DCS39" s="73"/>
      <c r="DCT39" s="73"/>
      <c r="DCU39" s="73"/>
      <c r="DCV39" s="73"/>
      <c r="DCW39" s="73"/>
      <c r="DCX39" s="73"/>
      <c r="DCY39" s="73"/>
      <c r="DCZ39" s="73"/>
      <c r="DDA39" s="73"/>
      <c r="DDB39" s="73"/>
      <c r="DDC39" s="73"/>
      <c r="DDD39" s="73"/>
      <c r="DDE39" s="73"/>
      <c r="DDF39" s="73"/>
      <c r="DDG39" s="73"/>
      <c r="DDH39" s="73"/>
      <c r="DDI39" s="73"/>
      <c r="DDJ39" s="73"/>
      <c r="DDK39" s="73"/>
      <c r="DDL39" s="73"/>
      <c r="DDM39" s="73"/>
      <c r="DDN39" s="73"/>
      <c r="DDO39" s="73"/>
      <c r="DDP39" s="73"/>
      <c r="DDQ39" s="73"/>
      <c r="DDR39" s="73"/>
      <c r="DDS39" s="73"/>
      <c r="DDT39" s="73"/>
      <c r="DDU39" s="73"/>
      <c r="DDV39" s="73"/>
      <c r="DDW39" s="73"/>
      <c r="DDX39" s="73"/>
      <c r="DDY39" s="73"/>
      <c r="DDZ39" s="73"/>
      <c r="DEA39" s="73"/>
      <c r="DEB39" s="73"/>
      <c r="DEC39" s="73"/>
      <c r="DED39" s="73"/>
      <c r="DEE39" s="73"/>
      <c r="DEF39" s="73"/>
      <c r="DEG39" s="73"/>
      <c r="DEH39" s="73"/>
      <c r="DEI39" s="73"/>
      <c r="DEJ39" s="73"/>
      <c r="DEK39" s="73"/>
      <c r="DEL39" s="73"/>
      <c r="DEM39" s="73"/>
      <c r="DEN39" s="73"/>
      <c r="DEO39" s="73"/>
      <c r="DEP39" s="73"/>
      <c r="DEQ39" s="73"/>
      <c r="DER39" s="73"/>
      <c r="DES39" s="73"/>
      <c r="DET39" s="73"/>
      <c r="DEU39" s="73"/>
      <c r="DEV39" s="73"/>
      <c r="DEW39" s="73"/>
      <c r="DEX39" s="73"/>
      <c r="DEY39" s="73"/>
      <c r="DEZ39" s="73"/>
      <c r="DFA39" s="73"/>
      <c r="DFB39" s="73"/>
      <c r="DFC39" s="73"/>
      <c r="DFD39" s="73"/>
      <c r="DFE39" s="73"/>
      <c r="DFF39" s="73"/>
      <c r="DFG39" s="73"/>
      <c r="DFH39" s="73"/>
      <c r="DFI39" s="73"/>
      <c r="DFJ39" s="73"/>
      <c r="DFK39" s="73"/>
      <c r="DFL39" s="73"/>
      <c r="DFM39" s="73"/>
      <c r="DFN39" s="73"/>
      <c r="DFO39" s="73"/>
      <c r="DFP39" s="73"/>
      <c r="DFQ39" s="73"/>
      <c r="DFR39" s="73"/>
      <c r="DFS39" s="73"/>
      <c r="DFT39" s="73"/>
      <c r="DFU39" s="73"/>
      <c r="DFV39" s="73"/>
      <c r="DFW39" s="73"/>
      <c r="DFX39" s="73"/>
      <c r="DFY39" s="73"/>
      <c r="DFZ39" s="73"/>
      <c r="DGA39" s="73"/>
      <c r="DGB39" s="73"/>
      <c r="DGC39" s="73"/>
      <c r="DGD39" s="73"/>
      <c r="DGE39" s="73"/>
      <c r="DGF39" s="73"/>
      <c r="DGG39" s="73"/>
      <c r="DGH39" s="73"/>
      <c r="DGI39" s="73"/>
      <c r="DGJ39" s="73"/>
      <c r="DGK39" s="73"/>
      <c r="DGL39" s="73"/>
      <c r="DGM39" s="73"/>
      <c r="DGN39" s="73"/>
      <c r="DGO39" s="73"/>
      <c r="DGP39" s="73"/>
      <c r="DGQ39" s="73"/>
      <c r="DGR39" s="73"/>
      <c r="DGS39" s="73"/>
      <c r="DGT39" s="73"/>
      <c r="DGU39" s="73"/>
      <c r="DGV39" s="73"/>
      <c r="DGW39" s="73"/>
      <c r="DGX39" s="73"/>
      <c r="DGY39" s="73"/>
      <c r="DGZ39" s="73"/>
      <c r="DHA39" s="73"/>
      <c r="DHB39" s="73"/>
      <c r="DHC39" s="73"/>
      <c r="DHD39" s="73"/>
      <c r="DHE39" s="73"/>
      <c r="DHF39" s="73"/>
      <c r="DHG39" s="73"/>
      <c r="DHH39" s="73"/>
      <c r="DHI39" s="73"/>
      <c r="DHJ39" s="73"/>
      <c r="DHK39" s="73"/>
      <c r="DHL39" s="73"/>
      <c r="DHM39" s="73"/>
      <c r="DHN39" s="73"/>
      <c r="DHO39" s="73"/>
      <c r="DHP39" s="73"/>
      <c r="DHQ39" s="73"/>
      <c r="DHR39" s="73"/>
      <c r="DHS39" s="73"/>
      <c r="DHT39" s="73"/>
      <c r="DHU39" s="73"/>
      <c r="DHV39" s="73"/>
      <c r="DHW39" s="73"/>
      <c r="DHX39" s="73"/>
      <c r="DHY39" s="73"/>
      <c r="DHZ39" s="73"/>
      <c r="DIA39" s="73"/>
      <c r="DIB39" s="73"/>
      <c r="DIC39" s="73"/>
      <c r="DID39" s="73"/>
      <c r="DIE39" s="73"/>
      <c r="DIF39" s="73"/>
      <c r="DIG39" s="73"/>
      <c r="DIH39" s="73"/>
      <c r="DII39" s="73"/>
      <c r="DIJ39" s="73"/>
      <c r="DIK39" s="73"/>
      <c r="DIL39" s="73"/>
      <c r="DIM39" s="73"/>
      <c r="DIN39" s="73"/>
      <c r="DIO39" s="73"/>
      <c r="DIP39" s="73"/>
      <c r="DIQ39" s="73"/>
      <c r="DIR39" s="73"/>
      <c r="DIS39" s="73"/>
      <c r="DIT39" s="73"/>
      <c r="DIU39" s="73"/>
      <c r="DIV39" s="73"/>
      <c r="DIW39" s="73"/>
      <c r="DIX39" s="73"/>
      <c r="DIY39" s="73"/>
      <c r="DIZ39" s="73"/>
      <c r="DJA39" s="73"/>
      <c r="DJB39" s="73"/>
      <c r="DJC39" s="73"/>
      <c r="DJD39" s="73"/>
      <c r="DJE39" s="73"/>
      <c r="DJF39" s="73"/>
      <c r="DJG39" s="73"/>
      <c r="DJH39" s="73"/>
      <c r="DJI39" s="73"/>
      <c r="DJJ39" s="73"/>
      <c r="DJK39" s="73"/>
      <c r="DJL39" s="73"/>
      <c r="DJM39" s="73"/>
      <c r="DJN39" s="73"/>
      <c r="DJO39" s="73"/>
      <c r="DJP39" s="73"/>
      <c r="DJQ39" s="73"/>
      <c r="DJR39" s="73"/>
      <c r="DJS39" s="73"/>
      <c r="DJT39" s="73"/>
      <c r="DJU39" s="73"/>
      <c r="DJV39" s="73"/>
      <c r="DJW39" s="73"/>
      <c r="DJX39" s="73"/>
      <c r="DJY39" s="73"/>
      <c r="DJZ39" s="73"/>
      <c r="DKA39" s="73"/>
      <c r="DKB39" s="73"/>
      <c r="DKC39" s="73"/>
      <c r="DKD39" s="73"/>
      <c r="DKE39" s="73"/>
      <c r="DKF39" s="73"/>
      <c r="DKG39" s="73"/>
      <c r="DKH39" s="73"/>
      <c r="DKI39" s="73"/>
      <c r="DKJ39" s="73"/>
      <c r="DKK39" s="73"/>
      <c r="DKL39" s="73"/>
      <c r="DKM39" s="73"/>
      <c r="DKN39" s="73"/>
      <c r="DKO39" s="73"/>
      <c r="DKP39" s="73"/>
      <c r="DKQ39" s="73"/>
      <c r="DKR39" s="73"/>
      <c r="DKS39" s="73"/>
      <c r="DKT39" s="73"/>
      <c r="DKU39" s="73"/>
      <c r="DKV39" s="73"/>
      <c r="DKW39" s="73"/>
      <c r="DKX39" s="73"/>
      <c r="DKY39" s="73"/>
      <c r="DKZ39" s="73"/>
      <c r="DLA39" s="73"/>
      <c r="DLB39" s="73"/>
      <c r="DLC39" s="73"/>
      <c r="DLD39" s="73"/>
      <c r="DLE39" s="73"/>
      <c r="DLF39" s="73"/>
      <c r="DLG39" s="73"/>
      <c r="DLH39" s="73"/>
      <c r="DLI39" s="73"/>
      <c r="DLJ39" s="73"/>
      <c r="DLK39" s="73"/>
      <c r="DLL39" s="73"/>
      <c r="DLM39" s="73"/>
      <c r="DLN39" s="73"/>
      <c r="DLO39" s="73"/>
      <c r="DLP39" s="73"/>
      <c r="DLQ39" s="73"/>
      <c r="DLR39" s="73"/>
      <c r="DLS39" s="73"/>
      <c r="DLT39" s="73"/>
      <c r="DLU39" s="73"/>
      <c r="DLV39" s="73"/>
      <c r="DLW39" s="73"/>
      <c r="DLX39" s="73"/>
      <c r="DLY39" s="73"/>
      <c r="DLZ39" s="73"/>
      <c r="DMA39" s="73"/>
      <c r="DMB39" s="73"/>
      <c r="DMC39" s="73"/>
      <c r="DMD39" s="73"/>
      <c r="DME39" s="73"/>
      <c r="DMF39" s="73"/>
      <c r="DMG39" s="73"/>
      <c r="DMH39" s="73"/>
      <c r="DMI39" s="73"/>
      <c r="DMJ39" s="73"/>
      <c r="DMK39" s="73"/>
      <c r="DML39" s="73"/>
      <c r="DMM39" s="73"/>
      <c r="DMN39" s="73"/>
      <c r="DMO39" s="73"/>
      <c r="DMP39" s="73"/>
      <c r="DMQ39" s="73"/>
      <c r="DMR39" s="73"/>
      <c r="DMS39" s="73"/>
      <c r="DMT39" s="73"/>
      <c r="DMU39" s="73"/>
      <c r="DMV39" s="73"/>
      <c r="DMW39" s="73"/>
      <c r="DMX39" s="73"/>
      <c r="DMY39" s="73"/>
      <c r="DMZ39" s="73"/>
      <c r="DNA39" s="73"/>
      <c r="DNB39" s="73"/>
      <c r="DNC39" s="73"/>
      <c r="DND39" s="73"/>
      <c r="DNE39" s="73"/>
      <c r="DNF39" s="73"/>
      <c r="DNG39" s="73"/>
      <c r="DNH39" s="73"/>
      <c r="DNI39" s="73"/>
      <c r="DNJ39" s="73"/>
      <c r="DNK39" s="73"/>
      <c r="DNL39" s="73"/>
      <c r="DNM39" s="73"/>
      <c r="DNN39" s="73"/>
      <c r="DNO39" s="73"/>
      <c r="DNP39" s="73"/>
      <c r="DNQ39" s="73"/>
      <c r="DNR39" s="73"/>
      <c r="DNS39" s="73"/>
      <c r="DNT39" s="73"/>
      <c r="DNU39" s="73"/>
      <c r="DNV39" s="73"/>
      <c r="DNW39" s="73"/>
      <c r="DNX39" s="73"/>
      <c r="DNY39" s="73"/>
      <c r="DNZ39" s="73"/>
      <c r="DOA39" s="73"/>
      <c r="DOB39" s="73"/>
      <c r="DOC39" s="73"/>
      <c r="DOD39" s="73"/>
      <c r="DOE39" s="73"/>
      <c r="DOF39" s="73"/>
      <c r="DOG39" s="73"/>
      <c r="DOH39" s="73"/>
      <c r="DOI39" s="73"/>
      <c r="DOJ39" s="73"/>
      <c r="DOK39" s="73"/>
      <c r="DOL39" s="73"/>
      <c r="DOM39" s="73"/>
      <c r="DON39" s="73"/>
      <c r="DOO39" s="73"/>
      <c r="DOP39" s="73"/>
      <c r="DOQ39" s="73"/>
      <c r="DOR39" s="73"/>
      <c r="DOS39" s="73"/>
      <c r="DOT39" s="73"/>
      <c r="DOU39" s="73"/>
      <c r="DOV39" s="73"/>
      <c r="DOW39" s="73"/>
      <c r="DOX39" s="73"/>
      <c r="DOY39" s="73"/>
      <c r="DOZ39" s="73"/>
      <c r="DPA39" s="73"/>
      <c r="DPB39" s="73"/>
      <c r="DPC39" s="73"/>
      <c r="DPD39" s="73"/>
      <c r="DPE39" s="73"/>
      <c r="DPF39" s="73"/>
      <c r="DPG39" s="73"/>
      <c r="DPH39" s="73"/>
      <c r="DPI39" s="73"/>
      <c r="DPJ39" s="73"/>
      <c r="DPK39" s="73"/>
      <c r="DPL39" s="73"/>
      <c r="DPM39" s="73"/>
      <c r="DPN39" s="73"/>
      <c r="DPO39" s="73"/>
      <c r="DPP39" s="73"/>
      <c r="DPQ39" s="73"/>
      <c r="DPR39" s="73"/>
      <c r="DPS39" s="73"/>
      <c r="DPT39" s="73"/>
      <c r="DPU39" s="73"/>
      <c r="DPV39" s="73"/>
      <c r="DPW39" s="73"/>
      <c r="DPX39" s="73"/>
      <c r="DPY39" s="73"/>
      <c r="DPZ39" s="73"/>
      <c r="DQA39" s="73"/>
      <c r="DQB39" s="73"/>
      <c r="DQC39" s="73"/>
      <c r="DQD39" s="73"/>
      <c r="DQE39" s="73"/>
      <c r="DQF39" s="73"/>
      <c r="DQG39" s="73"/>
      <c r="DQH39" s="73"/>
      <c r="DQI39" s="73"/>
      <c r="DQJ39" s="73"/>
      <c r="DQK39" s="73"/>
      <c r="DQL39" s="73"/>
      <c r="DQM39" s="73"/>
      <c r="DQN39" s="73"/>
      <c r="DQO39" s="73"/>
      <c r="DQP39" s="73"/>
      <c r="DQQ39" s="73"/>
      <c r="DQR39" s="73"/>
      <c r="DQS39" s="73"/>
      <c r="DQT39" s="73"/>
      <c r="DQU39" s="73"/>
      <c r="DQV39" s="73"/>
      <c r="DQW39" s="73"/>
      <c r="DQX39" s="73"/>
      <c r="DQY39" s="73"/>
      <c r="DQZ39" s="73"/>
      <c r="DRA39" s="73"/>
      <c r="DRB39" s="73"/>
      <c r="DRC39" s="73"/>
      <c r="DRD39" s="73"/>
      <c r="DRE39" s="73"/>
      <c r="DRF39" s="73"/>
      <c r="DRG39" s="73"/>
      <c r="DRH39" s="73"/>
      <c r="DRI39" s="73"/>
      <c r="DRJ39" s="73"/>
      <c r="DRK39" s="73"/>
      <c r="DRL39" s="73"/>
      <c r="DRM39" s="73"/>
      <c r="DRN39" s="73"/>
      <c r="DRO39" s="73"/>
      <c r="DRP39" s="73"/>
      <c r="DRQ39" s="73"/>
      <c r="DRR39" s="73"/>
      <c r="DRS39" s="73"/>
      <c r="DRT39" s="73"/>
      <c r="DRU39" s="73"/>
      <c r="DRV39" s="73"/>
      <c r="DRW39" s="73"/>
      <c r="DRX39" s="73"/>
      <c r="DRY39" s="73"/>
      <c r="DRZ39" s="73"/>
      <c r="DSA39" s="73"/>
      <c r="DSB39" s="73"/>
      <c r="DSC39" s="73"/>
      <c r="DSD39" s="73"/>
      <c r="DSE39" s="73"/>
      <c r="DSF39" s="73"/>
      <c r="DSG39" s="73"/>
      <c r="DSH39" s="73"/>
      <c r="DSI39" s="73"/>
      <c r="DSJ39" s="73"/>
      <c r="DSK39" s="73"/>
      <c r="DSL39" s="73"/>
      <c r="DSM39" s="73"/>
      <c r="DSN39" s="73"/>
      <c r="DSO39" s="73"/>
      <c r="DSP39" s="73"/>
      <c r="DSQ39" s="73"/>
      <c r="DSR39" s="73"/>
      <c r="DSS39" s="73"/>
      <c r="DST39" s="73"/>
      <c r="DSU39" s="73"/>
      <c r="DSV39" s="73"/>
      <c r="DSW39" s="73"/>
      <c r="DSX39" s="73"/>
      <c r="DSY39" s="73"/>
      <c r="DSZ39" s="73"/>
      <c r="DTA39" s="73"/>
      <c r="DTB39" s="73"/>
      <c r="DTC39" s="73"/>
      <c r="DTD39" s="73"/>
      <c r="DTE39" s="73"/>
      <c r="DTF39" s="73"/>
      <c r="DTG39" s="73"/>
      <c r="DTH39" s="73"/>
      <c r="DTI39" s="73"/>
      <c r="DTJ39" s="73"/>
      <c r="DTK39" s="73"/>
      <c r="DTL39" s="73"/>
      <c r="DTM39" s="73"/>
      <c r="DTN39" s="73"/>
      <c r="DTO39" s="73"/>
      <c r="DTP39" s="73"/>
      <c r="DTQ39" s="73"/>
      <c r="DTR39" s="73"/>
      <c r="DTS39" s="73"/>
      <c r="DTT39" s="73"/>
      <c r="DTU39" s="73"/>
      <c r="DTV39" s="73"/>
      <c r="DTW39" s="73"/>
      <c r="DTX39" s="73"/>
      <c r="DTY39" s="73"/>
      <c r="DTZ39" s="73"/>
      <c r="DUA39" s="73"/>
      <c r="DUB39" s="73"/>
      <c r="DUC39" s="73"/>
      <c r="DUD39" s="73"/>
      <c r="DUE39" s="73"/>
      <c r="DUF39" s="73"/>
      <c r="DUG39" s="73"/>
      <c r="DUH39" s="73"/>
      <c r="DUI39" s="73"/>
      <c r="DUJ39" s="73"/>
      <c r="DUK39" s="73"/>
      <c r="DUL39" s="73"/>
      <c r="DUM39" s="73"/>
      <c r="DUN39" s="73"/>
      <c r="DUO39" s="73"/>
      <c r="DUP39" s="73"/>
      <c r="DUQ39" s="73"/>
      <c r="DUR39" s="73"/>
      <c r="DUS39" s="73"/>
      <c r="DUT39" s="73"/>
      <c r="DUU39" s="73"/>
      <c r="DUV39" s="73"/>
      <c r="DUW39" s="73"/>
      <c r="DUX39" s="73"/>
      <c r="DUY39" s="73"/>
      <c r="DUZ39" s="73"/>
      <c r="DVA39" s="73"/>
      <c r="DVB39" s="73"/>
      <c r="DVC39" s="73"/>
      <c r="DVD39" s="73"/>
      <c r="DVE39" s="73"/>
      <c r="DVF39" s="73"/>
      <c r="DVG39" s="73"/>
      <c r="DVH39" s="73"/>
      <c r="DVI39" s="73"/>
      <c r="DVJ39" s="73"/>
      <c r="DVK39" s="73"/>
      <c r="DVL39" s="73"/>
      <c r="DVM39" s="73"/>
      <c r="DVN39" s="73"/>
      <c r="DVO39" s="73"/>
      <c r="DVP39" s="73"/>
      <c r="DVQ39" s="73"/>
      <c r="DVR39" s="73"/>
      <c r="DVS39" s="73"/>
      <c r="DVT39" s="73"/>
      <c r="DVU39" s="73"/>
      <c r="DVV39" s="73"/>
      <c r="DVW39" s="73"/>
      <c r="DVX39" s="73"/>
      <c r="DVY39" s="73"/>
      <c r="DVZ39" s="73"/>
      <c r="DWA39" s="73"/>
      <c r="DWB39" s="73"/>
      <c r="DWC39" s="73"/>
      <c r="DWD39" s="73"/>
      <c r="DWE39" s="73"/>
      <c r="DWF39" s="73"/>
      <c r="DWG39" s="73"/>
      <c r="DWH39" s="73"/>
      <c r="DWI39" s="73"/>
      <c r="DWJ39" s="73"/>
      <c r="DWK39" s="73"/>
      <c r="DWL39" s="73"/>
      <c r="DWM39" s="73"/>
      <c r="DWN39" s="73"/>
      <c r="DWO39" s="73"/>
      <c r="DWP39" s="73"/>
      <c r="DWQ39" s="73"/>
      <c r="DWR39" s="73"/>
      <c r="DWS39" s="73"/>
      <c r="DWT39" s="73"/>
      <c r="DWU39" s="73"/>
      <c r="DWV39" s="73"/>
      <c r="DWW39" s="73"/>
      <c r="DWX39" s="73"/>
      <c r="DWY39" s="73"/>
      <c r="DWZ39" s="73"/>
      <c r="DXA39" s="73"/>
      <c r="DXB39" s="73"/>
      <c r="DXC39" s="73"/>
      <c r="DXD39" s="73"/>
      <c r="DXE39" s="73"/>
      <c r="DXF39" s="73"/>
      <c r="DXG39" s="73"/>
      <c r="DXH39" s="73"/>
      <c r="DXI39" s="73"/>
      <c r="DXJ39" s="73"/>
      <c r="DXK39" s="73"/>
      <c r="DXL39" s="73"/>
      <c r="DXM39" s="73"/>
      <c r="DXN39" s="73"/>
      <c r="DXO39" s="73"/>
      <c r="DXP39" s="73"/>
      <c r="DXQ39" s="73"/>
      <c r="DXR39" s="73"/>
      <c r="DXS39" s="73"/>
      <c r="DXT39" s="73"/>
      <c r="DXU39" s="73"/>
      <c r="DXV39" s="73"/>
      <c r="DXW39" s="73"/>
      <c r="DXX39" s="73"/>
      <c r="DXY39" s="73"/>
      <c r="DXZ39" s="73"/>
      <c r="DYA39" s="73"/>
      <c r="DYB39" s="73"/>
      <c r="DYC39" s="73"/>
      <c r="DYD39" s="73"/>
      <c r="DYE39" s="73"/>
      <c r="DYF39" s="73"/>
      <c r="DYG39" s="73"/>
      <c r="DYH39" s="73"/>
      <c r="DYI39" s="73"/>
      <c r="DYJ39" s="73"/>
      <c r="DYK39" s="73"/>
      <c r="DYL39" s="73"/>
      <c r="DYM39" s="73"/>
      <c r="DYN39" s="73"/>
      <c r="DYO39" s="73"/>
      <c r="DYP39" s="73"/>
      <c r="DYQ39" s="73"/>
      <c r="DYR39" s="73"/>
      <c r="DYS39" s="73"/>
      <c r="DYT39" s="73"/>
      <c r="DYU39" s="73"/>
      <c r="DYV39" s="73"/>
      <c r="DYW39" s="73"/>
      <c r="DYX39" s="73"/>
      <c r="DYY39" s="73"/>
      <c r="DYZ39" s="73"/>
      <c r="DZA39" s="73"/>
      <c r="DZB39" s="73"/>
      <c r="DZC39" s="73"/>
      <c r="DZD39" s="73"/>
      <c r="DZE39" s="73"/>
      <c r="DZF39" s="73"/>
      <c r="DZG39" s="73"/>
      <c r="DZH39" s="73"/>
      <c r="DZI39" s="73"/>
      <c r="DZJ39" s="73"/>
      <c r="DZK39" s="73"/>
      <c r="DZL39" s="73"/>
      <c r="DZM39" s="73"/>
      <c r="DZN39" s="73"/>
      <c r="DZO39" s="73"/>
      <c r="DZP39" s="73"/>
      <c r="DZQ39" s="73"/>
      <c r="DZR39" s="73"/>
      <c r="DZS39" s="73"/>
      <c r="DZT39" s="73"/>
      <c r="DZU39" s="73"/>
      <c r="DZV39" s="73"/>
      <c r="DZW39" s="73"/>
      <c r="DZX39" s="73"/>
      <c r="DZY39" s="73"/>
      <c r="DZZ39" s="73"/>
      <c r="EAA39" s="73"/>
      <c r="EAB39" s="73"/>
      <c r="EAC39" s="73"/>
      <c r="EAD39" s="73"/>
      <c r="EAE39" s="73"/>
      <c r="EAF39" s="73"/>
      <c r="EAG39" s="73"/>
      <c r="EAH39" s="73"/>
      <c r="EAI39" s="73"/>
      <c r="EAJ39" s="73"/>
      <c r="EAK39" s="73"/>
      <c r="EAL39" s="73"/>
      <c r="EAM39" s="73"/>
      <c r="EAN39" s="73"/>
      <c r="EAO39" s="73"/>
      <c r="EAP39" s="73"/>
      <c r="EAQ39" s="73"/>
      <c r="EAR39" s="73"/>
      <c r="EAS39" s="73"/>
      <c r="EAT39" s="73"/>
      <c r="EAU39" s="73"/>
      <c r="EAV39" s="73"/>
      <c r="EAW39" s="73"/>
      <c r="EAX39" s="73"/>
      <c r="EAY39" s="73"/>
      <c r="EAZ39" s="73"/>
      <c r="EBA39" s="73"/>
      <c r="EBB39" s="73"/>
      <c r="EBC39" s="73"/>
      <c r="EBD39" s="73"/>
      <c r="EBE39" s="73"/>
      <c r="EBF39" s="73"/>
      <c r="EBG39" s="73"/>
      <c r="EBH39" s="73"/>
      <c r="EBI39" s="73"/>
      <c r="EBJ39" s="73"/>
      <c r="EBK39" s="73"/>
      <c r="EBL39" s="73"/>
      <c r="EBM39" s="73"/>
      <c r="EBN39" s="73"/>
      <c r="EBO39" s="73"/>
      <c r="EBP39" s="73"/>
      <c r="EBQ39" s="73"/>
      <c r="EBR39" s="73"/>
      <c r="EBS39" s="73"/>
      <c r="EBT39" s="73"/>
      <c r="EBU39" s="73"/>
      <c r="EBV39" s="73"/>
      <c r="EBW39" s="73"/>
      <c r="EBX39" s="73"/>
      <c r="EBY39" s="73"/>
      <c r="EBZ39" s="73"/>
      <c r="ECA39" s="73"/>
      <c r="ECB39" s="73"/>
      <c r="ECC39" s="73"/>
      <c r="ECD39" s="73"/>
      <c r="ECE39" s="73"/>
      <c r="ECF39" s="73"/>
      <c r="ECG39" s="73"/>
      <c r="ECH39" s="73"/>
      <c r="ECI39" s="73"/>
      <c r="ECJ39" s="73"/>
      <c r="ECK39" s="73"/>
      <c r="ECL39" s="73"/>
      <c r="ECM39" s="73"/>
      <c r="ECN39" s="73"/>
      <c r="ECO39" s="73"/>
      <c r="ECP39" s="73"/>
      <c r="ECQ39" s="73"/>
      <c r="ECR39" s="73"/>
      <c r="ECS39" s="73"/>
      <c r="ECT39" s="73"/>
      <c r="ECU39" s="73"/>
      <c r="ECV39" s="73"/>
      <c r="ECW39" s="73"/>
      <c r="ECX39" s="73"/>
      <c r="ECY39" s="73"/>
      <c r="ECZ39" s="73"/>
      <c r="EDA39" s="73"/>
      <c r="EDB39" s="73"/>
      <c r="EDC39" s="73"/>
      <c r="EDD39" s="73"/>
      <c r="EDE39" s="73"/>
      <c r="EDF39" s="73"/>
      <c r="EDG39" s="73"/>
      <c r="EDH39" s="73"/>
      <c r="EDI39" s="73"/>
      <c r="EDJ39" s="73"/>
      <c r="EDK39" s="73"/>
      <c r="EDL39" s="73"/>
      <c r="EDM39" s="73"/>
      <c r="EDN39" s="73"/>
      <c r="EDO39" s="73"/>
      <c r="EDP39" s="73"/>
      <c r="EDQ39" s="73"/>
      <c r="EDR39" s="73"/>
      <c r="EDS39" s="73"/>
      <c r="EDT39" s="73"/>
      <c r="EDU39" s="73"/>
      <c r="EDV39" s="73"/>
      <c r="EDW39" s="73"/>
      <c r="EDX39" s="73"/>
      <c r="EDY39" s="73"/>
      <c r="EDZ39" s="73"/>
      <c r="EEA39" s="73"/>
      <c r="EEB39" s="73"/>
      <c r="EEC39" s="73"/>
      <c r="EED39" s="73"/>
      <c r="EEE39" s="73"/>
      <c r="EEF39" s="73"/>
      <c r="EEG39" s="73"/>
      <c r="EEH39" s="73"/>
      <c r="EEI39" s="73"/>
      <c r="EEJ39" s="73"/>
      <c r="EEK39" s="73"/>
      <c r="EEL39" s="73"/>
      <c r="EEM39" s="73"/>
      <c r="EEN39" s="73"/>
      <c r="EEO39" s="73"/>
      <c r="EEP39" s="73"/>
      <c r="EEQ39" s="73"/>
      <c r="EER39" s="73"/>
      <c r="EES39" s="73"/>
      <c r="EET39" s="73"/>
      <c r="EEU39" s="73"/>
      <c r="EEV39" s="73"/>
      <c r="EEW39" s="73"/>
      <c r="EEX39" s="73"/>
      <c r="EEY39" s="73"/>
      <c r="EEZ39" s="73"/>
      <c r="EFA39" s="73"/>
      <c r="EFB39" s="73"/>
      <c r="EFC39" s="73"/>
      <c r="EFD39" s="73"/>
      <c r="EFE39" s="73"/>
      <c r="EFF39" s="73"/>
      <c r="EFG39" s="73"/>
      <c r="EFH39" s="73"/>
      <c r="EFI39" s="73"/>
      <c r="EFJ39" s="73"/>
      <c r="EFK39" s="73"/>
      <c r="EFL39" s="73"/>
      <c r="EFM39" s="73"/>
      <c r="EFN39" s="73"/>
      <c r="EFO39" s="73"/>
      <c r="EFP39" s="73"/>
      <c r="EFQ39" s="73"/>
      <c r="EFR39" s="73"/>
      <c r="EFS39" s="73"/>
      <c r="EFT39" s="73"/>
      <c r="EFU39" s="73"/>
      <c r="EFV39" s="73"/>
      <c r="EFW39" s="73"/>
      <c r="EFX39" s="73"/>
      <c r="EFY39" s="73"/>
      <c r="EFZ39" s="73"/>
      <c r="EGA39" s="73"/>
      <c r="EGB39" s="73"/>
      <c r="EGC39" s="73"/>
      <c r="EGD39" s="73"/>
      <c r="EGE39" s="73"/>
      <c r="EGF39" s="73"/>
      <c r="EGG39" s="73"/>
      <c r="EGH39" s="73"/>
      <c r="EGI39" s="73"/>
      <c r="EGJ39" s="73"/>
      <c r="EGK39" s="73"/>
      <c r="EGL39" s="73"/>
      <c r="EGM39" s="73"/>
      <c r="EGN39" s="73"/>
      <c r="EGO39" s="73"/>
      <c r="EGP39" s="73"/>
      <c r="EGQ39" s="73"/>
      <c r="EGR39" s="73"/>
      <c r="EGS39" s="73"/>
      <c r="EGT39" s="73"/>
      <c r="EGU39" s="73"/>
      <c r="EGV39" s="73"/>
      <c r="EGW39" s="73"/>
      <c r="EGX39" s="73"/>
      <c r="EGY39" s="73"/>
      <c r="EGZ39" s="73"/>
      <c r="EHA39" s="73"/>
      <c r="EHB39" s="73"/>
      <c r="EHC39" s="73"/>
      <c r="EHD39" s="73"/>
      <c r="EHE39" s="73"/>
      <c r="EHF39" s="73"/>
      <c r="EHG39" s="73"/>
      <c r="EHH39" s="73"/>
      <c r="EHI39" s="73"/>
      <c r="EHJ39" s="73"/>
      <c r="EHK39" s="73"/>
      <c r="EHL39" s="73"/>
      <c r="EHM39" s="73"/>
      <c r="EHN39" s="73"/>
      <c r="EHO39" s="73"/>
      <c r="EHP39" s="73"/>
      <c r="EHQ39" s="73"/>
      <c r="EHR39" s="73"/>
      <c r="EHS39" s="73"/>
      <c r="EHT39" s="73"/>
      <c r="EHU39" s="73"/>
      <c r="EHV39" s="73"/>
      <c r="EHW39" s="73"/>
      <c r="EHX39" s="73"/>
      <c r="EHY39" s="73"/>
      <c r="EHZ39" s="73"/>
      <c r="EIA39" s="73"/>
      <c r="EIB39" s="73"/>
      <c r="EIC39" s="73"/>
      <c r="EID39" s="73"/>
      <c r="EIE39" s="73"/>
      <c r="EIF39" s="73"/>
      <c r="EIG39" s="73"/>
      <c r="EIH39" s="73"/>
      <c r="EII39" s="73"/>
      <c r="EIJ39" s="73"/>
      <c r="EIK39" s="73"/>
      <c r="EIL39" s="73"/>
      <c r="EIM39" s="73"/>
      <c r="EIN39" s="73"/>
      <c r="EIO39" s="73"/>
      <c r="EIP39" s="73"/>
      <c r="EIQ39" s="73"/>
      <c r="EIR39" s="73"/>
      <c r="EIS39" s="73"/>
      <c r="EIT39" s="73"/>
      <c r="EIU39" s="73"/>
      <c r="EIV39" s="73"/>
      <c r="EIW39" s="73"/>
      <c r="EIX39" s="73"/>
      <c r="EIY39" s="73"/>
      <c r="EIZ39" s="73"/>
      <c r="EJA39" s="73"/>
      <c r="EJB39" s="73"/>
      <c r="EJC39" s="73"/>
      <c r="EJD39" s="73"/>
      <c r="EJE39" s="73"/>
      <c r="EJF39" s="73"/>
      <c r="EJG39" s="73"/>
      <c r="EJH39" s="73"/>
      <c r="EJI39" s="73"/>
      <c r="EJJ39" s="73"/>
      <c r="EJK39" s="73"/>
      <c r="EJL39" s="73"/>
      <c r="EJM39" s="73"/>
      <c r="EJN39" s="73"/>
      <c r="EJO39" s="73"/>
      <c r="EJP39" s="73"/>
      <c r="EJQ39" s="73"/>
      <c r="EJR39" s="73"/>
      <c r="EJS39" s="73"/>
      <c r="EJT39" s="73"/>
      <c r="EJU39" s="73"/>
      <c r="EJV39" s="73"/>
      <c r="EJW39" s="73"/>
      <c r="EJX39" s="73"/>
      <c r="EJY39" s="73"/>
      <c r="EJZ39" s="73"/>
      <c r="EKA39" s="73"/>
      <c r="EKB39" s="73"/>
      <c r="EKC39" s="73"/>
      <c r="EKD39" s="73"/>
      <c r="EKE39" s="73"/>
      <c r="EKF39" s="73"/>
      <c r="EKG39" s="73"/>
      <c r="EKH39" s="73"/>
      <c r="EKI39" s="73"/>
      <c r="EKJ39" s="73"/>
      <c r="EKK39" s="73"/>
      <c r="EKL39" s="73"/>
      <c r="EKM39" s="73"/>
      <c r="EKN39" s="73"/>
      <c r="EKO39" s="73"/>
      <c r="EKP39" s="73"/>
      <c r="EKQ39" s="73"/>
      <c r="EKR39" s="73"/>
      <c r="EKS39" s="73"/>
      <c r="EKT39" s="73"/>
      <c r="EKU39" s="73"/>
      <c r="EKV39" s="73"/>
      <c r="EKW39" s="73"/>
      <c r="EKX39" s="73"/>
      <c r="EKY39" s="73"/>
      <c r="EKZ39" s="73"/>
      <c r="ELA39" s="73"/>
      <c r="ELB39" s="73"/>
      <c r="ELC39" s="73"/>
      <c r="ELD39" s="73"/>
      <c r="ELE39" s="73"/>
      <c r="ELF39" s="73"/>
      <c r="ELG39" s="73"/>
      <c r="ELH39" s="73"/>
      <c r="ELI39" s="73"/>
      <c r="ELJ39" s="73"/>
      <c r="ELK39" s="73"/>
      <c r="ELL39" s="73"/>
      <c r="ELM39" s="73"/>
      <c r="ELN39" s="73"/>
      <c r="ELO39" s="73"/>
      <c r="ELP39" s="73"/>
      <c r="ELQ39" s="73"/>
      <c r="ELR39" s="73"/>
      <c r="ELS39" s="73"/>
      <c r="ELT39" s="73"/>
      <c r="ELU39" s="73"/>
      <c r="ELV39" s="73"/>
      <c r="ELW39" s="73"/>
      <c r="ELX39" s="73"/>
      <c r="ELY39" s="73"/>
      <c r="ELZ39" s="73"/>
      <c r="EMA39" s="73"/>
      <c r="EMB39" s="73"/>
      <c r="EMC39" s="73"/>
      <c r="EMD39" s="73"/>
      <c r="EME39" s="73"/>
      <c r="EMF39" s="73"/>
      <c r="EMG39" s="73"/>
      <c r="EMH39" s="73"/>
      <c r="EMI39" s="73"/>
      <c r="EMJ39" s="73"/>
      <c r="EMK39" s="73"/>
      <c r="EML39" s="73"/>
      <c r="EMM39" s="73"/>
      <c r="EMN39" s="73"/>
      <c r="EMO39" s="73"/>
      <c r="EMP39" s="73"/>
      <c r="EMQ39" s="73"/>
      <c r="EMR39" s="73"/>
      <c r="EMS39" s="73"/>
      <c r="EMT39" s="73"/>
      <c r="EMU39" s="73"/>
      <c r="EMV39" s="73"/>
      <c r="EMW39" s="73"/>
      <c r="EMX39" s="73"/>
      <c r="EMY39" s="73"/>
      <c r="EMZ39" s="73"/>
      <c r="ENA39" s="73"/>
      <c r="ENB39" s="73"/>
      <c r="ENC39" s="73"/>
      <c r="END39" s="73"/>
      <c r="ENE39" s="73"/>
      <c r="ENF39" s="73"/>
      <c r="ENG39" s="73"/>
      <c r="ENH39" s="73"/>
      <c r="ENI39" s="73"/>
      <c r="ENJ39" s="73"/>
      <c r="ENK39" s="73"/>
      <c r="ENL39" s="73"/>
      <c r="ENM39" s="73"/>
      <c r="ENN39" s="73"/>
      <c r="ENO39" s="73"/>
      <c r="ENP39" s="73"/>
      <c r="ENQ39" s="73"/>
      <c r="ENR39" s="73"/>
      <c r="ENS39" s="73"/>
      <c r="ENT39" s="73"/>
      <c r="ENU39" s="73"/>
      <c r="ENV39" s="73"/>
      <c r="ENW39" s="73"/>
      <c r="ENX39" s="73"/>
      <c r="ENY39" s="73"/>
      <c r="ENZ39" s="73"/>
      <c r="EOA39" s="73"/>
      <c r="EOB39" s="73"/>
      <c r="EOC39" s="73"/>
      <c r="EOD39" s="73"/>
      <c r="EOE39" s="73"/>
      <c r="EOF39" s="73"/>
      <c r="EOG39" s="73"/>
      <c r="EOH39" s="73"/>
      <c r="EOI39" s="73"/>
      <c r="EOJ39" s="73"/>
      <c r="EOK39" s="73"/>
      <c r="EOL39" s="73"/>
      <c r="EOM39" s="73"/>
      <c r="EON39" s="73"/>
      <c r="EOO39" s="73"/>
      <c r="EOP39" s="73"/>
      <c r="EOQ39" s="73"/>
      <c r="EOR39" s="73"/>
      <c r="EOS39" s="73"/>
      <c r="EOT39" s="73"/>
      <c r="EOU39" s="73"/>
      <c r="EOV39" s="73"/>
      <c r="EOW39" s="73"/>
      <c r="EOX39" s="73"/>
      <c r="EOY39" s="73"/>
      <c r="EOZ39" s="73"/>
      <c r="EPA39" s="73"/>
      <c r="EPB39" s="73"/>
      <c r="EPC39" s="73"/>
      <c r="EPD39" s="73"/>
      <c r="EPE39" s="73"/>
      <c r="EPF39" s="73"/>
      <c r="EPG39" s="73"/>
      <c r="EPH39" s="73"/>
      <c r="EPI39" s="73"/>
      <c r="EPJ39" s="73"/>
      <c r="EPK39" s="73"/>
      <c r="EPL39" s="73"/>
      <c r="EPM39" s="73"/>
      <c r="EPN39" s="73"/>
      <c r="EPO39" s="73"/>
      <c r="EPP39" s="73"/>
      <c r="EPQ39" s="73"/>
      <c r="EPR39" s="73"/>
      <c r="EPS39" s="73"/>
      <c r="EPT39" s="73"/>
      <c r="EPU39" s="73"/>
      <c r="EPV39" s="73"/>
      <c r="EPW39" s="73"/>
      <c r="EPX39" s="73"/>
      <c r="EPY39" s="73"/>
      <c r="EPZ39" s="73"/>
      <c r="EQA39" s="73"/>
      <c r="EQB39" s="73"/>
      <c r="EQC39" s="73"/>
      <c r="EQD39" s="73"/>
      <c r="EQE39" s="73"/>
      <c r="EQF39" s="73"/>
      <c r="EQG39" s="73"/>
      <c r="EQH39" s="73"/>
      <c r="EQI39" s="73"/>
      <c r="EQJ39" s="73"/>
      <c r="EQK39" s="73"/>
      <c r="EQL39" s="73"/>
      <c r="EQM39" s="73"/>
      <c r="EQN39" s="73"/>
      <c r="EQO39" s="73"/>
      <c r="EQP39" s="73"/>
      <c r="EQQ39" s="73"/>
      <c r="EQR39" s="73"/>
      <c r="EQS39" s="73"/>
      <c r="EQT39" s="73"/>
      <c r="EQU39" s="73"/>
      <c r="EQV39" s="73"/>
      <c r="EQW39" s="73"/>
      <c r="EQX39" s="73"/>
      <c r="EQY39" s="73"/>
      <c r="EQZ39" s="73"/>
      <c r="ERA39" s="73"/>
      <c r="ERB39" s="73"/>
      <c r="ERC39" s="73"/>
      <c r="ERD39" s="73"/>
      <c r="ERE39" s="73"/>
      <c r="ERF39" s="73"/>
      <c r="ERG39" s="73"/>
      <c r="ERH39" s="73"/>
      <c r="ERI39" s="73"/>
      <c r="ERJ39" s="73"/>
      <c r="ERK39" s="73"/>
      <c r="ERL39" s="73"/>
      <c r="ERM39" s="73"/>
      <c r="ERN39" s="73"/>
      <c r="ERO39" s="73"/>
      <c r="ERP39" s="73"/>
      <c r="ERQ39" s="73"/>
      <c r="ERR39" s="73"/>
      <c r="ERS39" s="73"/>
      <c r="ERT39" s="73"/>
      <c r="ERU39" s="73"/>
      <c r="ERV39" s="73"/>
      <c r="ERW39" s="73"/>
      <c r="ERX39" s="73"/>
      <c r="ERY39" s="73"/>
      <c r="ERZ39" s="73"/>
      <c r="ESA39" s="73"/>
      <c r="ESB39" s="73"/>
      <c r="ESC39" s="73"/>
      <c r="ESD39" s="73"/>
      <c r="ESE39" s="73"/>
      <c r="ESF39" s="73"/>
      <c r="ESG39" s="73"/>
      <c r="ESH39" s="73"/>
      <c r="ESI39" s="73"/>
      <c r="ESJ39" s="73"/>
      <c r="ESK39" s="73"/>
      <c r="ESL39" s="73"/>
      <c r="ESM39" s="73"/>
      <c r="ESN39" s="73"/>
      <c r="ESO39" s="73"/>
      <c r="ESP39" s="73"/>
      <c r="ESQ39" s="73"/>
      <c r="ESR39" s="73"/>
      <c r="ESS39" s="73"/>
      <c r="EST39" s="73"/>
      <c r="ESU39" s="73"/>
      <c r="ESV39" s="73"/>
      <c r="ESW39" s="73"/>
      <c r="ESX39" s="73"/>
      <c r="ESY39" s="73"/>
      <c r="ESZ39" s="73"/>
      <c r="ETA39" s="73"/>
      <c r="ETB39" s="73"/>
      <c r="ETC39" s="73"/>
      <c r="ETD39" s="73"/>
      <c r="ETE39" s="73"/>
      <c r="ETF39" s="73"/>
      <c r="ETG39" s="73"/>
      <c r="ETH39" s="73"/>
      <c r="ETI39" s="73"/>
      <c r="ETJ39" s="73"/>
      <c r="ETK39" s="73"/>
      <c r="ETL39" s="73"/>
      <c r="ETM39" s="73"/>
      <c r="ETN39" s="73"/>
      <c r="ETO39" s="73"/>
      <c r="ETP39" s="73"/>
      <c r="ETQ39" s="73"/>
      <c r="ETR39" s="73"/>
      <c r="ETS39" s="73"/>
      <c r="ETT39" s="73"/>
      <c r="ETU39" s="73"/>
      <c r="ETV39" s="73"/>
      <c r="ETW39" s="73"/>
      <c r="ETX39" s="73"/>
      <c r="ETY39" s="73"/>
      <c r="ETZ39" s="73"/>
      <c r="EUA39" s="73"/>
      <c r="EUB39" s="73"/>
      <c r="EUC39" s="73"/>
      <c r="EUD39" s="73"/>
      <c r="EUE39" s="73"/>
      <c r="EUF39" s="73"/>
      <c r="EUG39" s="73"/>
      <c r="EUH39" s="73"/>
      <c r="EUI39" s="73"/>
      <c r="EUJ39" s="73"/>
      <c r="EUK39" s="73"/>
      <c r="EUL39" s="73"/>
      <c r="EUM39" s="73"/>
      <c r="EUN39" s="73"/>
      <c r="EUO39" s="73"/>
      <c r="EUP39" s="73"/>
      <c r="EUQ39" s="73"/>
      <c r="EUR39" s="73"/>
      <c r="EUS39" s="73"/>
      <c r="EUT39" s="73"/>
      <c r="EUU39" s="73"/>
      <c r="EUV39" s="73"/>
      <c r="EUW39" s="73"/>
      <c r="EUX39" s="73"/>
      <c r="EUY39" s="73"/>
      <c r="EUZ39" s="73"/>
      <c r="EVA39" s="73"/>
      <c r="EVB39" s="73"/>
      <c r="EVC39" s="73"/>
      <c r="EVD39" s="73"/>
      <c r="EVE39" s="73"/>
      <c r="EVF39" s="73"/>
      <c r="EVG39" s="73"/>
      <c r="EVH39" s="73"/>
      <c r="EVI39" s="73"/>
      <c r="EVJ39" s="73"/>
      <c r="EVK39" s="73"/>
      <c r="EVL39" s="73"/>
      <c r="EVM39" s="73"/>
      <c r="EVN39" s="73"/>
      <c r="EVO39" s="73"/>
      <c r="EVP39" s="73"/>
      <c r="EVQ39" s="73"/>
      <c r="EVR39" s="73"/>
      <c r="EVS39" s="73"/>
      <c r="EVT39" s="73"/>
      <c r="EVU39" s="73"/>
      <c r="EVV39" s="73"/>
      <c r="EVW39" s="73"/>
      <c r="EVX39" s="73"/>
      <c r="EVY39" s="73"/>
      <c r="EVZ39" s="73"/>
      <c r="EWA39" s="73"/>
      <c r="EWB39" s="73"/>
      <c r="EWC39" s="73"/>
      <c r="EWD39" s="73"/>
      <c r="EWE39" s="73"/>
      <c r="EWF39" s="73"/>
      <c r="EWG39" s="73"/>
      <c r="EWH39" s="73"/>
      <c r="EWI39" s="73"/>
      <c r="EWJ39" s="73"/>
      <c r="EWK39" s="73"/>
      <c r="EWL39" s="73"/>
      <c r="EWM39" s="73"/>
      <c r="EWN39" s="73"/>
      <c r="EWO39" s="73"/>
      <c r="EWP39" s="73"/>
      <c r="EWQ39" s="73"/>
      <c r="EWR39" s="73"/>
      <c r="EWS39" s="73"/>
      <c r="EWT39" s="73"/>
      <c r="EWU39" s="73"/>
      <c r="EWV39" s="73"/>
      <c r="EWW39" s="73"/>
      <c r="EWX39" s="73"/>
      <c r="EWY39" s="73"/>
      <c r="EWZ39" s="73"/>
      <c r="EXA39" s="73"/>
      <c r="EXB39" s="73"/>
      <c r="EXC39" s="73"/>
      <c r="EXD39" s="73"/>
      <c r="EXE39" s="73"/>
      <c r="EXF39" s="73"/>
      <c r="EXG39" s="73"/>
      <c r="EXH39" s="73"/>
      <c r="EXI39" s="73"/>
      <c r="EXJ39" s="73"/>
      <c r="EXK39" s="73"/>
      <c r="EXL39" s="73"/>
      <c r="EXM39" s="73"/>
      <c r="EXN39" s="73"/>
      <c r="EXO39" s="73"/>
      <c r="EXP39" s="73"/>
      <c r="EXQ39" s="73"/>
      <c r="EXR39" s="73"/>
      <c r="EXS39" s="73"/>
      <c r="EXT39" s="73"/>
      <c r="EXU39" s="73"/>
      <c r="EXV39" s="73"/>
      <c r="EXW39" s="73"/>
      <c r="EXX39" s="73"/>
      <c r="EXY39" s="73"/>
      <c r="EXZ39" s="73"/>
      <c r="EYA39" s="73"/>
      <c r="EYB39" s="73"/>
      <c r="EYC39" s="73"/>
      <c r="EYD39" s="73"/>
      <c r="EYE39" s="73"/>
      <c r="EYF39" s="73"/>
      <c r="EYG39" s="73"/>
      <c r="EYH39" s="73"/>
      <c r="EYI39" s="73"/>
      <c r="EYJ39" s="73"/>
      <c r="EYK39" s="73"/>
      <c r="EYL39" s="73"/>
      <c r="EYM39" s="73"/>
      <c r="EYN39" s="73"/>
      <c r="EYO39" s="73"/>
      <c r="EYP39" s="73"/>
      <c r="EYQ39" s="73"/>
      <c r="EYR39" s="73"/>
      <c r="EYS39" s="73"/>
      <c r="EYT39" s="73"/>
      <c r="EYU39" s="73"/>
      <c r="EYV39" s="73"/>
      <c r="EYW39" s="73"/>
      <c r="EYX39" s="73"/>
      <c r="EYY39" s="73"/>
      <c r="EYZ39" s="73"/>
      <c r="EZA39" s="73"/>
      <c r="EZB39" s="73"/>
      <c r="EZC39" s="73"/>
      <c r="EZD39" s="73"/>
      <c r="EZE39" s="73"/>
      <c r="EZF39" s="73"/>
      <c r="EZG39" s="73"/>
      <c r="EZH39" s="73"/>
      <c r="EZI39" s="73"/>
      <c r="EZJ39" s="73"/>
      <c r="EZK39" s="73"/>
      <c r="EZL39" s="73"/>
      <c r="EZM39" s="73"/>
      <c r="EZN39" s="73"/>
      <c r="EZO39" s="73"/>
      <c r="EZP39" s="73"/>
      <c r="EZQ39" s="73"/>
      <c r="EZR39" s="73"/>
      <c r="EZS39" s="73"/>
      <c r="EZT39" s="73"/>
      <c r="EZU39" s="73"/>
      <c r="EZV39" s="73"/>
      <c r="EZW39" s="73"/>
      <c r="EZX39" s="73"/>
      <c r="EZY39" s="73"/>
      <c r="EZZ39" s="73"/>
      <c r="FAA39" s="73"/>
      <c r="FAB39" s="73"/>
      <c r="FAC39" s="73"/>
      <c r="FAD39" s="73"/>
      <c r="FAE39" s="73"/>
      <c r="FAF39" s="73"/>
      <c r="FAG39" s="73"/>
      <c r="FAH39" s="73"/>
      <c r="FAI39" s="73"/>
      <c r="FAJ39" s="73"/>
      <c r="FAK39" s="73"/>
      <c r="FAL39" s="73"/>
      <c r="FAM39" s="73"/>
      <c r="FAN39" s="73"/>
      <c r="FAO39" s="73"/>
      <c r="FAP39" s="73"/>
      <c r="FAQ39" s="73"/>
      <c r="FAR39" s="73"/>
      <c r="FAS39" s="73"/>
      <c r="FAT39" s="73"/>
      <c r="FAU39" s="73"/>
      <c r="FAV39" s="73"/>
      <c r="FAW39" s="73"/>
      <c r="FAX39" s="73"/>
      <c r="FAY39" s="73"/>
      <c r="FAZ39" s="73"/>
      <c r="FBA39" s="73"/>
      <c r="FBB39" s="73"/>
      <c r="FBC39" s="73"/>
      <c r="FBD39" s="73"/>
      <c r="FBE39" s="73"/>
      <c r="FBF39" s="73"/>
      <c r="FBG39" s="73"/>
      <c r="FBH39" s="73"/>
      <c r="FBI39" s="73"/>
      <c r="FBJ39" s="73"/>
      <c r="FBK39" s="73"/>
      <c r="FBL39" s="73"/>
      <c r="FBM39" s="73"/>
      <c r="FBN39" s="73"/>
      <c r="FBO39" s="73"/>
      <c r="FBP39" s="73"/>
      <c r="FBQ39" s="73"/>
      <c r="FBR39" s="73"/>
      <c r="FBS39" s="73"/>
      <c r="FBT39" s="73"/>
      <c r="FBU39" s="73"/>
      <c r="FBV39" s="73"/>
      <c r="FBW39" s="73"/>
      <c r="FBX39" s="73"/>
      <c r="FBY39" s="73"/>
      <c r="FBZ39" s="73"/>
      <c r="FCA39" s="73"/>
      <c r="FCB39" s="73"/>
      <c r="FCC39" s="73"/>
      <c r="FCD39" s="73"/>
      <c r="FCE39" s="73"/>
      <c r="FCF39" s="73"/>
      <c r="FCG39" s="73"/>
      <c r="FCH39" s="73"/>
      <c r="FCI39" s="73"/>
      <c r="FCJ39" s="73"/>
      <c r="FCK39" s="73"/>
      <c r="FCL39" s="73"/>
      <c r="FCM39" s="73"/>
      <c r="FCN39" s="73"/>
      <c r="FCO39" s="73"/>
      <c r="FCP39" s="73"/>
      <c r="FCQ39" s="73"/>
      <c r="FCR39" s="73"/>
      <c r="FCS39" s="73"/>
      <c r="FCT39" s="73"/>
      <c r="FCU39" s="73"/>
      <c r="FCV39" s="73"/>
      <c r="FCW39" s="73"/>
      <c r="FCX39" s="73"/>
      <c r="FCY39" s="73"/>
      <c r="FCZ39" s="73"/>
      <c r="FDA39" s="73"/>
      <c r="FDB39" s="73"/>
      <c r="FDC39" s="73"/>
      <c r="FDD39" s="73"/>
      <c r="FDE39" s="73"/>
      <c r="FDF39" s="73"/>
      <c r="FDG39" s="73"/>
      <c r="FDH39" s="73"/>
      <c r="FDI39" s="73"/>
      <c r="FDJ39" s="73"/>
      <c r="FDK39" s="73"/>
      <c r="FDL39" s="73"/>
      <c r="FDM39" s="73"/>
      <c r="FDN39" s="73"/>
      <c r="FDO39" s="73"/>
      <c r="FDP39" s="73"/>
      <c r="FDQ39" s="73"/>
      <c r="FDR39" s="73"/>
      <c r="FDS39" s="73"/>
      <c r="FDT39" s="73"/>
      <c r="FDU39" s="73"/>
      <c r="FDV39" s="73"/>
      <c r="FDW39" s="73"/>
      <c r="FDX39" s="73"/>
      <c r="FDY39" s="73"/>
      <c r="FDZ39" s="73"/>
      <c r="FEA39" s="73"/>
      <c r="FEB39" s="73"/>
      <c r="FEC39" s="73"/>
      <c r="FED39" s="73"/>
      <c r="FEE39" s="73"/>
      <c r="FEF39" s="73"/>
      <c r="FEG39" s="73"/>
      <c r="FEH39" s="73"/>
      <c r="FEI39" s="73"/>
      <c r="FEJ39" s="73"/>
      <c r="FEK39" s="73"/>
      <c r="FEL39" s="73"/>
      <c r="FEM39" s="73"/>
      <c r="FEN39" s="73"/>
      <c r="FEO39" s="73"/>
      <c r="FEP39" s="73"/>
      <c r="FEQ39" s="73"/>
      <c r="FER39" s="73"/>
      <c r="FES39" s="73"/>
      <c r="FET39" s="73"/>
      <c r="FEU39" s="73"/>
      <c r="FEV39" s="73"/>
      <c r="FEW39" s="73"/>
      <c r="FEX39" s="73"/>
      <c r="FEY39" s="73"/>
      <c r="FEZ39" s="73"/>
      <c r="FFA39" s="73"/>
      <c r="FFB39" s="73"/>
      <c r="FFC39" s="73"/>
      <c r="FFD39" s="73"/>
      <c r="FFE39" s="73"/>
      <c r="FFF39" s="73"/>
      <c r="FFG39" s="73"/>
      <c r="FFH39" s="73"/>
      <c r="FFI39" s="73"/>
      <c r="FFJ39" s="73"/>
      <c r="FFK39" s="73"/>
      <c r="FFL39" s="73"/>
      <c r="FFM39" s="73"/>
      <c r="FFN39" s="73"/>
      <c r="FFO39" s="73"/>
      <c r="FFP39" s="73"/>
      <c r="FFQ39" s="73"/>
      <c r="FFR39" s="73"/>
      <c r="FFS39" s="73"/>
      <c r="FFT39" s="73"/>
      <c r="FFU39" s="73"/>
      <c r="FFV39" s="73"/>
      <c r="FFW39" s="73"/>
      <c r="FFX39" s="73"/>
      <c r="FFY39" s="73"/>
      <c r="FFZ39" s="73"/>
      <c r="FGA39" s="73"/>
      <c r="FGB39" s="73"/>
      <c r="FGC39" s="73"/>
      <c r="FGD39" s="73"/>
      <c r="FGE39" s="73"/>
      <c r="FGF39" s="73"/>
      <c r="FGG39" s="73"/>
      <c r="FGH39" s="73"/>
      <c r="FGI39" s="73"/>
      <c r="FGJ39" s="73"/>
      <c r="FGK39" s="73"/>
      <c r="FGL39" s="73"/>
      <c r="FGM39" s="73"/>
      <c r="FGN39" s="73"/>
      <c r="FGO39" s="73"/>
      <c r="FGP39" s="73"/>
      <c r="FGQ39" s="73"/>
      <c r="FGR39" s="73"/>
      <c r="FGS39" s="73"/>
      <c r="FGT39" s="73"/>
      <c r="FGU39" s="73"/>
      <c r="FGV39" s="73"/>
      <c r="FGW39" s="73"/>
      <c r="FGX39" s="73"/>
      <c r="FGY39" s="73"/>
      <c r="FGZ39" s="73"/>
      <c r="FHA39" s="73"/>
      <c r="FHB39" s="73"/>
      <c r="FHC39" s="73"/>
      <c r="FHD39" s="73"/>
      <c r="FHE39" s="73"/>
      <c r="FHF39" s="73"/>
      <c r="FHG39" s="73"/>
      <c r="FHH39" s="73"/>
      <c r="FHI39" s="73"/>
      <c r="FHJ39" s="73"/>
      <c r="FHK39" s="73"/>
      <c r="FHL39" s="73"/>
      <c r="FHM39" s="73"/>
      <c r="FHN39" s="73"/>
      <c r="FHO39" s="73"/>
      <c r="FHP39" s="73"/>
      <c r="FHQ39" s="73"/>
      <c r="FHR39" s="73"/>
      <c r="FHS39" s="73"/>
      <c r="FHT39" s="73"/>
      <c r="FHU39" s="73"/>
      <c r="FHV39" s="73"/>
      <c r="FHW39" s="73"/>
      <c r="FHX39" s="73"/>
      <c r="FHY39" s="73"/>
      <c r="FHZ39" s="73"/>
      <c r="FIA39" s="73"/>
      <c r="FIB39" s="73"/>
      <c r="FIC39" s="73"/>
      <c r="FID39" s="73"/>
      <c r="FIE39" s="73"/>
      <c r="FIF39" s="73"/>
      <c r="FIG39" s="73"/>
      <c r="FIH39" s="73"/>
      <c r="FII39" s="73"/>
      <c r="FIJ39" s="73"/>
      <c r="FIK39" s="73"/>
      <c r="FIL39" s="73"/>
      <c r="FIM39" s="73"/>
      <c r="FIN39" s="73"/>
      <c r="FIO39" s="73"/>
      <c r="FIP39" s="73"/>
      <c r="FIQ39" s="73"/>
      <c r="FIR39" s="73"/>
      <c r="FIS39" s="73"/>
      <c r="FIT39" s="73"/>
      <c r="FIU39" s="73"/>
      <c r="FIV39" s="73"/>
      <c r="FIW39" s="73"/>
      <c r="FIX39" s="73"/>
      <c r="FIY39" s="73"/>
      <c r="FIZ39" s="73"/>
      <c r="FJA39" s="73"/>
      <c r="FJB39" s="73"/>
      <c r="FJC39" s="73"/>
      <c r="FJD39" s="73"/>
      <c r="FJE39" s="73"/>
      <c r="FJF39" s="73"/>
      <c r="FJG39" s="73"/>
      <c r="FJH39" s="73"/>
      <c r="FJI39" s="73"/>
      <c r="FJJ39" s="73"/>
      <c r="FJK39" s="73"/>
      <c r="FJL39" s="73"/>
      <c r="FJM39" s="73"/>
      <c r="FJN39" s="73"/>
      <c r="FJO39" s="73"/>
      <c r="FJP39" s="73"/>
      <c r="FJQ39" s="73"/>
      <c r="FJR39" s="73"/>
      <c r="FJS39" s="73"/>
      <c r="FJT39" s="73"/>
      <c r="FJU39" s="73"/>
      <c r="FJV39" s="73"/>
      <c r="FJW39" s="73"/>
      <c r="FJX39" s="73"/>
      <c r="FJY39" s="73"/>
      <c r="FJZ39" s="73"/>
      <c r="FKA39" s="73"/>
      <c r="FKB39" s="73"/>
      <c r="FKC39" s="73"/>
      <c r="FKD39" s="73"/>
      <c r="FKE39" s="73"/>
      <c r="FKF39" s="73"/>
      <c r="FKG39" s="73"/>
      <c r="FKH39" s="73"/>
      <c r="FKI39" s="73"/>
      <c r="FKJ39" s="73"/>
      <c r="FKK39" s="73"/>
      <c r="FKL39" s="73"/>
      <c r="FKM39" s="73"/>
      <c r="FKN39" s="73"/>
      <c r="FKO39" s="73"/>
      <c r="FKP39" s="73"/>
      <c r="FKQ39" s="73"/>
      <c r="FKR39" s="73"/>
      <c r="FKS39" s="73"/>
      <c r="FKT39" s="73"/>
      <c r="FKU39" s="73"/>
      <c r="FKV39" s="73"/>
      <c r="FKW39" s="73"/>
      <c r="FKX39" s="73"/>
      <c r="FKY39" s="73"/>
      <c r="FKZ39" s="73"/>
      <c r="FLA39" s="73"/>
      <c r="FLB39" s="73"/>
      <c r="FLC39" s="73"/>
      <c r="FLD39" s="73"/>
      <c r="FLE39" s="73"/>
      <c r="FLF39" s="73"/>
      <c r="FLG39" s="73"/>
      <c r="FLH39" s="73"/>
      <c r="FLI39" s="73"/>
      <c r="FLJ39" s="73"/>
      <c r="FLK39" s="73"/>
      <c r="FLL39" s="73"/>
      <c r="FLM39" s="73"/>
      <c r="FLN39" s="73"/>
      <c r="FLO39" s="73"/>
      <c r="FLP39" s="73"/>
      <c r="FLQ39" s="73"/>
      <c r="FLR39" s="73"/>
      <c r="FLS39" s="73"/>
      <c r="FLT39" s="73"/>
      <c r="FLU39" s="73"/>
      <c r="FLV39" s="73"/>
      <c r="FLW39" s="73"/>
      <c r="FLX39" s="73"/>
      <c r="FLY39" s="73"/>
      <c r="FLZ39" s="73"/>
      <c r="FMA39" s="73"/>
      <c r="FMB39" s="73"/>
      <c r="FMC39" s="73"/>
      <c r="FMD39" s="73"/>
      <c r="FME39" s="73"/>
      <c r="FMF39" s="73"/>
      <c r="FMG39" s="73"/>
      <c r="FMH39" s="73"/>
      <c r="FMI39" s="73"/>
      <c r="FMJ39" s="73"/>
      <c r="FMK39" s="73"/>
      <c r="FML39" s="73"/>
      <c r="FMM39" s="73"/>
      <c r="FMN39" s="73"/>
      <c r="FMO39" s="73"/>
      <c r="FMP39" s="73"/>
      <c r="FMQ39" s="73"/>
      <c r="FMR39" s="73"/>
      <c r="FMS39" s="73"/>
      <c r="FMT39" s="73"/>
      <c r="FMU39" s="73"/>
      <c r="FMV39" s="73"/>
      <c r="FMW39" s="73"/>
      <c r="FMX39" s="73"/>
      <c r="FMY39" s="73"/>
      <c r="FMZ39" s="73"/>
      <c r="FNA39" s="73"/>
      <c r="FNB39" s="73"/>
      <c r="FNC39" s="73"/>
      <c r="FND39" s="73"/>
      <c r="FNE39" s="73"/>
      <c r="FNF39" s="73"/>
      <c r="FNG39" s="73"/>
      <c r="FNH39" s="73"/>
      <c r="FNI39" s="73"/>
      <c r="FNJ39" s="73"/>
      <c r="FNK39" s="73"/>
      <c r="FNL39" s="73"/>
      <c r="FNM39" s="73"/>
      <c r="FNN39" s="73"/>
      <c r="FNO39" s="73"/>
      <c r="FNP39" s="73"/>
      <c r="FNQ39" s="73"/>
      <c r="FNR39" s="73"/>
      <c r="FNS39" s="73"/>
      <c r="FNT39" s="73"/>
      <c r="FNU39" s="73"/>
      <c r="FNV39" s="73"/>
      <c r="FNW39" s="73"/>
      <c r="FNX39" s="73"/>
      <c r="FNY39" s="73"/>
      <c r="FNZ39" s="73"/>
      <c r="FOA39" s="73"/>
      <c r="FOB39" s="73"/>
      <c r="FOC39" s="73"/>
      <c r="FOD39" s="73"/>
      <c r="FOE39" s="73"/>
      <c r="FOF39" s="73"/>
      <c r="FOG39" s="73"/>
      <c r="FOH39" s="73"/>
      <c r="FOI39" s="73"/>
      <c r="FOJ39" s="73"/>
      <c r="FOK39" s="73"/>
      <c r="FOL39" s="73"/>
      <c r="FOM39" s="73"/>
      <c r="FON39" s="73"/>
      <c r="FOO39" s="73"/>
      <c r="FOP39" s="73"/>
      <c r="FOQ39" s="73"/>
      <c r="FOR39" s="73"/>
      <c r="FOS39" s="73"/>
      <c r="FOT39" s="73"/>
      <c r="FOU39" s="73"/>
      <c r="FOV39" s="73"/>
      <c r="FOW39" s="73"/>
      <c r="FOX39" s="73"/>
      <c r="FOY39" s="73"/>
      <c r="FOZ39" s="73"/>
      <c r="FPA39" s="73"/>
      <c r="FPB39" s="73"/>
      <c r="FPC39" s="73"/>
      <c r="FPD39" s="73"/>
      <c r="FPE39" s="73"/>
      <c r="FPF39" s="73"/>
      <c r="FPG39" s="73"/>
      <c r="FPH39" s="73"/>
      <c r="FPI39" s="73"/>
      <c r="FPJ39" s="73"/>
      <c r="FPK39" s="73"/>
      <c r="FPL39" s="73"/>
      <c r="FPM39" s="73"/>
      <c r="FPN39" s="73"/>
      <c r="FPO39" s="73"/>
      <c r="FPP39" s="73"/>
      <c r="FPQ39" s="73"/>
      <c r="FPR39" s="73"/>
      <c r="FPS39" s="73"/>
      <c r="FPT39" s="73"/>
      <c r="FPU39" s="73"/>
      <c r="FPV39" s="73"/>
      <c r="FPW39" s="73"/>
      <c r="FPX39" s="73"/>
      <c r="FPY39" s="73"/>
      <c r="FPZ39" s="73"/>
      <c r="FQA39" s="73"/>
      <c r="FQB39" s="73"/>
      <c r="FQC39" s="73"/>
      <c r="FQD39" s="73"/>
      <c r="FQE39" s="73"/>
      <c r="FQF39" s="73"/>
      <c r="FQG39" s="73"/>
      <c r="FQH39" s="73"/>
      <c r="FQI39" s="73"/>
      <c r="FQJ39" s="73"/>
      <c r="FQK39" s="73"/>
      <c r="FQL39" s="73"/>
      <c r="FQM39" s="73"/>
      <c r="FQN39" s="73"/>
      <c r="FQO39" s="73"/>
      <c r="FQP39" s="73"/>
      <c r="FQQ39" s="73"/>
      <c r="FQR39" s="73"/>
      <c r="FQS39" s="73"/>
      <c r="FQT39" s="73"/>
      <c r="FQU39" s="73"/>
      <c r="FQV39" s="73"/>
      <c r="FQW39" s="73"/>
      <c r="FQX39" s="73"/>
      <c r="FQY39" s="73"/>
      <c r="FQZ39" s="73"/>
      <c r="FRA39" s="73"/>
      <c r="FRB39" s="73"/>
      <c r="FRC39" s="73"/>
      <c r="FRD39" s="73"/>
      <c r="FRE39" s="73"/>
      <c r="FRF39" s="73"/>
      <c r="FRG39" s="73"/>
      <c r="FRH39" s="73"/>
      <c r="FRI39" s="73"/>
      <c r="FRJ39" s="73"/>
      <c r="FRK39" s="73"/>
      <c r="FRL39" s="73"/>
      <c r="FRM39" s="73"/>
      <c r="FRN39" s="73"/>
      <c r="FRO39" s="73"/>
      <c r="FRP39" s="73"/>
      <c r="FRQ39" s="73"/>
      <c r="FRR39" s="73"/>
      <c r="FRS39" s="73"/>
      <c r="FRT39" s="73"/>
      <c r="FRU39" s="73"/>
      <c r="FRV39" s="73"/>
      <c r="FRW39" s="73"/>
      <c r="FRX39" s="73"/>
      <c r="FRY39" s="73"/>
      <c r="FRZ39" s="73"/>
      <c r="FSA39" s="73"/>
      <c r="FSB39" s="73"/>
      <c r="FSC39" s="73"/>
      <c r="FSD39" s="73"/>
      <c r="FSE39" s="73"/>
      <c r="FSF39" s="73"/>
      <c r="FSG39" s="73"/>
      <c r="FSH39" s="73"/>
      <c r="FSI39" s="73"/>
      <c r="FSJ39" s="73"/>
      <c r="FSK39" s="73"/>
      <c r="FSL39" s="73"/>
      <c r="FSM39" s="73"/>
      <c r="FSN39" s="73"/>
      <c r="FSO39" s="73"/>
      <c r="FSP39" s="73"/>
      <c r="FSQ39" s="73"/>
      <c r="FSR39" s="73"/>
      <c r="FSS39" s="73"/>
      <c r="FST39" s="73"/>
      <c r="FSU39" s="73"/>
      <c r="FSV39" s="73"/>
      <c r="FSW39" s="73"/>
      <c r="FSX39" s="73"/>
      <c r="FSY39" s="73"/>
      <c r="FSZ39" s="73"/>
      <c r="FTA39" s="73"/>
      <c r="FTB39" s="73"/>
      <c r="FTC39" s="73"/>
      <c r="FTD39" s="73"/>
      <c r="FTE39" s="73"/>
      <c r="FTF39" s="73"/>
      <c r="FTG39" s="73"/>
      <c r="FTH39" s="73"/>
      <c r="FTI39" s="73"/>
      <c r="FTJ39" s="73"/>
      <c r="FTK39" s="73"/>
      <c r="FTL39" s="73"/>
      <c r="FTM39" s="73"/>
      <c r="FTN39" s="73"/>
      <c r="FTO39" s="73"/>
      <c r="FTP39" s="73"/>
      <c r="FTQ39" s="73"/>
      <c r="FTR39" s="73"/>
      <c r="FTS39" s="73"/>
      <c r="FTT39" s="73"/>
      <c r="FTU39" s="73"/>
      <c r="FTV39" s="73"/>
      <c r="FTW39" s="73"/>
      <c r="FTX39" s="73"/>
      <c r="FTY39" s="73"/>
      <c r="FTZ39" s="73"/>
      <c r="FUA39" s="73"/>
      <c r="FUB39" s="73"/>
      <c r="FUC39" s="73"/>
      <c r="FUD39" s="73"/>
      <c r="FUE39" s="73"/>
      <c r="FUF39" s="73"/>
      <c r="FUG39" s="73"/>
      <c r="FUH39" s="73"/>
      <c r="FUI39" s="73"/>
      <c r="FUJ39" s="73"/>
      <c r="FUK39" s="73"/>
      <c r="FUL39" s="73"/>
      <c r="FUM39" s="73"/>
      <c r="FUN39" s="73"/>
      <c r="FUO39" s="73"/>
      <c r="FUP39" s="73"/>
      <c r="FUQ39" s="73"/>
      <c r="FUR39" s="73"/>
      <c r="FUS39" s="73"/>
      <c r="FUT39" s="73"/>
      <c r="FUU39" s="73"/>
      <c r="FUV39" s="73"/>
      <c r="FUW39" s="73"/>
      <c r="FUX39" s="73"/>
      <c r="FUY39" s="73"/>
      <c r="FUZ39" s="73"/>
      <c r="FVA39" s="73"/>
      <c r="FVB39" s="73"/>
      <c r="FVC39" s="73"/>
      <c r="FVD39" s="73"/>
      <c r="FVE39" s="73"/>
      <c r="FVF39" s="73"/>
      <c r="FVG39" s="73"/>
      <c r="FVH39" s="73"/>
      <c r="FVI39" s="73"/>
      <c r="FVJ39" s="73"/>
      <c r="FVK39" s="73"/>
      <c r="FVL39" s="73"/>
      <c r="FVM39" s="73"/>
      <c r="FVN39" s="73"/>
      <c r="FVO39" s="73"/>
      <c r="FVP39" s="73"/>
      <c r="FVQ39" s="73"/>
      <c r="FVR39" s="73"/>
      <c r="FVS39" s="73"/>
      <c r="FVT39" s="73"/>
      <c r="FVU39" s="73"/>
      <c r="FVV39" s="73"/>
      <c r="FVW39" s="73"/>
      <c r="FVX39" s="73"/>
      <c r="FVY39" s="73"/>
      <c r="FVZ39" s="73"/>
      <c r="FWA39" s="73"/>
      <c r="FWB39" s="73"/>
      <c r="FWC39" s="73"/>
      <c r="FWD39" s="73"/>
      <c r="FWE39" s="73"/>
      <c r="FWF39" s="73"/>
      <c r="FWG39" s="73"/>
      <c r="FWH39" s="73"/>
      <c r="FWI39" s="73"/>
      <c r="FWJ39" s="73"/>
      <c r="FWK39" s="73"/>
      <c r="FWL39" s="73"/>
      <c r="FWM39" s="73"/>
      <c r="FWN39" s="73"/>
      <c r="FWO39" s="73"/>
      <c r="FWP39" s="73"/>
      <c r="FWQ39" s="73"/>
      <c r="FWR39" s="73"/>
      <c r="FWS39" s="73"/>
      <c r="FWT39" s="73"/>
      <c r="FWU39" s="73"/>
      <c r="FWV39" s="73"/>
      <c r="FWW39" s="73"/>
      <c r="FWX39" s="73"/>
      <c r="FWY39" s="73"/>
      <c r="FWZ39" s="73"/>
      <c r="FXA39" s="73"/>
      <c r="FXB39" s="73"/>
      <c r="FXC39" s="73"/>
      <c r="FXD39" s="73"/>
      <c r="FXE39" s="73"/>
      <c r="FXF39" s="73"/>
      <c r="FXG39" s="73"/>
      <c r="FXH39" s="73"/>
      <c r="FXI39" s="73"/>
      <c r="FXJ39" s="73"/>
      <c r="FXK39" s="73"/>
      <c r="FXL39" s="73"/>
      <c r="FXM39" s="73"/>
      <c r="FXN39" s="73"/>
      <c r="FXO39" s="73"/>
      <c r="FXP39" s="73"/>
      <c r="FXQ39" s="73"/>
      <c r="FXR39" s="73"/>
      <c r="FXS39" s="73"/>
      <c r="FXT39" s="73"/>
      <c r="FXU39" s="73"/>
      <c r="FXV39" s="73"/>
      <c r="FXW39" s="73"/>
      <c r="FXX39" s="73"/>
      <c r="FXY39" s="73"/>
      <c r="FXZ39" s="73"/>
      <c r="FYA39" s="73"/>
      <c r="FYB39" s="73"/>
      <c r="FYC39" s="73"/>
      <c r="FYD39" s="73"/>
      <c r="FYE39" s="73"/>
      <c r="FYF39" s="73"/>
      <c r="FYG39" s="73"/>
      <c r="FYH39" s="73"/>
      <c r="FYI39" s="73"/>
      <c r="FYJ39" s="73"/>
      <c r="FYK39" s="73"/>
      <c r="FYL39" s="73"/>
      <c r="FYM39" s="73"/>
      <c r="FYN39" s="73"/>
      <c r="FYO39" s="73"/>
      <c r="FYP39" s="73"/>
      <c r="FYQ39" s="73"/>
      <c r="FYR39" s="73"/>
      <c r="FYS39" s="73"/>
      <c r="FYT39" s="73"/>
      <c r="FYU39" s="73"/>
      <c r="FYV39" s="73"/>
      <c r="FYW39" s="73"/>
      <c r="FYX39" s="73"/>
      <c r="FYY39" s="73"/>
      <c r="FYZ39" s="73"/>
      <c r="FZA39" s="73"/>
      <c r="FZB39" s="73"/>
      <c r="FZC39" s="73"/>
      <c r="FZD39" s="73"/>
      <c r="FZE39" s="73"/>
      <c r="FZF39" s="73"/>
      <c r="FZG39" s="73"/>
      <c r="FZH39" s="73"/>
      <c r="FZI39" s="73"/>
      <c r="FZJ39" s="73"/>
      <c r="FZK39" s="73"/>
      <c r="FZL39" s="73"/>
      <c r="FZM39" s="73"/>
      <c r="FZN39" s="73"/>
      <c r="FZO39" s="73"/>
      <c r="FZP39" s="73"/>
      <c r="FZQ39" s="73"/>
      <c r="FZR39" s="73"/>
      <c r="FZS39" s="73"/>
      <c r="FZT39" s="73"/>
      <c r="FZU39" s="73"/>
      <c r="FZV39" s="73"/>
      <c r="FZW39" s="73"/>
      <c r="FZX39" s="73"/>
      <c r="FZY39" s="73"/>
      <c r="FZZ39" s="73"/>
      <c r="GAA39" s="73"/>
      <c r="GAB39" s="73"/>
      <c r="GAC39" s="73"/>
      <c r="GAD39" s="73"/>
      <c r="GAE39" s="73"/>
      <c r="GAF39" s="73"/>
      <c r="GAG39" s="73"/>
      <c r="GAH39" s="73"/>
      <c r="GAI39" s="73"/>
      <c r="GAJ39" s="73"/>
      <c r="GAK39" s="73"/>
      <c r="GAL39" s="73"/>
      <c r="GAM39" s="73"/>
      <c r="GAN39" s="73"/>
      <c r="GAO39" s="73"/>
      <c r="GAP39" s="73"/>
      <c r="GAQ39" s="73"/>
      <c r="GAR39" s="73"/>
      <c r="GAS39" s="73"/>
      <c r="GAT39" s="73"/>
      <c r="GAU39" s="73"/>
      <c r="GAV39" s="73"/>
      <c r="GAW39" s="73"/>
      <c r="GAX39" s="73"/>
      <c r="GAY39" s="73"/>
      <c r="GAZ39" s="73"/>
      <c r="GBA39" s="73"/>
      <c r="GBB39" s="73"/>
      <c r="GBC39" s="73"/>
      <c r="GBD39" s="73"/>
      <c r="GBE39" s="73"/>
      <c r="GBF39" s="73"/>
      <c r="GBG39" s="73"/>
      <c r="GBH39" s="73"/>
      <c r="GBI39" s="73"/>
      <c r="GBJ39" s="73"/>
      <c r="GBK39" s="73"/>
      <c r="GBL39" s="73"/>
      <c r="GBM39" s="73"/>
      <c r="GBN39" s="73"/>
      <c r="GBO39" s="73"/>
      <c r="GBP39" s="73"/>
      <c r="GBQ39" s="73"/>
      <c r="GBR39" s="73"/>
      <c r="GBS39" s="73"/>
      <c r="GBT39" s="73"/>
      <c r="GBU39" s="73"/>
      <c r="GBV39" s="73"/>
      <c r="GBW39" s="73"/>
      <c r="GBX39" s="73"/>
      <c r="GBY39" s="73"/>
      <c r="GBZ39" s="73"/>
      <c r="GCA39" s="73"/>
      <c r="GCB39" s="73"/>
      <c r="GCC39" s="73"/>
      <c r="GCD39" s="73"/>
      <c r="GCE39" s="73"/>
      <c r="GCF39" s="73"/>
      <c r="GCG39" s="73"/>
      <c r="GCH39" s="73"/>
      <c r="GCI39" s="73"/>
      <c r="GCJ39" s="73"/>
      <c r="GCK39" s="73"/>
      <c r="GCL39" s="73"/>
      <c r="GCM39" s="73"/>
      <c r="GCN39" s="73"/>
      <c r="GCO39" s="73"/>
      <c r="GCP39" s="73"/>
      <c r="GCQ39" s="73"/>
      <c r="GCR39" s="73"/>
      <c r="GCS39" s="73"/>
      <c r="GCT39" s="73"/>
      <c r="GCU39" s="73"/>
      <c r="GCV39" s="73"/>
      <c r="GCW39" s="73"/>
      <c r="GCX39" s="73"/>
      <c r="GCY39" s="73"/>
      <c r="GCZ39" s="73"/>
      <c r="GDA39" s="73"/>
      <c r="GDB39" s="73"/>
      <c r="GDC39" s="73"/>
      <c r="GDD39" s="73"/>
      <c r="GDE39" s="73"/>
      <c r="GDF39" s="73"/>
      <c r="GDG39" s="73"/>
      <c r="GDH39" s="73"/>
      <c r="GDI39" s="73"/>
      <c r="GDJ39" s="73"/>
      <c r="GDK39" s="73"/>
      <c r="GDL39" s="73"/>
      <c r="GDM39" s="73"/>
      <c r="GDN39" s="73"/>
      <c r="GDO39" s="73"/>
      <c r="GDP39" s="73"/>
      <c r="GDQ39" s="73"/>
      <c r="GDR39" s="73"/>
      <c r="GDS39" s="73"/>
      <c r="GDT39" s="73"/>
      <c r="GDU39" s="73"/>
      <c r="GDV39" s="73"/>
      <c r="GDW39" s="73"/>
      <c r="GDX39" s="73"/>
      <c r="GDY39" s="73"/>
      <c r="GDZ39" s="73"/>
      <c r="GEA39" s="73"/>
      <c r="GEB39" s="73"/>
      <c r="GEC39" s="73"/>
      <c r="GED39" s="73"/>
      <c r="GEE39" s="73"/>
      <c r="GEF39" s="73"/>
      <c r="GEG39" s="73"/>
      <c r="GEH39" s="73"/>
      <c r="GEI39" s="73"/>
      <c r="GEJ39" s="73"/>
      <c r="GEK39" s="73"/>
      <c r="GEL39" s="73"/>
      <c r="GEM39" s="73"/>
      <c r="GEN39" s="73"/>
      <c r="GEO39" s="73"/>
      <c r="GEP39" s="73"/>
      <c r="GEQ39" s="73"/>
      <c r="GER39" s="73"/>
      <c r="GES39" s="73"/>
      <c r="GET39" s="73"/>
      <c r="GEU39" s="73"/>
      <c r="GEV39" s="73"/>
      <c r="GEW39" s="73"/>
      <c r="GEX39" s="73"/>
      <c r="GEY39" s="73"/>
      <c r="GEZ39" s="73"/>
      <c r="GFA39" s="73"/>
      <c r="GFB39" s="73"/>
      <c r="GFC39" s="73"/>
      <c r="GFD39" s="73"/>
      <c r="GFE39" s="73"/>
      <c r="GFF39" s="73"/>
      <c r="GFG39" s="73"/>
      <c r="GFH39" s="73"/>
      <c r="GFI39" s="73"/>
      <c r="GFJ39" s="73"/>
      <c r="GFK39" s="73"/>
      <c r="GFL39" s="73"/>
      <c r="GFM39" s="73"/>
      <c r="GFN39" s="73"/>
      <c r="GFO39" s="73"/>
      <c r="GFP39" s="73"/>
      <c r="GFQ39" s="73"/>
      <c r="GFR39" s="73"/>
      <c r="GFS39" s="73"/>
      <c r="GFT39" s="73"/>
      <c r="GFU39" s="73"/>
      <c r="GFV39" s="73"/>
      <c r="GFW39" s="73"/>
      <c r="GFX39" s="73"/>
      <c r="GFY39" s="73"/>
      <c r="GFZ39" s="73"/>
      <c r="GGA39" s="73"/>
      <c r="GGB39" s="73"/>
      <c r="GGC39" s="73"/>
      <c r="GGD39" s="73"/>
      <c r="GGE39" s="73"/>
      <c r="GGF39" s="73"/>
      <c r="GGG39" s="73"/>
      <c r="GGH39" s="73"/>
      <c r="GGI39" s="73"/>
      <c r="GGJ39" s="73"/>
      <c r="GGK39" s="73"/>
      <c r="GGL39" s="73"/>
      <c r="GGM39" s="73"/>
      <c r="GGN39" s="73"/>
      <c r="GGO39" s="73"/>
      <c r="GGP39" s="73"/>
      <c r="GGQ39" s="73"/>
      <c r="GGR39" s="73"/>
      <c r="GGS39" s="73"/>
      <c r="GGT39" s="73"/>
      <c r="GGU39" s="73"/>
      <c r="GGV39" s="73"/>
      <c r="GGW39" s="73"/>
      <c r="GGX39" s="73"/>
      <c r="GGY39" s="73"/>
      <c r="GGZ39" s="73"/>
      <c r="GHA39" s="73"/>
      <c r="GHB39" s="73"/>
      <c r="GHC39" s="73"/>
      <c r="GHD39" s="73"/>
      <c r="GHE39" s="73"/>
      <c r="GHF39" s="73"/>
      <c r="GHG39" s="73"/>
      <c r="GHH39" s="73"/>
      <c r="GHI39" s="73"/>
      <c r="GHJ39" s="73"/>
      <c r="GHK39" s="73"/>
      <c r="GHL39" s="73"/>
      <c r="GHM39" s="73"/>
      <c r="GHN39" s="73"/>
      <c r="GHO39" s="73"/>
      <c r="GHP39" s="73"/>
      <c r="GHQ39" s="73"/>
      <c r="GHR39" s="73"/>
      <c r="GHS39" s="73"/>
      <c r="GHT39" s="73"/>
      <c r="GHU39" s="73"/>
      <c r="GHV39" s="73"/>
      <c r="GHW39" s="73"/>
      <c r="GHX39" s="73"/>
      <c r="GHY39" s="73"/>
      <c r="GHZ39" s="73"/>
      <c r="GIA39" s="73"/>
      <c r="GIB39" s="73"/>
      <c r="GIC39" s="73"/>
      <c r="GID39" s="73"/>
      <c r="GIE39" s="73"/>
      <c r="GIF39" s="73"/>
      <c r="GIG39" s="73"/>
      <c r="GIH39" s="73"/>
      <c r="GII39" s="73"/>
      <c r="GIJ39" s="73"/>
      <c r="GIK39" s="73"/>
      <c r="GIL39" s="73"/>
      <c r="GIM39" s="73"/>
      <c r="GIN39" s="73"/>
      <c r="GIO39" s="73"/>
      <c r="GIP39" s="73"/>
      <c r="GIQ39" s="73"/>
      <c r="GIR39" s="73"/>
      <c r="GIS39" s="73"/>
      <c r="GIT39" s="73"/>
      <c r="GIU39" s="73"/>
      <c r="GIV39" s="73"/>
      <c r="GIW39" s="73"/>
      <c r="GIX39" s="73"/>
      <c r="GIY39" s="73"/>
      <c r="GIZ39" s="73"/>
      <c r="GJA39" s="73"/>
      <c r="GJB39" s="73"/>
      <c r="GJC39" s="73"/>
      <c r="GJD39" s="73"/>
      <c r="GJE39" s="73"/>
      <c r="GJF39" s="73"/>
      <c r="GJG39" s="73"/>
      <c r="GJH39" s="73"/>
      <c r="GJI39" s="73"/>
      <c r="GJJ39" s="73"/>
      <c r="GJK39" s="73"/>
      <c r="GJL39" s="73"/>
      <c r="GJM39" s="73"/>
      <c r="GJN39" s="73"/>
      <c r="GJO39" s="73"/>
      <c r="GJP39" s="73"/>
      <c r="GJQ39" s="73"/>
      <c r="GJR39" s="73"/>
      <c r="GJS39" s="73"/>
      <c r="GJT39" s="73"/>
      <c r="GJU39" s="73"/>
      <c r="GJV39" s="73"/>
      <c r="GJW39" s="73"/>
      <c r="GJX39" s="73"/>
      <c r="GJY39" s="73"/>
      <c r="GJZ39" s="73"/>
      <c r="GKA39" s="73"/>
      <c r="GKB39" s="73"/>
      <c r="GKC39" s="73"/>
      <c r="GKD39" s="73"/>
      <c r="GKE39" s="73"/>
      <c r="GKF39" s="73"/>
      <c r="GKG39" s="73"/>
      <c r="GKH39" s="73"/>
      <c r="GKI39" s="73"/>
      <c r="GKJ39" s="73"/>
      <c r="GKK39" s="73"/>
      <c r="GKL39" s="73"/>
      <c r="GKM39" s="73"/>
      <c r="GKN39" s="73"/>
      <c r="GKO39" s="73"/>
      <c r="GKP39" s="73"/>
      <c r="GKQ39" s="73"/>
      <c r="GKR39" s="73"/>
      <c r="GKS39" s="73"/>
      <c r="GKT39" s="73"/>
      <c r="GKU39" s="73"/>
      <c r="GKV39" s="73"/>
      <c r="GKW39" s="73"/>
      <c r="GKX39" s="73"/>
      <c r="GKY39" s="73"/>
      <c r="GKZ39" s="73"/>
      <c r="GLA39" s="73"/>
      <c r="GLB39" s="73"/>
      <c r="GLC39" s="73"/>
      <c r="GLD39" s="73"/>
      <c r="GLE39" s="73"/>
      <c r="GLF39" s="73"/>
      <c r="GLG39" s="73"/>
      <c r="GLH39" s="73"/>
      <c r="GLI39" s="73"/>
      <c r="GLJ39" s="73"/>
      <c r="GLK39" s="73"/>
      <c r="GLL39" s="73"/>
      <c r="GLM39" s="73"/>
      <c r="GLN39" s="73"/>
      <c r="GLO39" s="73"/>
      <c r="GLP39" s="73"/>
      <c r="GLQ39" s="73"/>
      <c r="GLR39" s="73"/>
      <c r="GLS39" s="73"/>
      <c r="GLT39" s="73"/>
      <c r="GLU39" s="73"/>
      <c r="GLV39" s="73"/>
      <c r="GLW39" s="73"/>
      <c r="GLX39" s="73"/>
      <c r="GLY39" s="73"/>
      <c r="GLZ39" s="73"/>
      <c r="GMA39" s="73"/>
      <c r="GMB39" s="73"/>
      <c r="GMC39" s="73"/>
      <c r="GMD39" s="73"/>
      <c r="GME39" s="73"/>
      <c r="GMF39" s="73"/>
      <c r="GMG39" s="73"/>
      <c r="GMH39" s="73"/>
      <c r="GMI39" s="73"/>
      <c r="GMJ39" s="73"/>
      <c r="GMK39" s="73"/>
      <c r="GML39" s="73"/>
      <c r="GMM39" s="73"/>
      <c r="GMN39" s="73"/>
      <c r="GMO39" s="73"/>
      <c r="GMP39" s="73"/>
      <c r="GMQ39" s="73"/>
      <c r="GMR39" s="73"/>
      <c r="GMS39" s="73"/>
      <c r="GMT39" s="73"/>
      <c r="GMU39" s="73"/>
      <c r="GMV39" s="73"/>
      <c r="GMW39" s="73"/>
      <c r="GMX39" s="73"/>
      <c r="GMY39" s="73"/>
      <c r="GMZ39" s="73"/>
      <c r="GNA39" s="73"/>
      <c r="GNB39" s="73"/>
      <c r="GNC39" s="73"/>
      <c r="GND39" s="73"/>
      <c r="GNE39" s="73"/>
      <c r="GNF39" s="73"/>
      <c r="GNG39" s="73"/>
      <c r="GNH39" s="73"/>
      <c r="GNI39" s="73"/>
      <c r="GNJ39" s="73"/>
      <c r="GNK39" s="73"/>
      <c r="GNL39" s="73"/>
      <c r="GNM39" s="73"/>
      <c r="GNN39" s="73"/>
      <c r="GNO39" s="73"/>
      <c r="GNP39" s="73"/>
      <c r="GNQ39" s="73"/>
      <c r="GNR39" s="73"/>
      <c r="GNS39" s="73"/>
      <c r="GNT39" s="73"/>
      <c r="GNU39" s="73"/>
      <c r="GNV39" s="73"/>
      <c r="GNW39" s="73"/>
      <c r="GNX39" s="73"/>
      <c r="GNY39" s="73"/>
      <c r="GNZ39" s="73"/>
      <c r="GOA39" s="73"/>
      <c r="GOB39" s="73"/>
      <c r="GOC39" s="73"/>
      <c r="GOD39" s="73"/>
      <c r="GOE39" s="73"/>
      <c r="GOF39" s="73"/>
      <c r="GOG39" s="73"/>
      <c r="GOH39" s="73"/>
      <c r="GOI39" s="73"/>
      <c r="GOJ39" s="73"/>
      <c r="GOK39" s="73"/>
      <c r="GOL39" s="73"/>
      <c r="GOM39" s="73"/>
      <c r="GON39" s="73"/>
      <c r="GOO39" s="73"/>
      <c r="GOP39" s="73"/>
      <c r="GOQ39" s="73"/>
      <c r="GOR39" s="73"/>
      <c r="GOS39" s="73"/>
      <c r="GOT39" s="73"/>
      <c r="GOU39" s="73"/>
      <c r="GOV39" s="73"/>
      <c r="GOW39" s="73"/>
      <c r="GOX39" s="73"/>
      <c r="GOY39" s="73"/>
      <c r="GOZ39" s="73"/>
      <c r="GPA39" s="73"/>
      <c r="GPB39" s="73"/>
      <c r="GPC39" s="73"/>
      <c r="GPD39" s="73"/>
      <c r="GPE39" s="73"/>
      <c r="GPF39" s="73"/>
      <c r="GPG39" s="73"/>
      <c r="GPH39" s="73"/>
      <c r="GPI39" s="73"/>
      <c r="GPJ39" s="73"/>
      <c r="GPK39" s="73"/>
      <c r="GPL39" s="73"/>
      <c r="GPM39" s="73"/>
      <c r="GPN39" s="73"/>
      <c r="GPO39" s="73"/>
      <c r="GPP39" s="73"/>
      <c r="GPQ39" s="73"/>
      <c r="GPR39" s="73"/>
      <c r="GPS39" s="73"/>
      <c r="GPT39" s="73"/>
      <c r="GPU39" s="73"/>
      <c r="GPV39" s="73"/>
      <c r="GPW39" s="73"/>
      <c r="GPX39" s="73"/>
      <c r="GPY39" s="73"/>
      <c r="GPZ39" s="73"/>
      <c r="GQA39" s="73"/>
      <c r="GQB39" s="73"/>
      <c r="GQC39" s="73"/>
      <c r="GQD39" s="73"/>
      <c r="GQE39" s="73"/>
      <c r="GQF39" s="73"/>
      <c r="GQG39" s="73"/>
      <c r="GQH39" s="73"/>
      <c r="GQI39" s="73"/>
      <c r="GQJ39" s="73"/>
      <c r="GQK39" s="73"/>
      <c r="GQL39" s="73"/>
      <c r="GQM39" s="73"/>
      <c r="GQN39" s="73"/>
      <c r="GQO39" s="73"/>
      <c r="GQP39" s="73"/>
      <c r="GQQ39" s="73"/>
      <c r="GQR39" s="73"/>
      <c r="GQS39" s="73"/>
      <c r="GQT39" s="73"/>
      <c r="GQU39" s="73"/>
      <c r="GQV39" s="73"/>
      <c r="GQW39" s="73"/>
      <c r="GQX39" s="73"/>
      <c r="GQY39" s="73"/>
      <c r="GQZ39" s="73"/>
      <c r="GRA39" s="73"/>
      <c r="GRB39" s="73"/>
      <c r="GRC39" s="73"/>
      <c r="GRD39" s="73"/>
      <c r="GRE39" s="73"/>
      <c r="GRF39" s="73"/>
      <c r="GRG39" s="73"/>
      <c r="GRH39" s="73"/>
      <c r="GRI39" s="73"/>
      <c r="GRJ39" s="73"/>
      <c r="GRK39" s="73"/>
      <c r="GRL39" s="73"/>
      <c r="GRM39" s="73"/>
      <c r="GRN39" s="73"/>
      <c r="GRO39" s="73"/>
      <c r="GRP39" s="73"/>
      <c r="GRQ39" s="73"/>
      <c r="GRR39" s="73"/>
      <c r="GRS39" s="73"/>
      <c r="GRT39" s="73"/>
      <c r="GRU39" s="73"/>
      <c r="GRV39" s="73"/>
      <c r="GRW39" s="73"/>
      <c r="GRX39" s="73"/>
      <c r="GRY39" s="73"/>
      <c r="GRZ39" s="73"/>
      <c r="GSA39" s="73"/>
      <c r="GSB39" s="73"/>
      <c r="GSC39" s="73"/>
      <c r="GSD39" s="73"/>
      <c r="GSE39" s="73"/>
      <c r="GSF39" s="73"/>
      <c r="GSG39" s="73"/>
      <c r="GSH39" s="73"/>
      <c r="GSI39" s="73"/>
      <c r="GSJ39" s="73"/>
      <c r="GSK39" s="73"/>
      <c r="GSL39" s="73"/>
      <c r="GSM39" s="73"/>
      <c r="GSN39" s="73"/>
      <c r="GSO39" s="73"/>
      <c r="GSP39" s="73"/>
      <c r="GSQ39" s="73"/>
      <c r="GSR39" s="73"/>
      <c r="GSS39" s="73"/>
      <c r="GST39" s="73"/>
      <c r="GSU39" s="73"/>
      <c r="GSV39" s="73"/>
      <c r="GSW39" s="73"/>
      <c r="GSX39" s="73"/>
      <c r="GSY39" s="73"/>
      <c r="GSZ39" s="73"/>
      <c r="GTA39" s="73"/>
      <c r="GTB39" s="73"/>
      <c r="GTC39" s="73"/>
      <c r="GTD39" s="73"/>
      <c r="GTE39" s="73"/>
      <c r="GTF39" s="73"/>
      <c r="GTG39" s="73"/>
      <c r="GTH39" s="73"/>
      <c r="GTI39" s="73"/>
      <c r="GTJ39" s="73"/>
      <c r="GTK39" s="73"/>
      <c r="GTL39" s="73"/>
      <c r="GTM39" s="73"/>
      <c r="GTN39" s="73"/>
      <c r="GTO39" s="73"/>
      <c r="GTP39" s="73"/>
      <c r="GTQ39" s="73"/>
      <c r="GTR39" s="73"/>
      <c r="GTS39" s="73"/>
      <c r="GTT39" s="73"/>
      <c r="GTU39" s="73"/>
      <c r="GTV39" s="73"/>
      <c r="GTW39" s="73"/>
      <c r="GTX39" s="73"/>
      <c r="GTY39" s="73"/>
      <c r="GTZ39" s="73"/>
      <c r="GUA39" s="73"/>
      <c r="GUB39" s="73"/>
      <c r="GUC39" s="73"/>
      <c r="GUD39" s="73"/>
      <c r="GUE39" s="73"/>
      <c r="GUF39" s="73"/>
      <c r="GUG39" s="73"/>
      <c r="GUH39" s="73"/>
      <c r="GUI39" s="73"/>
      <c r="GUJ39" s="73"/>
      <c r="GUK39" s="73"/>
      <c r="GUL39" s="73"/>
      <c r="GUM39" s="73"/>
      <c r="GUN39" s="73"/>
      <c r="GUO39" s="73"/>
      <c r="GUP39" s="73"/>
      <c r="GUQ39" s="73"/>
      <c r="GUR39" s="73"/>
      <c r="GUS39" s="73"/>
      <c r="GUT39" s="73"/>
      <c r="GUU39" s="73"/>
      <c r="GUV39" s="73"/>
      <c r="GUW39" s="73"/>
      <c r="GUX39" s="73"/>
      <c r="GUY39" s="73"/>
      <c r="GUZ39" s="73"/>
      <c r="GVA39" s="73"/>
      <c r="GVB39" s="73"/>
      <c r="GVC39" s="73"/>
      <c r="GVD39" s="73"/>
      <c r="GVE39" s="73"/>
      <c r="GVF39" s="73"/>
      <c r="GVG39" s="73"/>
      <c r="GVH39" s="73"/>
      <c r="GVI39" s="73"/>
      <c r="GVJ39" s="73"/>
      <c r="GVK39" s="73"/>
      <c r="GVL39" s="73"/>
      <c r="GVM39" s="73"/>
      <c r="GVN39" s="73"/>
      <c r="GVO39" s="73"/>
      <c r="GVP39" s="73"/>
      <c r="GVQ39" s="73"/>
      <c r="GVR39" s="73"/>
      <c r="GVS39" s="73"/>
      <c r="GVT39" s="73"/>
      <c r="GVU39" s="73"/>
      <c r="GVV39" s="73"/>
      <c r="GVW39" s="73"/>
      <c r="GVX39" s="73"/>
      <c r="GVY39" s="73"/>
      <c r="GVZ39" s="73"/>
      <c r="GWA39" s="73"/>
      <c r="GWB39" s="73"/>
      <c r="GWC39" s="73"/>
      <c r="GWD39" s="73"/>
      <c r="GWE39" s="73"/>
      <c r="GWF39" s="73"/>
      <c r="GWG39" s="73"/>
      <c r="GWH39" s="73"/>
      <c r="GWI39" s="73"/>
      <c r="GWJ39" s="73"/>
      <c r="GWK39" s="73"/>
      <c r="GWL39" s="73"/>
      <c r="GWM39" s="73"/>
      <c r="GWN39" s="73"/>
      <c r="GWO39" s="73"/>
      <c r="GWP39" s="73"/>
      <c r="GWQ39" s="73"/>
      <c r="GWR39" s="73"/>
      <c r="GWS39" s="73"/>
      <c r="GWT39" s="73"/>
      <c r="GWU39" s="73"/>
      <c r="GWV39" s="73"/>
      <c r="GWW39" s="73"/>
      <c r="GWX39" s="73"/>
      <c r="GWY39" s="73"/>
      <c r="GWZ39" s="73"/>
      <c r="GXA39" s="73"/>
      <c r="GXB39" s="73"/>
      <c r="GXC39" s="73"/>
      <c r="GXD39" s="73"/>
      <c r="GXE39" s="73"/>
      <c r="GXF39" s="73"/>
      <c r="GXG39" s="73"/>
      <c r="GXH39" s="73"/>
      <c r="GXI39" s="73"/>
      <c r="GXJ39" s="73"/>
      <c r="GXK39" s="73"/>
      <c r="GXL39" s="73"/>
      <c r="GXM39" s="73"/>
      <c r="GXN39" s="73"/>
      <c r="GXO39" s="73"/>
      <c r="GXP39" s="73"/>
      <c r="GXQ39" s="73"/>
      <c r="GXR39" s="73"/>
      <c r="GXS39" s="73"/>
      <c r="GXT39" s="73"/>
      <c r="GXU39" s="73"/>
      <c r="GXV39" s="73"/>
      <c r="GXW39" s="73"/>
      <c r="GXX39" s="73"/>
      <c r="GXY39" s="73"/>
      <c r="GXZ39" s="73"/>
      <c r="GYA39" s="73"/>
      <c r="GYB39" s="73"/>
      <c r="GYC39" s="73"/>
      <c r="GYD39" s="73"/>
      <c r="GYE39" s="73"/>
      <c r="GYF39" s="73"/>
      <c r="GYG39" s="73"/>
      <c r="GYH39" s="73"/>
      <c r="GYI39" s="73"/>
      <c r="GYJ39" s="73"/>
      <c r="GYK39" s="73"/>
      <c r="GYL39" s="73"/>
      <c r="GYM39" s="73"/>
      <c r="GYN39" s="73"/>
      <c r="GYO39" s="73"/>
      <c r="GYP39" s="73"/>
      <c r="GYQ39" s="73"/>
      <c r="GYR39" s="73"/>
      <c r="GYS39" s="73"/>
      <c r="GYT39" s="73"/>
      <c r="GYU39" s="73"/>
      <c r="GYV39" s="73"/>
      <c r="GYW39" s="73"/>
      <c r="GYX39" s="73"/>
      <c r="GYY39" s="73"/>
      <c r="GYZ39" s="73"/>
      <c r="GZA39" s="73"/>
      <c r="GZB39" s="73"/>
      <c r="GZC39" s="73"/>
      <c r="GZD39" s="73"/>
      <c r="GZE39" s="73"/>
      <c r="GZF39" s="73"/>
      <c r="GZG39" s="73"/>
      <c r="GZH39" s="73"/>
      <c r="GZI39" s="73"/>
      <c r="GZJ39" s="73"/>
      <c r="GZK39" s="73"/>
      <c r="GZL39" s="73"/>
      <c r="GZM39" s="73"/>
      <c r="GZN39" s="73"/>
      <c r="GZO39" s="73"/>
      <c r="GZP39" s="73"/>
      <c r="GZQ39" s="73"/>
      <c r="GZR39" s="73"/>
      <c r="GZS39" s="73"/>
      <c r="GZT39" s="73"/>
      <c r="GZU39" s="73"/>
      <c r="GZV39" s="73"/>
      <c r="GZW39" s="73"/>
      <c r="GZX39" s="73"/>
      <c r="GZY39" s="73"/>
      <c r="GZZ39" s="73"/>
      <c r="HAA39" s="73"/>
      <c r="HAB39" s="73"/>
      <c r="HAC39" s="73"/>
      <c r="HAD39" s="73"/>
      <c r="HAE39" s="73"/>
      <c r="HAF39" s="73"/>
      <c r="HAG39" s="73"/>
      <c r="HAH39" s="73"/>
      <c r="HAI39" s="73"/>
      <c r="HAJ39" s="73"/>
      <c r="HAK39" s="73"/>
      <c r="HAL39" s="73"/>
      <c r="HAM39" s="73"/>
      <c r="HAN39" s="73"/>
      <c r="HAO39" s="73"/>
      <c r="HAP39" s="73"/>
      <c r="HAQ39" s="73"/>
      <c r="HAR39" s="73"/>
      <c r="HAS39" s="73"/>
      <c r="HAT39" s="73"/>
      <c r="HAU39" s="73"/>
      <c r="HAV39" s="73"/>
      <c r="HAW39" s="73"/>
      <c r="HAX39" s="73"/>
      <c r="HAY39" s="73"/>
      <c r="HAZ39" s="73"/>
      <c r="HBA39" s="73"/>
      <c r="HBB39" s="73"/>
      <c r="HBC39" s="73"/>
      <c r="HBD39" s="73"/>
      <c r="HBE39" s="73"/>
      <c r="HBF39" s="73"/>
      <c r="HBG39" s="73"/>
      <c r="HBH39" s="73"/>
      <c r="HBI39" s="73"/>
      <c r="HBJ39" s="73"/>
      <c r="HBK39" s="73"/>
      <c r="HBL39" s="73"/>
      <c r="HBM39" s="73"/>
      <c r="HBN39" s="73"/>
      <c r="HBO39" s="73"/>
      <c r="HBP39" s="73"/>
      <c r="HBQ39" s="73"/>
      <c r="HBR39" s="73"/>
      <c r="HBS39" s="73"/>
      <c r="HBT39" s="73"/>
      <c r="HBU39" s="73"/>
      <c r="HBV39" s="73"/>
      <c r="HBW39" s="73"/>
      <c r="HBX39" s="73"/>
      <c r="HBY39" s="73"/>
      <c r="HBZ39" s="73"/>
      <c r="HCA39" s="73"/>
      <c r="HCB39" s="73"/>
      <c r="HCC39" s="73"/>
      <c r="HCD39" s="73"/>
      <c r="HCE39" s="73"/>
      <c r="HCF39" s="73"/>
      <c r="HCG39" s="73"/>
      <c r="HCH39" s="73"/>
      <c r="HCI39" s="73"/>
      <c r="HCJ39" s="73"/>
      <c r="HCK39" s="73"/>
      <c r="HCL39" s="73"/>
      <c r="HCM39" s="73"/>
      <c r="HCN39" s="73"/>
      <c r="HCO39" s="73"/>
      <c r="HCP39" s="73"/>
      <c r="HCQ39" s="73"/>
      <c r="HCR39" s="73"/>
      <c r="HCS39" s="73"/>
      <c r="HCT39" s="73"/>
      <c r="HCU39" s="73"/>
      <c r="HCV39" s="73"/>
      <c r="HCW39" s="73"/>
      <c r="HCX39" s="73"/>
      <c r="HCY39" s="73"/>
      <c r="HCZ39" s="73"/>
      <c r="HDA39" s="73"/>
      <c r="HDB39" s="73"/>
      <c r="HDC39" s="73"/>
      <c r="HDD39" s="73"/>
      <c r="HDE39" s="73"/>
      <c r="HDF39" s="73"/>
      <c r="HDG39" s="73"/>
      <c r="HDH39" s="73"/>
      <c r="HDI39" s="73"/>
      <c r="HDJ39" s="73"/>
      <c r="HDK39" s="73"/>
      <c r="HDL39" s="73"/>
      <c r="HDM39" s="73"/>
      <c r="HDN39" s="73"/>
      <c r="HDO39" s="73"/>
      <c r="HDP39" s="73"/>
      <c r="HDQ39" s="73"/>
      <c r="HDR39" s="73"/>
      <c r="HDS39" s="73"/>
      <c r="HDT39" s="73"/>
      <c r="HDU39" s="73"/>
      <c r="HDV39" s="73"/>
      <c r="HDW39" s="73"/>
      <c r="HDX39" s="73"/>
      <c r="HDY39" s="73"/>
      <c r="HDZ39" s="73"/>
      <c r="HEA39" s="73"/>
      <c r="HEB39" s="73"/>
      <c r="HEC39" s="73"/>
      <c r="HED39" s="73"/>
      <c r="HEE39" s="73"/>
      <c r="HEF39" s="73"/>
      <c r="HEG39" s="73"/>
      <c r="HEH39" s="73"/>
      <c r="HEI39" s="73"/>
      <c r="HEJ39" s="73"/>
      <c r="HEK39" s="73"/>
      <c r="HEL39" s="73"/>
      <c r="HEM39" s="73"/>
      <c r="HEN39" s="73"/>
      <c r="HEO39" s="73"/>
      <c r="HEP39" s="73"/>
      <c r="HEQ39" s="73"/>
      <c r="HER39" s="73"/>
      <c r="HES39" s="73"/>
      <c r="HET39" s="73"/>
      <c r="HEU39" s="73"/>
      <c r="HEV39" s="73"/>
      <c r="HEW39" s="73"/>
      <c r="HEX39" s="73"/>
      <c r="HEY39" s="73"/>
      <c r="HEZ39" s="73"/>
      <c r="HFA39" s="73"/>
      <c r="HFB39" s="73"/>
      <c r="HFC39" s="73"/>
      <c r="HFD39" s="73"/>
      <c r="HFE39" s="73"/>
      <c r="HFF39" s="73"/>
      <c r="HFG39" s="73"/>
      <c r="HFH39" s="73"/>
      <c r="HFI39" s="73"/>
      <c r="HFJ39" s="73"/>
      <c r="HFK39" s="73"/>
      <c r="HFL39" s="73"/>
      <c r="HFM39" s="73"/>
      <c r="HFN39" s="73"/>
      <c r="HFO39" s="73"/>
      <c r="HFP39" s="73"/>
      <c r="HFQ39" s="73"/>
      <c r="HFR39" s="73"/>
      <c r="HFS39" s="73"/>
      <c r="HFT39" s="73"/>
      <c r="HFU39" s="73"/>
      <c r="HFV39" s="73"/>
      <c r="HFW39" s="73"/>
      <c r="HFX39" s="73"/>
      <c r="HFY39" s="73"/>
      <c r="HFZ39" s="73"/>
      <c r="HGA39" s="73"/>
      <c r="HGB39" s="73"/>
      <c r="HGC39" s="73"/>
      <c r="HGD39" s="73"/>
      <c r="HGE39" s="73"/>
      <c r="HGF39" s="73"/>
      <c r="HGG39" s="73"/>
      <c r="HGH39" s="73"/>
      <c r="HGI39" s="73"/>
      <c r="HGJ39" s="73"/>
      <c r="HGK39" s="73"/>
      <c r="HGL39" s="73"/>
      <c r="HGM39" s="73"/>
      <c r="HGN39" s="73"/>
      <c r="HGO39" s="73"/>
      <c r="HGP39" s="73"/>
      <c r="HGQ39" s="73"/>
      <c r="HGR39" s="73"/>
      <c r="HGS39" s="73"/>
      <c r="HGT39" s="73"/>
      <c r="HGU39" s="73"/>
      <c r="HGV39" s="73"/>
      <c r="HGW39" s="73"/>
      <c r="HGX39" s="73"/>
      <c r="HGY39" s="73"/>
      <c r="HGZ39" s="73"/>
      <c r="HHA39" s="73"/>
      <c r="HHB39" s="73"/>
      <c r="HHC39" s="73"/>
      <c r="HHD39" s="73"/>
      <c r="HHE39" s="73"/>
      <c r="HHF39" s="73"/>
      <c r="HHG39" s="73"/>
      <c r="HHH39" s="73"/>
      <c r="HHI39" s="73"/>
      <c r="HHJ39" s="73"/>
      <c r="HHK39" s="73"/>
      <c r="HHL39" s="73"/>
      <c r="HHM39" s="73"/>
      <c r="HHN39" s="73"/>
      <c r="HHO39" s="73"/>
      <c r="HHP39" s="73"/>
      <c r="HHQ39" s="73"/>
      <c r="HHR39" s="73"/>
      <c r="HHS39" s="73"/>
      <c r="HHT39" s="73"/>
      <c r="HHU39" s="73"/>
      <c r="HHV39" s="73"/>
      <c r="HHW39" s="73"/>
      <c r="HHX39" s="73"/>
      <c r="HHY39" s="73"/>
      <c r="HHZ39" s="73"/>
      <c r="HIA39" s="73"/>
      <c r="HIB39" s="73"/>
      <c r="HIC39" s="73"/>
      <c r="HID39" s="73"/>
      <c r="HIE39" s="73"/>
      <c r="HIF39" s="73"/>
      <c r="HIG39" s="73"/>
      <c r="HIH39" s="73"/>
      <c r="HII39" s="73"/>
      <c r="HIJ39" s="73"/>
      <c r="HIK39" s="73"/>
      <c r="HIL39" s="73"/>
      <c r="HIM39" s="73"/>
      <c r="HIN39" s="73"/>
      <c r="HIO39" s="73"/>
      <c r="HIP39" s="73"/>
      <c r="HIQ39" s="73"/>
      <c r="HIR39" s="73"/>
      <c r="HIS39" s="73"/>
      <c r="HIT39" s="73"/>
      <c r="HIU39" s="73"/>
      <c r="HIV39" s="73"/>
      <c r="HIW39" s="73"/>
      <c r="HIX39" s="73"/>
      <c r="HIY39" s="73"/>
      <c r="HIZ39" s="73"/>
      <c r="HJA39" s="73"/>
      <c r="HJB39" s="73"/>
      <c r="HJC39" s="73"/>
      <c r="HJD39" s="73"/>
      <c r="HJE39" s="73"/>
      <c r="HJF39" s="73"/>
      <c r="HJG39" s="73"/>
      <c r="HJH39" s="73"/>
      <c r="HJI39" s="73"/>
      <c r="HJJ39" s="73"/>
      <c r="HJK39" s="73"/>
      <c r="HJL39" s="73"/>
      <c r="HJM39" s="73"/>
      <c r="HJN39" s="73"/>
      <c r="HJO39" s="73"/>
      <c r="HJP39" s="73"/>
      <c r="HJQ39" s="73"/>
      <c r="HJR39" s="73"/>
      <c r="HJS39" s="73"/>
      <c r="HJT39" s="73"/>
      <c r="HJU39" s="73"/>
      <c r="HJV39" s="73"/>
      <c r="HJW39" s="73"/>
      <c r="HJX39" s="73"/>
      <c r="HJY39" s="73"/>
      <c r="HJZ39" s="73"/>
      <c r="HKA39" s="73"/>
      <c r="HKB39" s="73"/>
      <c r="HKC39" s="73"/>
      <c r="HKD39" s="73"/>
      <c r="HKE39" s="73"/>
      <c r="HKF39" s="73"/>
      <c r="HKG39" s="73"/>
      <c r="HKH39" s="73"/>
      <c r="HKI39" s="73"/>
      <c r="HKJ39" s="73"/>
      <c r="HKK39" s="73"/>
      <c r="HKL39" s="73"/>
      <c r="HKM39" s="73"/>
      <c r="HKN39" s="73"/>
      <c r="HKO39" s="73"/>
      <c r="HKP39" s="73"/>
      <c r="HKQ39" s="73"/>
      <c r="HKR39" s="73"/>
      <c r="HKS39" s="73"/>
      <c r="HKT39" s="73"/>
      <c r="HKU39" s="73"/>
      <c r="HKV39" s="73"/>
      <c r="HKW39" s="73"/>
      <c r="HKX39" s="73"/>
      <c r="HKY39" s="73"/>
      <c r="HKZ39" s="73"/>
      <c r="HLA39" s="73"/>
      <c r="HLB39" s="73"/>
      <c r="HLC39" s="73"/>
      <c r="HLD39" s="73"/>
      <c r="HLE39" s="73"/>
      <c r="HLF39" s="73"/>
      <c r="HLG39" s="73"/>
      <c r="HLH39" s="73"/>
      <c r="HLI39" s="73"/>
      <c r="HLJ39" s="73"/>
      <c r="HLK39" s="73"/>
      <c r="HLL39" s="73"/>
      <c r="HLM39" s="73"/>
      <c r="HLN39" s="73"/>
      <c r="HLO39" s="73"/>
      <c r="HLP39" s="73"/>
      <c r="HLQ39" s="73"/>
      <c r="HLR39" s="73"/>
      <c r="HLS39" s="73"/>
      <c r="HLT39" s="73"/>
      <c r="HLU39" s="73"/>
      <c r="HLV39" s="73"/>
      <c r="HLW39" s="73"/>
      <c r="HLX39" s="73"/>
      <c r="HLY39" s="73"/>
      <c r="HLZ39" s="73"/>
      <c r="HMA39" s="73"/>
      <c r="HMB39" s="73"/>
      <c r="HMC39" s="73"/>
      <c r="HMD39" s="73"/>
      <c r="HME39" s="73"/>
      <c r="HMF39" s="73"/>
      <c r="HMG39" s="73"/>
      <c r="HMH39" s="73"/>
      <c r="HMI39" s="73"/>
      <c r="HMJ39" s="73"/>
      <c r="HMK39" s="73"/>
      <c r="HML39" s="73"/>
      <c r="HMM39" s="73"/>
      <c r="HMN39" s="73"/>
      <c r="HMO39" s="73"/>
      <c r="HMP39" s="73"/>
      <c r="HMQ39" s="73"/>
      <c r="HMR39" s="73"/>
      <c r="HMS39" s="73"/>
      <c r="HMT39" s="73"/>
      <c r="HMU39" s="73"/>
      <c r="HMV39" s="73"/>
      <c r="HMW39" s="73"/>
      <c r="HMX39" s="73"/>
      <c r="HMY39" s="73"/>
      <c r="HMZ39" s="73"/>
      <c r="HNA39" s="73"/>
      <c r="HNB39" s="73"/>
      <c r="HNC39" s="73"/>
      <c r="HND39" s="73"/>
      <c r="HNE39" s="73"/>
      <c r="HNF39" s="73"/>
      <c r="HNG39" s="73"/>
      <c r="HNH39" s="73"/>
      <c r="HNI39" s="73"/>
      <c r="HNJ39" s="73"/>
      <c r="HNK39" s="73"/>
      <c r="HNL39" s="73"/>
      <c r="HNM39" s="73"/>
      <c r="HNN39" s="73"/>
      <c r="HNO39" s="73"/>
      <c r="HNP39" s="73"/>
      <c r="HNQ39" s="73"/>
      <c r="HNR39" s="73"/>
      <c r="HNS39" s="73"/>
      <c r="HNT39" s="73"/>
      <c r="HNU39" s="73"/>
      <c r="HNV39" s="73"/>
      <c r="HNW39" s="73"/>
      <c r="HNX39" s="73"/>
      <c r="HNY39" s="73"/>
      <c r="HNZ39" s="73"/>
      <c r="HOA39" s="73"/>
      <c r="HOB39" s="73"/>
      <c r="HOC39" s="73"/>
      <c r="HOD39" s="73"/>
      <c r="HOE39" s="73"/>
      <c r="HOF39" s="73"/>
      <c r="HOG39" s="73"/>
      <c r="HOH39" s="73"/>
      <c r="HOI39" s="73"/>
      <c r="HOJ39" s="73"/>
      <c r="HOK39" s="73"/>
      <c r="HOL39" s="73"/>
      <c r="HOM39" s="73"/>
      <c r="HON39" s="73"/>
      <c r="HOO39" s="73"/>
      <c r="HOP39" s="73"/>
      <c r="HOQ39" s="73"/>
      <c r="HOR39" s="73"/>
      <c r="HOS39" s="73"/>
      <c r="HOT39" s="73"/>
      <c r="HOU39" s="73"/>
      <c r="HOV39" s="73"/>
      <c r="HOW39" s="73"/>
      <c r="HOX39" s="73"/>
      <c r="HOY39" s="73"/>
      <c r="HOZ39" s="73"/>
      <c r="HPA39" s="73"/>
      <c r="HPB39" s="73"/>
      <c r="HPC39" s="73"/>
      <c r="HPD39" s="73"/>
      <c r="HPE39" s="73"/>
      <c r="HPF39" s="73"/>
      <c r="HPG39" s="73"/>
      <c r="HPH39" s="73"/>
      <c r="HPI39" s="73"/>
      <c r="HPJ39" s="73"/>
      <c r="HPK39" s="73"/>
      <c r="HPL39" s="73"/>
      <c r="HPM39" s="73"/>
      <c r="HPN39" s="73"/>
      <c r="HPO39" s="73"/>
      <c r="HPP39" s="73"/>
      <c r="HPQ39" s="73"/>
      <c r="HPR39" s="73"/>
      <c r="HPS39" s="73"/>
      <c r="HPT39" s="73"/>
      <c r="HPU39" s="73"/>
      <c r="HPV39" s="73"/>
      <c r="HPW39" s="73"/>
      <c r="HPX39" s="73"/>
      <c r="HPY39" s="73"/>
      <c r="HPZ39" s="73"/>
      <c r="HQA39" s="73"/>
      <c r="HQB39" s="73"/>
      <c r="HQC39" s="73"/>
      <c r="HQD39" s="73"/>
      <c r="HQE39" s="73"/>
      <c r="HQF39" s="73"/>
      <c r="HQG39" s="73"/>
      <c r="HQH39" s="73"/>
      <c r="HQI39" s="73"/>
      <c r="HQJ39" s="73"/>
      <c r="HQK39" s="73"/>
      <c r="HQL39" s="73"/>
      <c r="HQM39" s="73"/>
      <c r="HQN39" s="73"/>
      <c r="HQO39" s="73"/>
      <c r="HQP39" s="73"/>
      <c r="HQQ39" s="73"/>
      <c r="HQR39" s="73"/>
      <c r="HQS39" s="73"/>
      <c r="HQT39" s="73"/>
      <c r="HQU39" s="73"/>
      <c r="HQV39" s="73"/>
      <c r="HQW39" s="73"/>
      <c r="HQX39" s="73"/>
      <c r="HQY39" s="73"/>
      <c r="HQZ39" s="73"/>
      <c r="HRA39" s="73"/>
      <c r="HRB39" s="73"/>
      <c r="HRC39" s="73"/>
      <c r="HRD39" s="73"/>
      <c r="HRE39" s="73"/>
      <c r="HRF39" s="73"/>
      <c r="HRG39" s="73"/>
      <c r="HRH39" s="73"/>
      <c r="HRI39" s="73"/>
      <c r="HRJ39" s="73"/>
      <c r="HRK39" s="73"/>
      <c r="HRL39" s="73"/>
      <c r="HRM39" s="73"/>
      <c r="HRN39" s="73"/>
      <c r="HRO39" s="73"/>
      <c r="HRP39" s="73"/>
      <c r="HRQ39" s="73"/>
      <c r="HRR39" s="73"/>
      <c r="HRS39" s="73"/>
      <c r="HRT39" s="73"/>
      <c r="HRU39" s="73"/>
      <c r="HRV39" s="73"/>
      <c r="HRW39" s="73"/>
      <c r="HRX39" s="73"/>
      <c r="HRY39" s="73"/>
      <c r="HRZ39" s="73"/>
      <c r="HSA39" s="73"/>
      <c r="HSB39" s="73"/>
      <c r="HSC39" s="73"/>
      <c r="HSD39" s="73"/>
      <c r="HSE39" s="73"/>
      <c r="HSF39" s="73"/>
      <c r="HSG39" s="73"/>
      <c r="HSH39" s="73"/>
      <c r="HSI39" s="73"/>
      <c r="HSJ39" s="73"/>
      <c r="HSK39" s="73"/>
      <c r="HSL39" s="73"/>
      <c r="HSM39" s="73"/>
      <c r="HSN39" s="73"/>
      <c r="HSO39" s="73"/>
      <c r="HSP39" s="73"/>
      <c r="HSQ39" s="73"/>
      <c r="HSR39" s="73"/>
      <c r="HSS39" s="73"/>
      <c r="HST39" s="73"/>
      <c r="HSU39" s="73"/>
      <c r="HSV39" s="73"/>
      <c r="HSW39" s="73"/>
      <c r="HSX39" s="73"/>
      <c r="HSY39" s="73"/>
      <c r="HSZ39" s="73"/>
      <c r="HTA39" s="73"/>
      <c r="HTB39" s="73"/>
      <c r="HTC39" s="73"/>
      <c r="HTD39" s="73"/>
      <c r="HTE39" s="73"/>
      <c r="HTF39" s="73"/>
      <c r="HTG39" s="73"/>
      <c r="HTH39" s="73"/>
      <c r="HTI39" s="73"/>
      <c r="HTJ39" s="73"/>
      <c r="HTK39" s="73"/>
      <c r="HTL39" s="73"/>
      <c r="HTM39" s="73"/>
      <c r="HTN39" s="73"/>
      <c r="HTO39" s="73"/>
      <c r="HTP39" s="73"/>
      <c r="HTQ39" s="73"/>
      <c r="HTR39" s="73"/>
      <c r="HTS39" s="73"/>
      <c r="HTT39" s="73"/>
      <c r="HTU39" s="73"/>
      <c r="HTV39" s="73"/>
      <c r="HTW39" s="73"/>
      <c r="HTX39" s="73"/>
      <c r="HTY39" s="73"/>
      <c r="HTZ39" s="73"/>
      <c r="HUA39" s="73"/>
      <c r="HUB39" s="73"/>
      <c r="HUC39" s="73"/>
      <c r="HUD39" s="73"/>
      <c r="HUE39" s="73"/>
      <c r="HUF39" s="73"/>
      <c r="HUG39" s="73"/>
      <c r="HUH39" s="73"/>
      <c r="HUI39" s="73"/>
      <c r="HUJ39" s="73"/>
      <c r="HUK39" s="73"/>
      <c r="HUL39" s="73"/>
      <c r="HUM39" s="73"/>
      <c r="HUN39" s="73"/>
      <c r="HUO39" s="73"/>
      <c r="HUP39" s="73"/>
      <c r="HUQ39" s="73"/>
      <c r="HUR39" s="73"/>
      <c r="HUS39" s="73"/>
      <c r="HUT39" s="73"/>
      <c r="HUU39" s="73"/>
      <c r="HUV39" s="73"/>
      <c r="HUW39" s="73"/>
      <c r="HUX39" s="73"/>
      <c r="HUY39" s="73"/>
      <c r="HUZ39" s="73"/>
      <c r="HVA39" s="73"/>
      <c r="HVB39" s="73"/>
      <c r="HVC39" s="73"/>
      <c r="HVD39" s="73"/>
      <c r="HVE39" s="73"/>
      <c r="HVF39" s="73"/>
      <c r="HVG39" s="73"/>
      <c r="HVH39" s="73"/>
      <c r="HVI39" s="73"/>
      <c r="HVJ39" s="73"/>
      <c r="HVK39" s="73"/>
      <c r="HVL39" s="73"/>
      <c r="HVM39" s="73"/>
      <c r="HVN39" s="73"/>
      <c r="HVO39" s="73"/>
      <c r="HVP39" s="73"/>
      <c r="HVQ39" s="73"/>
      <c r="HVR39" s="73"/>
      <c r="HVS39" s="73"/>
      <c r="HVT39" s="73"/>
      <c r="HVU39" s="73"/>
      <c r="HVV39" s="73"/>
      <c r="HVW39" s="73"/>
      <c r="HVX39" s="73"/>
      <c r="HVY39" s="73"/>
      <c r="HVZ39" s="73"/>
      <c r="HWA39" s="73"/>
      <c r="HWB39" s="73"/>
      <c r="HWC39" s="73"/>
      <c r="HWD39" s="73"/>
      <c r="HWE39" s="73"/>
      <c r="HWF39" s="73"/>
      <c r="HWG39" s="73"/>
      <c r="HWH39" s="73"/>
      <c r="HWI39" s="73"/>
      <c r="HWJ39" s="73"/>
      <c r="HWK39" s="73"/>
      <c r="HWL39" s="73"/>
      <c r="HWM39" s="73"/>
      <c r="HWN39" s="73"/>
      <c r="HWO39" s="73"/>
      <c r="HWP39" s="73"/>
      <c r="HWQ39" s="73"/>
      <c r="HWR39" s="73"/>
      <c r="HWS39" s="73"/>
      <c r="HWT39" s="73"/>
      <c r="HWU39" s="73"/>
      <c r="HWV39" s="73"/>
      <c r="HWW39" s="73"/>
      <c r="HWX39" s="73"/>
      <c r="HWY39" s="73"/>
      <c r="HWZ39" s="73"/>
      <c r="HXA39" s="73"/>
      <c r="HXB39" s="73"/>
      <c r="HXC39" s="73"/>
      <c r="HXD39" s="73"/>
      <c r="HXE39" s="73"/>
      <c r="HXF39" s="73"/>
      <c r="HXG39" s="73"/>
      <c r="HXH39" s="73"/>
      <c r="HXI39" s="73"/>
      <c r="HXJ39" s="73"/>
      <c r="HXK39" s="73"/>
      <c r="HXL39" s="73"/>
      <c r="HXM39" s="73"/>
      <c r="HXN39" s="73"/>
      <c r="HXO39" s="73"/>
      <c r="HXP39" s="73"/>
      <c r="HXQ39" s="73"/>
      <c r="HXR39" s="73"/>
      <c r="HXS39" s="73"/>
      <c r="HXT39" s="73"/>
      <c r="HXU39" s="73"/>
      <c r="HXV39" s="73"/>
      <c r="HXW39" s="73"/>
      <c r="HXX39" s="73"/>
      <c r="HXY39" s="73"/>
      <c r="HXZ39" s="73"/>
      <c r="HYA39" s="73"/>
      <c r="HYB39" s="73"/>
      <c r="HYC39" s="73"/>
      <c r="HYD39" s="73"/>
      <c r="HYE39" s="73"/>
      <c r="HYF39" s="73"/>
      <c r="HYG39" s="73"/>
      <c r="HYH39" s="73"/>
      <c r="HYI39" s="73"/>
      <c r="HYJ39" s="73"/>
      <c r="HYK39" s="73"/>
      <c r="HYL39" s="73"/>
      <c r="HYM39" s="73"/>
      <c r="HYN39" s="73"/>
      <c r="HYO39" s="73"/>
      <c r="HYP39" s="73"/>
      <c r="HYQ39" s="73"/>
      <c r="HYR39" s="73"/>
      <c r="HYS39" s="73"/>
      <c r="HYT39" s="73"/>
      <c r="HYU39" s="73"/>
      <c r="HYV39" s="73"/>
      <c r="HYW39" s="73"/>
      <c r="HYX39" s="73"/>
      <c r="HYY39" s="73"/>
      <c r="HYZ39" s="73"/>
      <c r="HZA39" s="73"/>
      <c r="HZB39" s="73"/>
      <c r="HZC39" s="73"/>
      <c r="HZD39" s="73"/>
      <c r="HZE39" s="73"/>
      <c r="HZF39" s="73"/>
      <c r="HZG39" s="73"/>
      <c r="HZH39" s="73"/>
      <c r="HZI39" s="73"/>
      <c r="HZJ39" s="73"/>
      <c r="HZK39" s="73"/>
      <c r="HZL39" s="73"/>
      <c r="HZM39" s="73"/>
      <c r="HZN39" s="73"/>
      <c r="HZO39" s="73"/>
      <c r="HZP39" s="73"/>
      <c r="HZQ39" s="73"/>
      <c r="HZR39" s="73"/>
      <c r="HZS39" s="73"/>
      <c r="HZT39" s="73"/>
      <c r="HZU39" s="73"/>
      <c r="HZV39" s="73"/>
      <c r="HZW39" s="73"/>
      <c r="HZX39" s="73"/>
      <c r="HZY39" s="73"/>
      <c r="HZZ39" s="73"/>
      <c r="IAA39" s="73"/>
      <c r="IAB39" s="73"/>
      <c r="IAC39" s="73"/>
      <c r="IAD39" s="73"/>
      <c r="IAE39" s="73"/>
      <c r="IAF39" s="73"/>
      <c r="IAG39" s="73"/>
      <c r="IAH39" s="73"/>
      <c r="IAI39" s="73"/>
      <c r="IAJ39" s="73"/>
      <c r="IAK39" s="73"/>
      <c r="IAL39" s="73"/>
      <c r="IAM39" s="73"/>
      <c r="IAN39" s="73"/>
      <c r="IAO39" s="73"/>
      <c r="IAP39" s="73"/>
      <c r="IAQ39" s="73"/>
      <c r="IAR39" s="73"/>
      <c r="IAS39" s="73"/>
      <c r="IAT39" s="73"/>
      <c r="IAU39" s="73"/>
      <c r="IAV39" s="73"/>
      <c r="IAW39" s="73"/>
      <c r="IAX39" s="73"/>
      <c r="IAY39" s="73"/>
      <c r="IAZ39" s="73"/>
      <c r="IBA39" s="73"/>
      <c r="IBB39" s="73"/>
      <c r="IBC39" s="73"/>
      <c r="IBD39" s="73"/>
      <c r="IBE39" s="73"/>
      <c r="IBF39" s="73"/>
      <c r="IBG39" s="73"/>
      <c r="IBH39" s="73"/>
      <c r="IBI39" s="73"/>
      <c r="IBJ39" s="73"/>
      <c r="IBK39" s="73"/>
      <c r="IBL39" s="73"/>
      <c r="IBM39" s="73"/>
      <c r="IBN39" s="73"/>
      <c r="IBO39" s="73"/>
      <c r="IBP39" s="73"/>
      <c r="IBQ39" s="73"/>
      <c r="IBR39" s="73"/>
      <c r="IBS39" s="73"/>
      <c r="IBT39" s="73"/>
      <c r="IBU39" s="73"/>
      <c r="IBV39" s="73"/>
      <c r="IBW39" s="73"/>
      <c r="IBX39" s="73"/>
      <c r="IBY39" s="73"/>
      <c r="IBZ39" s="73"/>
      <c r="ICA39" s="73"/>
      <c r="ICB39" s="73"/>
      <c r="ICC39" s="73"/>
      <c r="ICD39" s="73"/>
      <c r="ICE39" s="73"/>
      <c r="ICF39" s="73"/>
      <c r="ICG39" s="73"/>
      <c r="ICH39" s="73"/>
      <c r="ICI39" s="73"/>
      <c r="ICJ39" s="73"/>
      <c r="ICK39" s="73"/>
      <c r="ICL39" s="73"/>
      <c r="ICM39" s="73"/>
      <c r="ICN39" s="73"/>
      <c r="ICO39" s="73"/>
      <c r="ICP39" s="73"/>
      <c r="ICQ39" s="73"/>
      <c r="ICR39" s="73"/>
      <c r="ICS39" s="73"/>
      <c r="ICT39" s="73"/>
      <c r="ICU39" s="73"/>
      <c r="ICV39" s="73"/>
      <c r="ICW39" s="73"/>
      <c r="ICX39" s="73"/>
      <c r="ICY39" s="73"/>
      <c r="ICZ39" s="73"/>
      <c r="IDA39" s="73"/>
      <c r="IDB39" s="73"/>
      <c r="IDC39" s="73"/>
      <c r="IDD39" s="73"/>
      <c r="IDE39" s="73"/>
      <c r="IDF39" s="73"/>
      <c r="IDG39" s="73"/>
      <c r="IDH39" s="73"/>
      <c r="IDI39" s="73"/>
      <c r="IDJ39" s="73"/>
      <c r="IDK39" s="73"/>
      <c r="IDL39" s="73"/>
      <c r="IDM39" s="73"/>
      <c r="IDN39" s="73"/>
      <c r="IDO39" s="73"/>
      <c r="IDP39" s="73"/>
      <c r="IDQ39" s="73"/>
      <c r="IDR39" s="73"/>
      <c r="IDS39" s="73"/>
      <c r="IDT39" s="73"/>
      <c r="IDU39" s="73"/>
      <c r="IDV39" s="73"/>
      <c r="IDW39" s="73"/>
      <c r="IDX39" s="73"/>
      <c r="IDY39" s="73"/>
      <c r="IDZ39" s="73"/>
      <c r="IEA39" s="73"/>
      <c r="IEB39" s="73"/>
      <c r="IEC39" s="73"/>
      <c r="IED39" s="73"/>
      <c r="IEE39" s="73"/>
      <c r="IEF39" s="73"/>
      <c r="IEG39" s="73"/>
      <c r="IEH39" s="73"/>
      <c r="IEI39" s="73"/>
      <c r="IEJ39" s="73"/>
      <c r="IEK39" s="73"/>
      <c r="IEL39" s="73"/>
      <c r="IEM39" s="73"/>
      <c r="IEN39" s="73"/>
      <c r="IEO39" s="73"/>
      <c r="IEP39" s="73"/>
      <c r="IEQ39" s="73"/>
      <c r="IER39" s="73"/>
      <c r="IES39" s="73"/>
      <c r="IET39" s="73"/>
      <c r="IEU39" s="73"/>
      <c r="IEV39" s="73"/>
      <c r="IEW39" s="73"/>
      <c r="IEX39" s="73"/>
      <c r="IEY39" s="73"/>
      <c r="IEZ39" s="73"/>
      <c r="IFA39" s="73"/>
      <c r="IFB39" s="73"/>
      <c r="IFC39" s="73"/>
      <c r="IFD39" s="73"/>
      <c r="IFE39" s="73"/>
      <c r="IFF39" s="73"/>
      <c r="IFG39" s="73"/>
      <c r="IFH39" s="73"/>
      <c r="IFI39" s="73"/>
      <c r="IFJ39" s="73"/>
      <c r="IFK39" s="73"/>
      <c r="IFL39" s="73"/>
      <c r="IFM39" s="73"/>
      <c r="IFN39" s="73"/>
      <c r="IFO39" s="73"/>
      <c r="IFP39" s="73"/>
      <c r="IFQ39" s="73"/>
      <c r="IFR39" s="73"/>
      <c r="IFS39" s="73"/>
      <c r="IFT39" s="73"/>
      <c r="IFU39" s="73"/>
      <c r="IFV39" s="73"/>
      <c r="IFW39" s="73"/>
      <c r="IFX39" s="73"/>
      <c r="IFY39" s="73"/>
      <c r="IFZ39" s="73"/>
      <c r="IGA39" s="73"/>
      <c r="IGB39" s="73"/>
      <c r="IGC39" s="73"/>
      <c r="IGD39" s="73"/>
      <c r="IGE39" s="73"/>
      <c r="IGF39" s="73"/>
      <c r="IGG39" s="73"/>
      <c r="IGH39" s="73"/>
      <c r="IGI39" s="73"/>
      <c r="IGJ39" s="73"/>
      <c r="IGK39" s="73"/>
      <c r="IGL39" s="73"/>
      <c r="IGM39" s="73"/>
      <c r="IGN39" s="73"/>
      <c r="IGO39" s="73"/>
      <c r="IGP39" s="73"/>
      <c r="IGQ39" s="73"/>
      <c r="IGR39" s="73"/>
      <c r="IGS39" s="73"/>
      <c r="IGT39" s="73"/>
      <c r="IGU39" s="73"/>
      <c r="IGV39" s="73"/>
      <c r="IGW39" s="73"/>
      <c r="IGX39" s="73"/>
      <c r="IGY39" s="73"/>
      <c r="IGZ39" s="73"/>
      <c r="IHA39" s="73"/>
      <c r="IHB39" s="73"/>
      <c r="IHC39" s="73"/>
      <c r="IHD39" s="73"/>
      <c r="IHE39" s="73"/>
      <c r="IHF39" s="73"/>
      <c r="IHG39" s="73"/>
      <c r="IHH39" s="73"/>
      <c r="IHI39" s="73"/>
      <c r="IHJ39" s="73"/>
      <c r="IHK39" s="73"/>
      <c r="IHL39" s="73"/>
      <c r="IHM39" s="73"/>
      <c r="IHN39" s="73"/>
      <c r="IHO39" s="73"/>
      <c r="IHP39" s="73"/>
      <c r="IHQ39" s="73"/>
      <c r="IHR39" s="73"/>
      <c r="IHS39" s="73"/>
      <c r="IHT39" s="73"/>
      <c r="IHU39" s="73"/>
      <c r="IHV39" s="73"/>
      <c r="IHW39" s="73"/>
      <c r="IHX39" s="73"/>
      <c r="IHY39" s="73"/>
      <c r="IHZ39" s="73"/>
      <c r="IIA39" s="73"/>
      <c r="IIB39" s="73"/>
      <c r="IIC39" s="73"/>
      <c r="IID39" s="73"/>
      <c r="IIE39" s="73"/>
      <c r="IIF39" s="73"/>
      <c r="IIG39" s="73"/>
      <c r="IIH39" s="73"/>
      <c r="III39" s="73"/>
      <c r="IIJ39" s="73"/>
      <c r="IIK39" s="73"/>
      <c r="IIL39" s="73"/>
      <c r="IIM39" s="73"/>
      <c r="IIN39" s="73"/>
      <c r="IIO39" s="73"/>
      <c r="IIP39" s="73"/>
      <c r="IIQ39" s="73"/>
      <c r="IIR39" s="73"/>
      <c r="IIS39" s="73"/>
      <c r="IIT39" s="73"/>
      <c r="IIU39" s="73"/>
      <c r="IIV39" s="73"/>
      <c r="IIW39" s="73"/>
      <c r="IIX39" s="73"/>
      <c r="IIY39" s="73"/>
      <c r="IIZ39" s="73"/>
      <c r="IJA39" s="73"/>
      <c r="IJB39" s="73"/>
      <c r="IJC39" s="73"/>
      <c r="IJD39" s="73"/>
      <c r="IJE39" s="73"/>
      <c r="IJF39" s="73"/>
      <c r="IJG39" s="73"/>
      <c r="IJH39" s="73"/>
      <c r="IJI39" s="73"/>
      <c r="IJJ39" s="73"/>
      <c r="IJK39" s="73"/>
      <c r="IJL39" s="73"/>
      <c r="IJM39" s="73"/>
      <c r="IJN39" s="73"/>
      <c r="IJO39" s="73"/>
      <c r="IJP39" s="73"/>
      <c r="IJQ39" s="73"/>
      <c r="IJR39" s="73"/>
      <c r="IJS39" s="73"/>
      <c r="IJT39" s="73"/>
      <c r="IJU39" s="73"/>
      <c r="IJV39" s="73"/>
      <c r="IJW39" s="73"/>
      <c r="IJX39" s="73"/>
      <c r="IJY39" s="73"/>
      <c r="IJZ39" s="73"/>
      <c r="IKA39" s="73"/>
      <c r="IKB39" s="73"/>
      <c r="IKC39" s="73"/>
      <c r="IKD39" s="73"/>
      <c r="IKE39" s="73"/>
      <c r="IKF39" s="73"/>
      <c r="IKG39" s="73"/>
      <c r="IKH39" s="73"/>
      <c r="IKI39" s="73"/>
      <c r="IKJ39" s="73"/>
      <c r="IKK39" s="73"/>
      <c r="IKL39" s="73"/>
      <c r="IKM39" s="73"/>
      <c r="IKN39" s="73"/>
      <c r="IKO39" s="73"/>
      <c r="IKP39" s="73"/>
      <c r="IKQ39" s="73"/>
      <c r="IKR39" s="73"/>
      <c r="IKS39" s="73"/>
      <c r="IKT39" s="73"/>
      <c r="IKU39" s="73"/>
      <c r="IKV39" s="73"/>
      <c r="IKW39" s="73"/>
      <c r="IKX39" s="73"/>
      <c r="IKY39" s="73"/>
      <c r="IKZ39" s="73"/>
      <c r="ILA39" s="73"/>
      <c r="ILB39" s="73"/>
      <c r="ILC39" s="73"/>
      <c r="ILD39" s="73"/>
      <c r="ILE39" s="73"/>
      <c r="ILF39" s="73"/>
      <c r="ILG39" s="73"/>
      <c r="ILH39" s="73"/>
      <c r="ILI39" s="73"/>
      <c r="ILJ39" s="73"/>
      <c r="ILK39" s="73"/>
      <c r="ILL39" s="73"/>
      <c r="ILM39" s="73"/>
      <c r="ILN39" s="73"/>
      <c r="ILO39" s="73"/>
      <c r="ILP39" s="73"/>
      <c r="ILQ39" s="73"/>
      <c r="ILR39" s="73"/>
      <c r="ILS39" s="73"/>
      <c r="ILT39" s="73"/>
      <c r="ILU39" s="73"/>
      <c r="ILV39" s="73"/>
      <c r="ILW39" s="73"/>
      <c r="ILX39" s="73"/>
      <c r="ILY39" s="73"/>
      <c r="ILZ39" s="73"/>
      <c r="IMA39" s="73"/>
      <c r="IMB39" s="73"/>
      <c r="IMC39" s="73"/>
      <c r="IMD39" s="73"/>
      <c r="IME39" s="73"/>
      <c r="IMF39" s="73"/>
      <c r="IMG39" s="73"/>
      <c r="IMH39" s="73"/>
      <c r="IMI39" s="73"/>
      <c r="IMJ39" s="73"/>
      <c r="IMK39" s="73"/>
      <c r="IML39" s="73"/>
      <c r="IMM39" s="73"/>
      <c r="IMN39" s="73"/>
      <c r="IMO39" s="73"/>
      <c r="IMP39" s="73"/>
      <c r="IMQ39" s="73"/>
      <c r="IMR39" s="73"/>
      <c r="IMS39" s="73"/>
      <c r="IMT39" s="73"/>
      <c r="IMU39" s="73"/>
      <c r="IMV39" s="73"/>
      <c r="IMW39" s="73"/>
      <c r="IMX39" s="73"/>
      <c r="IMY39" s="73"/>
      <c r="IMZ39" s="73"/>
      <c r="INA39" s="73"/>
      <c r="INB39" s="73"/>
      <c r="INC39" s="73"/>
      <c r="IND39" s="73"/>
      <c r="INE39" s="73"/>
      <c r="INF39" s="73"/>
      <c r="ING39" s="73"/>
      <c r="INH39" s="73"/>
      <c r="INI39" s="73"/>
      <c r="INJ39" s="73"/>
      <c r="INK39" s="73"/>
      <c r="INL39" s="73"/>
      <c r="INM39" s="73"/>
      <c r="INN39" s="73"/>
      <c r="INO39" s="73"/>
      <c r="INP39" s="73"/>
      <c r="INQ39" s="73"/>
      <c r="INR39" s="73"/>
      <c r="INS39" s="73"/>
      <c r="INT39" s="73"/>
      <c r="INU39" s="73"/>
      <c r="INV39" s="73"/>
      <c r="INW39" s="73"/>
      <c r="INX39" s="73"/>
      <c r="INY39" s="73"/>
      <c r="INZ39" s="73"/>
      <c r="IOA39" s="73"/>
      <c r="IOB39" s="73"/>
      <c r="IOC39" s="73"/>
      <c r="IOD39" s="73"/>
      <c r="IOE39" s="73"/>
      <c r="IOF39" s="73"/>
      <c r="IOG39" s="73"/>
      <c r="IOH39" s="73"/>
      <c r="IOI39" s="73"/>
      <c r="IOJ39" s="73"/>
      <c r="IOK39" s="73"/>
      <c r="IOL39" s="73"/>
      <c r="IOM39" s="73"/>
      <c r="ION39" s="73"/>
      <c r="IOO39" s="73"/>
      <c r="IOP39" s="73"/>
      <c r="IOQ39" s="73"/>
      <c r="IOR39" s="73"/>
      <c r="IOS39" s="73"/>
      <c r="IOT39" s="73"/>
      <c r="IOU39" s="73"/>
      <c r="IOV39" s="73"/>
      <c r="IOW39" s="73"/>
      <c r="IOX39" s="73"/>
      <c r="IOY39" s="73"/>
      <c r="IOZ39" s="73"/>
      <c r="IPA39" s="73"/>
      <c r="IPB39" s="73"/>
      <c r="IPC39" s="73"/>
      <c r="IPD39" s="73"/>
      <c r="IPE39" s="73"/>
      <c r="IPF39" s="73"/>
      <c r="IPG39" s="73"/>
      <c r="IPH39" s="73"/>
      <c r="IPI39" s="73"/>
      <c r="IPJ39" s="73"/>
      <c r="IPK39" s="73"/>
      <c r="IPL39" s="73"/>
      <c r="IPM39" s="73"/>
      <c r="IPN39" s="73"/>
      <c r="IPO39" s="73"/>
      <c r="IPP39" s="73"/>
      <c r="IPQ39" s="73"/>
      <c r="IPR39" s="73"/>
      <c r="IPS39" s="73"/>
      <c r="IPT39" s="73"/>
      <c r="IPU39" s="73"/>
      <c r="IPV39" s="73"/>
      <c r="IPW39" s="73"/>
      <c r="IPX39" s="73"/>
      <c r="IPY39" s="73"/>
      <c r="IPZ39" s="73"/>
      <c r="IQA39" s="73"/>
      <c r="IQB39" s="73"/>
      <c r="IQC39" s="73"/>
      <c r="IQD39" s="73"/>
      <c r="IQE39" s="73"/>
      <c r="IQF39" s="73"/>
      <c r="IQG39" s="73"/>
      <c r="IQH39" s="73"/>
      <c r="IQI39" s="73"/>
      <c r="IQJ39" s="73"/>
      <c r="IQK39" s="73"/>
      <c r="IQL39" s="73"/>
      <c r="IQM39" s="73"/>
      <c r="IQN39" s="73"/>
      <c r="IQO39" s="73"/>
      <c r="IQP39" s="73"/>
      <c r="IQQ39" s="73"/>
      <c r="IQR39" s="73"/>
      <c r="IQS39" s="73"/>
      <c r="IQT39" s="73"/>
      <c r="IQU39" s="73"/>
      <c r="IQV39" s="73"/>
      <c r="IQW39" s="73"/>
      <c r="IQX39" s="73"/>
      <c r="IQY39" s="73"/>
      <c r="IQZ39" s="73"/>
      <c r="IRA39" s="73"/>
      <c r="IRB39" s="73"/>
      <c r="IRC39" s="73"/>
      <c r="IRD39" s="73"/>
      <c r="IRE39" s="73"/>
      <c r="IRF39" s="73"/>
      <c r="IRG39" s="73"/>
      <c r="IRH39" s="73"/>
      <c r="IRI39" s="73"/>
      <c r="IRJ39" s="73"/>
      <c r="IRK39" s="73"/>
      <c r="IRL39" s="73"/>
      <c r="IRM39" s="73"/>
      <c r="IRN39" s="73"/>
      <c r="IRO39" s="73"/>
      <c r="IRP39" s="73"/>
      <c r="IRQ39" s="73"/>
      <c r="IRR39" s="73"/>
      <c r="IRS39" s="73"/>
      <c r="IRT39" s="73"/>
      <c r="IRU39" s="73"/>
      <c r="IRV39" s="73"/>
      <c r="IRW39" s="73"/>
      <c r="IRX39" s="73"/>
      <c r="IRY39" s="73"/>
      <c r="IRZ39" s="73"/>
      <c r="ISA39" s="73"/>
      <c r="ISB39" s="73"/>
      <c r="ISC39" s="73"/>
      <c r="ISD39" s="73"/>
      <c r="ISE39" s="73"/>
      <c r="ISF39" s="73"/>
      <c r="ISG39" s="73"/>
      <c r="ISH39" s="73"/>
      <c r="ISI39" s="73"/>
      <c r="ISJ39" s="73"/>
      <c r="ISK39" s="73"/>
      <c r="ISL39" s="73"/>
      <c r="ISM39" s="73"/>
      <c r="ISN39" s="73"/>
      <c r="ISO39" s="73"/>
      <c r="ISP39" s="73"/>
      <c r="ISQ39" s="73"/>
      <c r="ISR39" s="73"/>
      <c r="ISS39" s="73"/>
      <c r="IST39" s="73"/>
      <c r="ISU39" s="73"/>
      <c r="ISV39" s="73"/>
      <c r="ISW39" s="73"/>
      <c r="ISX39" s="73"/>
      <c r="ISY39" s="73"/>
      <c r="ISZ39" s="73"/>
      <c r="ITA39" s="73"/>
      <c r="ITB39" s="73"/>
      <c r="ITC39" s="73"/>
      <c r="ITD39" s="73"/>
      <c r="ITE39" s="73"/>
      <c r="ITF39" s="73"/>
      <c r="ITG39" s="73"/>
      <c r="ITH39" s="73"/>
      <c r="ITI39" s="73"/>
      <c r="ITJ39" s="73"/>
      <c r="ITK39" s="73"/>
      <c r="ITL39" s="73"/>
      <c r="ITM39" s="73"/>
      <c r="ITN39" s="73"/>
      <c r="ITO39" s="73"/>
      <c r="ITP39" s="73"/>
      <c r="ITQ39" s="73"/>
      <c r="ITR39" s="73"/>
      <c r="ITS39" s="73"/>
      <c r="ITT39" s="73"/>
      <c r="ITU39" s="73"/>
      <c r="ITV39" s="73"/>
      <c r="ITW39" s="73"/>
      <c r="ITX39" s="73"/>
      <c r="ITY39" s="73"/>
      <c r="ITZ39" s="73"/>
      <c r="IUA39" s="73"/>
      <c r="IUB39" s="73"/>
      <c r="IUC39" s="73"/>
      <c r="IUD39" s="73"/>
      <c r="IUE39" s="73"/>
      <c r="IUF39" s="73"/>
      <c r="IUG39" s="73"/>
      <c r="IUH39" s="73"/>
      <c r="IUI39" s="73"/>
      <c r="IUJ39" s="73"/>
      <c r="IUK39" s="73"/>
      <c r="IUL39" s="73"/>
      <c r="IUM39" s="73"/>
      <c r="IUN39" s="73"/>
      <c r="IUO39" s="73"/>
      <c r="IUP39" s="73"/>
      <c r="IUQ39" s="73"/>
      <c r="IUR39" s="73"/>
      <c r="IUS39" s="73"/>
      <c r="IUT39" s="73"/>
      <c r="IUU39" s="73"/>
      <c r="IUV39" s="73"/>
      <c r="IUW39" s="73"/>
      <c r="IUX39" s="73"/>
      <c r="IUY39" s="73"/>
      <c r="IUZ39" s="73"/>
      <c r="IVA39" s="73"/>
      <c r="IVB39" s="73"/>
      <c r="IVC39" s="73"/>
      <c r="IVD39" s="73"/>
      <c r="IVE39" s="73"/>
      <c r="IVF39" s="73"/>
      <c r="IVG39" s="73"/>
      <c r="IVH39" s="73"/>
      <c r="IVI39" s="73"/>
      <c r="IVJ39" s="73"/>
      <c r="IVK39" s="73"/>
      <c r="IVL39" s="73"/>
      <c r="IVM39" s="73"/>
      <c r="IVN39" s="73"/>
      <c r="IVO39" s="73"/>
      <c r="IVP39" s="73"/>
      <c r="IVQ39" s="73"/>
      <c r="IVR39" s="73"/>
      <c r="IVS39" s="73"/>
      <c r="IVT39" s="73"/>
      <c r="IVU39" s="73"/>
      <c r="IVV39" s="73"/>
      <c r="IVW39" s="73"/>
      <c r="IVX39" s="73"/>
      <c r="IVY39" s="73"/>
      <c r="IVZ39" s="73"/>
      <c r="IWA39" s="73"/>
      <c r="IWB39" s="73"/>
      <c r="IWC39" s="73"/>
      <c r="IWD39" s="73"/>
      <c r="IWE39" s="73"/>
      <c r="IWF39" s="73"/>
      <c r="IWG39" s="73"/>
      <c r="IWH39" s="73"/>
      <c r="IWI39" s="73"/>
      <c r="IWJ39" s="73"/>
      <c r="IWK39" s="73"/>
      <c r="IWL39" s="73"/>
      <c r="IWM39" s="73"/>
      <c r="IWN39" s="73"/>
      <c r="IWO39" s="73"/>
      <c r="IWP39" s="73"/>
      <c r="IWQ39" s="73"/>
      <c r="IWR39" s="73"/>
      <c r="IWS39" s="73"/>
      <c r="IWT39" s="73"/>
      <c r="IWU39" s="73"/>
      <c r="IWV39" s="73"/>
      <c r="IWW39" s="73"/>
      <c r="IWX39" s="73"/>
      <c r="IWY39" s="73"/>
      <c r="IWZ39" s="73"/>
      <c r="IXA39" s="73"/>
      <c r="IXB39" s="73"/>
      <c r="IXC39" s="73"/>
      <c r="IXD39" s="73"/>
      <c r="IXE39" s="73"/>
      <c r="IXF39" s="73"/>
      <c r="IXG39" s="73"/>
      <c r="IXH39" s="73"/>
      <c r="IXI39" s="73"/>
      <c r="IXJ39" s="73"/>
      <c r="IXK39" s="73"/>
      <c r="IXL39" s="73"/>
      <c r="IXM39" s="73"/>
      <c r="IXN39" s="73"/>
      <c r="IXO39" s="73"/>
      <c r="IXP39" s="73"/>
      <c r="IXQ39" s="73"/>
      <c r="IXR39" s="73"/>
      <c r="IXS39" s="73"/>
      <c r="IXT39" s="73"/>
      <c r="IXU39" s="73"/>
      <c r="IXV39" s="73"/>
      <c r="IXW39" s="73"/>
      <c r="IXX39" s="73"/>
      <c r="IXY39" s="73"/>
      <c r="IXZ39" s="73"/>
      <c r="IYA39" s="73"/>
      <c r="IYB39" s="73"/>
      <c r="IYC39" s="73"/>
      <c r="IYD39" s="73"/>
      <c r="IYE39" s="73"/>
      <c r="IYF39" s="73"/>
      <c r="IYG39" s="73"/>
      <c r="IYH39" s="73"/>
      <c r="IYI39" s="73"/>
      <c r="IYJ39" s="73"/>
      <c r="IYK39" s="73"/>
      <c r="IYL39" s="73"/>
      <c r="IYM39" s="73"/>
      <c r="IYN39" s="73"/>
      <c r="IYO39" s="73"/>
      <c r="IYP39" s="73"/>
      <c r="IYQ39" s="73"/>
      <c r="IYR39" s="73"/>
      <c r="IYS39" s="73"/>
      <c r="IYT39" s="73"/>
      <c r="IYU39" s="73"/>
      <c r="IYV39" s="73"/>
      <c r="IYW39" s="73"/>
      <c r="IYX39" s="73"/>
      <c r="IYY39" s="73"/>
      <c r="IYZ39" s="73"/>
      <c r="IZA39" s="73"/>
      <c r="IZB39" s="73"/>
      <c r="IZC39" s="73"/>
      <c r="IZD39" s="73"/>
      <c r="IZE39" s="73"/>
      <c r="IZF39" s="73"/>
      <c r="IZG39" s="73"/>
      <c r="IZH39" s="73"/>
      <c r="IZI39" s="73"/>
      <c r="IZJ39" s="73"/>
      <c r="IZK39" s="73"/>
      <c r="IZL39" s="73"/>
      <c r="IZM39" s="73"/>
      <c r="IZN39" s="73"/>
      <c r="IZO39" s="73"/>
      <c r="IZP39" s="73"/>
      <c r="IZQ39" s="73"/>
      <c r="IZR39" s="73"/>
      <c r="IZS39" s="73"/>
      <c r="IZT39" s="73"/>
      <c r="IZU39" s="73"/>
      <c r="IZV39" s="73"/>
      <c r="IZW39" s="73"/>
      <c r="IZX39" s="73"/>
      <c r="IZY39" s="73"/>
      <c r="IZZ39" s="73"/>
      <c r="JAA39" s="73"/>
      <c r="JAB39" s="73"/>
      <c r="JAC39" s="73"/>
      <c r="JAD39" s="73"/>
      <c r="JAE39" s="73"/>
      <c r="JAF39" s="73"/>
      <c r="JAG39" s="73"/>
      <c r="JAH39" s="73"/>
      <c r="JAI39" s="73"/>
      <c r="JAJ39" s="73"/>
      <c r="JAK39" s="73"/>
      <c r="JAL39" s="73"/>
      <c r="JAM39" s="73"/>
      <c r="JAN39" s="73"/>
      <c r="JAO39" s="73"/>
      <c r="JAP39" s="73"/>
      <c r="JAQ39" s="73"/>
      <c r="JAR39" s="73"/>
      <c r="JAS39" s="73"/>
      <c r="JAT39" s="73"/>
      <c r="JAU39" s="73"/>
      <c r="JAV39" s="73"/>
      <c r="JAW39" s="73"/>
      <c r="JAX39" s="73"/>
      <c r="JAY39" s="73"/>
      <c r="JAZ39" s="73"/>
      <c r="JBA39" s="73"/>
      <c r="JBB39" s="73"/>
      <c r="JBC39" s="73"/>
      <c r="JBD39" s="73"/>
      <c r="JBE39" s="73"/>
      <c r="JBF39" s="73"/>
      <c r="JBG39" s="73"/>
      <c r="JBH39" s="73"/>
      <c r="JBI39" s="73"/>
      <c r="JBJ39" s="73"/>
      <c r="JBK39" s="73"/>
      <c r="JBL39" s="73"/>
      <c r="JBM39" s="73"/>
      <c r="JBN39" s="73"/>
      <c r="JBO39" s="73"/>
      <c r="JBP39" s="73"/>
      <c r="JBQ39" s="73"/>
      <c r="JBR39" s="73"/>
      <c r="JBS39" s="73"/>
      <c r="JBT39" s="73"/>
      <c r="JBU39" s="73"/>
      <c r="JBV39" s="73"/>
      <c r="JBW39" s="73"/>
      <c r="JBX39" s="73"/>
      <c r="JBY39" s="73"/>
      <c r="JBZ39" s="73"/>
      <c r="JCA39" s="73"/>
      <c r="JCB39" s="73"/>
      <c r="JCC39" s="73"/>
      <c r="JCD39" s="73"/>
      <c r="JCE39" s="73"/>
      <c r="JCF39" s="73"/>
      <c r="JCG39" s="73"/>
      <c r="JCH39" s="73"/>
      <c r="JCI39" s="73"/>
      <c r="JCJ39" s="73"/>
      <c r="JCK39" s="73"/>
      <c r="JCL39" s="73"/>
      <c r="JCM39" s="73"/>
      <c r="JCN39" s="73"/>
      <c r="JCO39" s="73"/>
      <c r="JCP39" s="73"/>
      <c r="JCQ39" s="73"/>
      <c r="JCR39" s="73"/>
      <c r="JCS39" s="73"/>
      <c r="JCT39" s="73"/>
      <c r="JCU39" s="73"/>
      <c r="JCV39" s="73"/>
      <c r="JCW39" s="73"/>
      <c r="JCX39" s="73"/>
      <c r="JCY39" s="73"/>
      <c r="JCZ39" s="73"/>
      <c r="JDA39" s="73"/>
      <c r="JDB39" s="73"/>
      <c r="JDC39" s="73"/>
      <c r="JDD39" s="73"/>
      <c r="JDE39" s="73"/>
      <c r="JDF39" s="73"/>
      <c r="JDG39" s="73"/>
      <c r="JDH39" s="73"/>
      <c r="JDI39" s="73"/>
      <c r="JDJ39" s="73"/>
      <c r="JDK39" s="73"/>
      <c r="JDL39" s="73"/>
      <c r="JDM39" s="73"/>
      <c r="JDN39" s="73"/>
      <c r="JDO39" s="73"/>
      <c r="JDP39" s="73"/>
      <c r="JDQ39" s="73"/>
      <c r="JDR39" s="73"/>
      <c r="JDS39" s="73"/>
      <c r="JDT39" s="73"/>
      <c r="JDU39" s="73"/>
      <c r="JDV39" s="73"/>
      <c r="JDW39" s="73"/>
      <c r="JDX39" s="73"/>
      <c r="JDY39" s="73"/>
      <c r="JDZ39" s="73"/>
      <c r="JEA39" s="73"/>
      <c r="JEB39" s="73"/>
      <c r="JEC39" s="73"/>
      <c r="JED39" s="73"/>
      <c r="JEE39" s="73"/>
      <c r="JEF39" s="73"/>
      <c r="JEG39" s="73"/>
      <c r="JEH39" s="73"/>
      <c r="JEI39" s="73"/>
      <c r="JEJ39" s="73"/>
      <c r="JEK39" s="73"/>
      <c r="JEL39" s="73"/>
      <c r="JEM39" s="73"/>
      <c r="JEN39" s="73"/>
      <c r="JEO39" s="73"/>
      <c r="JEP39" s="73"/>
      <c r="JEQ39" s="73"/>
      <c r="JER39" s="73"/>
      <c r="JES39" s="73"/>
      <c r="JET39" s="73"/>
      <c r="JEU39" s="73"/>
      <c r="JEV39" s="73"/>
      <c r="JEW39" s="73"/>
      <c r="JEX39" s="73"/>
      <c r="JEY39" s="73"/>
      <c r="JEZ39" s="73"/>
      <c r="JFA39" s="73"/>
      <c r="JFB39" s="73"/>
      <c r="JFC39" s="73"/>
      <c r="JFD39" s="73"/>
      <c r="JFE39" s="73"/>
      <c r="JFF39" s="73"/>
      <c r="JFG39" s="73"/>
      <c r="JFH39" s="73"/>
      <c r="JFI39" s="73"/>
      <c r="JFJ39" s="73"/>
      <c r="JFK39" s="73"/>
      <c r="JFL39" s="73"/>
      <c r="JFM39" s="73"/>
      <c r="JFN39" s="73"/>
      <c r="JFO39" s="73"/>
      <c r="JFP39" s="73"/>
      <c r="JFQ39" s="73"/>
      <c r="JFR39" s="73"/>
      <c r="JFS39" s="73"/>
      <c r="JFT39" s="73"/>
      <c r="JFU39" s="73"/>
      <c r="JFV39" s="73"/>
      <c r="JFW39" s="73"/>
      <c r="JFX39" s="73"/>
      <c r="JFY39" s="73"/>
      <c r="JFZ39" s="73"/>
      <c r="JGA39" s="73"/>
      <c r="JGB39" s="73"/>
      <c r="JGC39" s="73"/>
      <c r="JGD39" s="73"/>
      <c r="JGE39" s="73"/>
      <c r="JGF39" s="73"/>
      <c r="JGG39" s="73"/>
      <c r="JGH39" s="73"/>
      <c r="JGI39" s="73"/>
      <c r="JGJ39" s="73"/>
      <c r="JGK39" s="73"/>
      <c r="JGL39" s="73"/>
      <c r="JGM39" s="73"/>
      <c r="JGN39" s="73"/>
      <c r="JGO39" s="73"/>
      <c r="JGP39" s="73"/>
      <c r="JGQ39" s="73"/>
      <c r="JGR39" s="73"/>
      <c r="JGS39" s="73"/>
      <c r="JGT39" s="73"/>
      <c r="JGU39" s="73"/>
      <c r="JGV39" s="73"/>
      <c r="JGW39" s="73"/>
      <c r="JGX39" s="73"/>
      <c r="JGY39" s="73"/>
      <c r="JGZ39" s="73"/>
      <c r="JHA39" s="73"/>
      <c r="JHB39" s="73"/>
      <c r="JHC39" s="73"/>
      <c r="JHD39" s="73"/>
      <c r="JHE39" s="73"/>
      <c r="JHF39" s="73"/>
      <c r="JHG39" s="73"/>
      <c r="JHH39" s="73"/>
      <c r="JHI39" s="73"/>
      <c r="JHJ39" s="73"/>
      <c r="JHK39" s="73"/>
      <c r="JHL39" s="73"/>
      <c r="JHM39" s="73"/>
      <c r="JHN39" s="73"/>
      <c r="JHO39" s="73"/>
      <c r="JHP39" s="73"/>
      <c r="JHQ39" s="73"/>
      <c r="JHR39" s="73"/>
      <c r="JHS39" s="73"/>
      <c r="JHT39" s="73"/>
      <c r="JHU39" s="73"/>
      <c r="JHV39" s="73"/>
      <c r="JHW39" s="73"/>
      <c r="JHX39" s="73"/>
      <c r="JHY39" s="73"/>
      <c r="JHZ39" s="73"/>
      <c r="JIA39" s="73"/>
      <c r="JIB39" s="73"/>
      <c r="JIC39" s="73"/>
      <c r="JID39" s="73"/>
      <c r="JIE39" s="73"/>
      <c r="JIF39" s="73"/>
      <c r="JIG39" s="73"/>
      <c r="JIH39" s="73"/>
      <c r="JII39" s="73"/>
      <c r="JIJ39" s="73"/>
      <c r="JIK39" s="73"/>
      <c r="JIL39" s="73"/>
      <c r="JIM39" s="73"/>
      <c r="JIN39" s="73"/>
      <c r="JIO39" s="73"/>
      <c r="JIP39" s="73"/>
      <c r="JIQ39" s="73"/>
      <c r="JIR39" s="73"/>
      <c r="JIS39" s="73"/>
      <c r="JIT39" s="73"/>
      <c r="JIU39" s="73"/>
      <c r="JIV39" s="73"/>
      <c r="JIW39" s="73"/>
      <c r="JIX39" s="73"/>
      <c r="JIY39" s="73"/>
      <c r="JIZ39" s="73"/>
      <c r="JJA39" s="73"/>
      <c r="JJB39" s="73"/>
      <c r="JJC39" s="73"/>
      <c r="JJD39" s="73"/>
      <c r="JJE39" s="73"/>
      <c r="JJF39" s="73"/>
      <c r="JJG39" s="73"/>
      <c r="JJH39" s="73"/>
      <c r="JJI39" s="73"/>
      <c r="JJJ39" s="73"/>
      <c r="JJK39" s="73"/>
      <c r="JJL39" s="73"/>
      <c r="JJM39" s="73"/>
      <c r="JJN39" s="73"/>
      <c r="JJO39" s="73"/>
      <c r="JJP39" s="73"/>
      <c r="JJQ39" s="73"/>
      <c r="JJR39" s="73"/>
      <c r="JJS39" s="73"/>
      <c r="JJT39" s="73"/>
      <c r="JJU39" s="73"/>
      <c r="JJV39" s="73"/>
      <c r="JJW39" s="73"/>
      <c r="JJX39" s="73"/>
      <c r="JJY39" s="73"/>
      <c r="JJZ39" s="73"/>
      <c r="JKA39" s="73"/>
      <c r="JKB39" s="73"/>
      <c r="JKC39" s="73"/>
      <c r="JKD39" s="73"/>
      <c r="JKE39" s="73"/>
      <c r="JKF39" s="73"/>
      <c r="JKG39" s="73"/>
      <c r="JKH39" s="73"/>
      <c r="JKI39" s="73"/>
      <c r="JKJ39" s="73"/>
      <c r="JKK39" s="73"/>
      <c r="JKL39" s="73"/>
      <c r="JKM39" s="73"/>
      <c r="JKN39" s="73"/>
      <c r="JKO39" s="73"/>
      <c r="JKP39" s="73"/>
      <c r="JKQ39" s="73"/>
      <c r="JKR39" s="73"/>
      <c r="JKS39" s="73"/>
      <c r="JKT39" s="73"/>
      <c r="JKU39" s="73"/>
      <c r="JKV39" s="73"/>
      <c r="JKW39" s="73"/>
      <c r="JKX39" s="73"/>
      <c r="JKY39" s="73"/>
      <c r="JKZ39" s="73"/>
      <c r="JLA39" s="73"/>
      <c r="JLB39" s="73"/>
      <c r="JLC39" s="73"/>
      <c r="JLD39" s="73"/>
      <c r="JLE39" s="73"/>
      <c r="JLF39" s="73"/>
      <c r="JLG39" s="73"/>
      <c r="JLH39" s="73"/>
      <c r="JLI39" s="73"/>
      <c r="JLJ39" s="73"/>
      <c r="JLK39" s="73"/>
      <c r="JLL39" s="73"/>
      <c r="JLM39" s="73"/>
      <c r="JLN39" s="73"/>
      <c r="JLO39" s="73"/>
      <c r="JLP39" s="73"/>
      <c r="JLQ39" s="73"/>
      <c r="JLR39" s="73"/>
      <c r="JLS39" s="73"/>
      <c r="JLT39" s="73"/>
      <c r="JLU39" s="73"/>
      <c r="JLV39" s="73"/>
      <c r="JLW39" s="73"/>
      <c r="JLX39" s="73"/>
      <c r="JLY39" s="73"/>
      <c r="JLZ39" s="73"/>
      <c r="JMA39" s="73"/>
      <c r="JMB39" s="73"/>
      <c r="JMC39" s="73"/>
      <c r="JMD39" s="73"/>
      <c r="JME39" s="73"/>
      <c r="JMF39" s="73"/>
      <c r="JMG39" s="73"/>
      <c r="JMH39" s="73"/>
      <c r="JMI39" s="73"/>
      <c r="JMJ39" s="73"/>
      <c r="JMK39" s="73"/>
      <c r="JML39" s="73"/>
      <c r="JMM39" s="73"/>
      <c r="JMN39" s="73"/>
      <c r="JMO39" s="73"/>
      <c r="JMP39" s="73"/>
      <c r="JMQ39" s="73"/>
      <c r="JMR39" s="73"/>
      <c r="JMS39" s="73"/>
      <c r="JMT39" s="73"/>
      <c r="JMU39" s="73"/>
      <c r="JMV39" s="73"/>
      <c r="JMW39" s="73"/>
      <c r="JMX39" s="73"/>
      <c r="JMY39" s="73"/>
      <c r="JMZ39" s="73"/>
      <c r="JNA39" s="73"/>
      <c r="JNB39" s="73"/>
      <c r="JNC39" s="73"/>
      <c r="JND39" s="73"/>
      <c r="JNE39" s="73"/>
      <c r="JNF39" s="73"/>
      <c r="JNG39" s="73"/>
      <c r="JNH39" s="73"/>
      <c r="JNI39" s="73"/>
      <c r="JNJ39" s="73"/>
      <c r="JNK39" s="73"/>
      <c r="JNL39" s="73"/>
      <c r="JNM39" s="73"/>
      <c r="JNN39" s="73"/>
      <c r="JNO39" s="73"/>
      <c r="JNP39" s="73"/>
      <c r="JNQ39" s="73"/>
      <c r="JNR39" s="73"/>
      <c r="JNS39" s="73"/>
      <c r="JNT39" s="73"/>
      <c r="JNU39" s="73"/>
      <c r="JNV39" s="73"/>
      <c r="JNW39" s="73"/>
      <c r="JNX39" s="73"/>
      <c r="JNY39" s="73"/>
      <c r="JNZ39" s="73"/>
      <c r="JOA39" s="73"/>
      <c r="JOB39" s="73"/>
      <c r="JOC39" s="73"/>
      <c r="JOD39" s="73"/>
      <c r="JOE39" s="73"/>
      <c r="JOF39" s="73"/>
      <c r="JOG39" s="73"/>
      <c r="JOH39" s="73"/>
      <c r="JOI39" s="73"/>
      <c r="JOJ39" s="73"/>
      <c r="JOK39" s="73"/>
      <c r="JOL39" s="73"/>
      <c r="JOM39" s="73"/>
      <c r="JON39" s="73"/>
      <c r="JOO39" s="73"/>
      <c r="JOP39" s="73"/>
      <c r="JOQ39" s="73"/>
      <c r="JOR39" s="73"/>
      <c r="JOS39" s="73"/>
      <c r="JOT39" s="73"/>
      <c r="JOU39" s="73"/>
      <c r="JOV39" s="73"/>
      <c r="JOW39" s="73"/>
      <c r="JOX39" s="73"/>
      <c r="JOY39" s="73"/>
      <c r="JOZ39" s="73"/>
      <c r="JPA39" s="73"/>
      <c r="JPB39" s="73"/>
      <c r="JPC39" s="73"/>
      <c r="JPD39" s="73"/>
      <c r="JPE39" s="73"/>
      <c r="JPF39" s="73"/>
      <c r="JPG39" s="73"/>
      <c r="JPH39" s="73"/>
      <c r="JPI39" s="73"/>
      <c r="JPJ39" s="73"/>
      <c r="JPK39" s="73"/>
      <c r="JPL39" s="73"/>
      <c r="JPM39" s="73"/>
      <c r="JPN39" s="73"/>
      <c r="JPO39" s="73"/>
      <c r="JPP39" s="73"/>
      <c r="JPQ39" s="73"/>
      <c r="JPR39" s="73"/>
      <c r="JPS39" s="73"/>
      <c r="JPT39" s="73"/>
      <c r="JPU39" s="73"/>
      <c r="JPV39" s="73"/>
      <c r="JPW39" s="73"/>
      <c r="JPX39" s="73"/>
      <c r="JPY39" s="73"/>
      <c r="JPZ39" s="73"/>
      <c r="JQA39" s="73"/>
      <c r="JQB39" s="73"/>
      <c r="JQC39" s="73"/>
      <c r="JQD39" s="73"/>
      <c r="JQE39" s="73"/>
      <c r="JQF39" s="73"/>
      <c r="JQG39" s="73"/>
      <c r="JQH39" s="73"/>
      <c r="JQI39" s="73"/>
      <c r="JQJ39" s="73"/>
      <c r="JQK39" s="73"/>
      <c r="JQL39" s="73"/>
      <c r="JQM39" s="73"/>
      <c r="JQN39" s="73"/>
      <c r="JQO39" s="73"/>
      <c r="JQP39" s="73"/>
      <c r="JQQ39" s="73"/>
      <c r="JQR39" s="73"/>
      <c r="JQS39" s="73"/>
      <c r="JQT39" s="73"/>
      <c r="JQU39" s="73"/>
      <c r="JQV39" s="73"/>
      <c r="JQW39" s="73"/>
      <c r="JQX39" s="73"/>
      <c r="JQY39" s="73"/>
      <c r="JQZ39" s="73"/>
      <c r="JRA39" s="73"/>
      <c r="JRB39" s="73"/>
      <c r="JRC39" s="73"/>
      <c r="JRD39" s="73"/>
      <c r="JRE39" s="73"/>
      <c r="JRF39" s="73"/>
      <c r="JRG39" s="73"/>
      <c r="JRH39" s="73"/>
      <c r="JRI39" s="73"/>
      <c r="JRJ39" s="73"/>
      <c r="JRK39" s="73"/>
      <c r="JRL39" s="73"/>
      <c r="JRM39" s="73"/>
      <c r="JRN39" s="73"/>
      <c r="JRO39" s="73"/>
      <c r="JRP39" s="73"/>
      <c r="JRQ39" s="73"/>
      <c r="JRR39" s="73"/>
      <c r="JRS39" s="73"/>
      <c r="JRT39" s="73"/>
      <c r="JRU39" s="73"/>
      <c r="JRV39" s="73"/>
      <c r="JRW39" s="73"/>
      <c r="JRX39" s="73"/>
      <c r="JRY39" s="73"/>
      <c r="JRZ39" s="73"/>
      <c r="JSA39" s="73"/>
      <c r="JSB39" s="73"/>
      <c r="JSC39" s="73"/>
      <c r="JSD39" s="73"/>
      <c r="JSE39" s="73"/>
      <c r="JSF39" s="73"/>
      <c r="JSG39" s="73"/>
      <c r="JSH39" s="73"/>
      <c r="JSI39" s="73"/>
      <c r="JSJ39" s="73"/>
      <c r="JSK39" s="73"/>
      <c r="JSL39" s="73"/>
      <c r="JSM39" s="73"/>
      <c r="JSN39" s="73"/>
      <c r="JSO39" s="73"/>
      <c r="JSP39" s="73"/>
      <c r="JSQ39" s="73"/>
      <c r="JSR39" s="73"/>
      <c r="JSS39" s="73"/>
      <c r="JST39" s="73"/>
      <c r="JSU39" s="73"/>
      <c r="JSV39" s="73"/>
      <c r="JSW39" s="73"/>
      <c r="JSX39" s="73"/>
      <c r="JSY39" s="73"/>
      <c r="JSZ39" s="73"/>
      <c r="JTA39" s="73"/>
      <c r="JTB39" s="73"/>
      <c r="JTC39" s="73"/>
      <c r="JTD39" s="73"/>
      <c r="JTE39" s="73"/>
      <c r="JTF39" s="73"/>
      <c r="JTG39" s="73"/>
      <c r="JTH39" s="73"/>
      <c r="JTI39" s="73"/>
      <c r="JTJ39" s="73"/>
      <c r="JTK39" s="73"/>
      <c r="JTL39" s="73"/>
      <c r="JTM39" s="73"/>
      <c r="JTN39" s="73"/>
      <c r="JTO39" s="73"/>
      <c r="JTP39" s="73"/>
      <c r="JTQ39" s="73"/>
      <c r="JTR39" s="73"/>
      <c r="JTS39" s="73"/>
      <c r="JTT39" s="73"/>
      <c r="JTU39" s="73"/>
      <c r="JTV39" s="73"/>
      <c r="JTW39" s="73"/>
      <c r="JTX39" s="73"/>
      <c r="JTY39" s="73"/>
      <c r="JTZ39" s="73"/>
      <c r="JUA39" s="73"/>
      <c r="JUB39" s="73"/>
      <c r="JUC39" s="73"/>
      <c r="JUD39" s="73"/>
      <c r="JUE39" s="73"/>
      <c r="JUF39" s="73"/>
      <c r="JUG39" s="73"/>
      <c r="JUH39" s="73"/>
      <c r="JUI39" s="73"/>
      <c r="JUJ39" s="73"/>
      <c r="JUK39" s="73"/>
      <c r="JUL39" s="73"/>
      <c r="JUM39" s="73"/>
      <c r="JUN39" s="73"/>
      <c r="JUO39" s="73"/>
      <c r="JUP39" s="73"/>
      <c r="JUQ39" s="73"/>
      <c r="JUR39" s="73"/>
      <c r="JUS39" s="73"/>
      <c r="JUT39" s="73"/>
      <c r="JUU39" s="73"/>
      <c r="JUV39" s="73"/>
      <c r="JUW39" s="73"/>
      <c r="JUX39" s="73"/>
      <c r="JUY39" s="73"/>
      <c r="JUZ39" s="73"/>
      <c r="JVA39" s="73"/>
      <c r="JVB39" s="73"/>
      <c r="JVC39" s="73"/>
      <c r="JVD39" s="73"/>
      <c r="JVE39" s="73"/>
      <c r="JVF39" s="73"/>
      <c r="JVG39" s="73"/>
      <c r="JVH39" s="73"/>
      <c r="JVI39" s="73"/>
      <c r="JVJ39" s="73"/>
      <c r="JVK39" s="73"/>
      <c r="JVL39" s="73"/>
      <c r="JVM39" s="73"/>
      <c r="JVN39" s="73"/>
      <c r="JVO39" s="73"/>
      <c r="JVP39" s="73"/>
      <c r="JVQ39" s="73"/>
      <c r="JVR39" s="73"/>
      <c r="JVS39" s="73"/>
      <c r="JVT39" s="73"/>
      <c r="JVU39" s="73"/>
      <c r="JVV39" s="73"/>
      <c r="JVW39" s="73"/>
      <c r="JVX39" s="73"/>
      <c r="JVY39" s="73"/>
      <c r="JVZ39" s="73"/>
      <c r="JWA39" s="73"/>
      <c r="JWB39" s="73"/>
      <c r="JWC39" s="73"/>
      <c r="JWD39" s="73"/>
      <c r="JWE39" s="73"/>
      <c r="JWF39" s="73"/>
      <c r="JWG39" s="73"/>
      <c r="JWH39" s="73"/>
      <c r="JWI39" s="73"/>
      <c r="JWJ39" s="73"/>
      <c r="JWK39" s="73"/>
      <c r="JWL39" s="73"/>
      <c r="JWM39" s="73"/>
      <c r="JWN39" s="73"/>
      <c r="JWO39" s="73"/>
      <c r="JWP39" s="73"/>
      <c r="JWQ39" s="73"/>
      <c r="JWR39" s="73"/>
      <c r="JWS39" s="73"/>
      <c r="JWT39" s="73"/>
      <c r="JWU39" s="73"/>
      <c r="JWV39" s="73"/>
      <c r="JWW39" s="73"/>
      <c r="JWX39" s="73"/>
      <c r="JWY39" s="73"/>
      <c r="JWZ39" s="73"/>
      <c r="JXA39" s="73"/>
      <c r="JXB39" s="73"/>
      <c r="JXC39" s="73"/>
      <c r="JXD39" s="73"/>
      <c r="JXE39" s="73"/>
      <c r="JXF39" s="73"/>
      <c r="JXG39" s="73"/>
      <c r="JXH39" s="73"/>
      <c r="JXI39" s="73"/>
      <c r="JXJ39" s="73"/>
      <c r="JXK39" s="73"/>
      <c r="JXL39" s="73"/>
      <c r="JXM39" s="73"/>
      <c r="JXN39" s="73"/>
      <c r="JXO39" s="73"/>
      <c r="JXP39" s="73"/>
      <c r="JXQ39" s="73"/>
      <c r="JXR39" s="73"/>
      <c r="JXS39" s="73"/>
      <c r="JXT39" s="73"/>
      <c r="JXU39" s="73"/>
      <c r="JXV39" s="73"/>
      <c r="JXW39" s="73"/>
      <c r="JXX39" s="73"/>
      <c r="JXY39" s="73"/>
      <c r="JXZ39" s="73"/>
      <c r="JYA39" s="73"/>
      <c r="JYB39" s="73"/>
      <c r="JYC39" s="73"/>
      <c r="JYD39" s="73"/>
      <c r="JYE39" s="73"/>
      <c r="JYF39" s="73"/>
      <c r="JYG39" s="73"/>
      <c r="JYH39" s="73"/>
      <c r="JYI39" s="73"/>
      <c r="JYJ39" s="73"/>
      <c r="JYK39" s="73"/>
      <c r="JYL39" s="73"/>
      <c r="JYM39" s="73"/>
      <c r="JYN39" s="73"/>
      <c r="JYO39" s="73"/>
      <c r="JYP39" s="73"/>
      <c r="JYQ39" s="73"/>
      <c r="JYR39" s="73"/>
      <c r="JYS39" s="73"/>
      <c r="JYT39" s="73"/>
      <c r="JYU39" s="73"/>
      <c r="JYV39" s="73"/>
      <c r="JYW39" s="73"/>
      <c r="JYX39" s="73"/>
      <c r="JYY39" s="73"/>
      <c r="JYZ39" s="73"/>
      <c r="JZA39" s="73"/>
      <c r="JZB39" s="73"/>
      <c r="JZC39" s="73"/>
      <c r="JZD39" s="73"/>
      <c r="JZE39" s="73"/>
      <c r="JZF39" s="73"/>
      <c r="JZG39" s="73"/>
      <c r="JZH39" s="73"/>
      <c r="JZI39" s="73"/>
      <c r="JZJ39" s="73"/>
      <c r="JZK39" s="73"/>
      <c r="JZL39" s="73"/>
      <c r="JZM39" s="73"/>
      <c r="JZN39" s="73"/>
      <c r="JZO39" s="73"/>
      <c r="JZP39" s="73"/>
      <c r="JZQ39" s="73"/>
      <c r="JZR39" s="73"/>
      <c r="JZS39" s="73"/>
      <c r="JZT39" s="73"/>
      <c r="JZU39" s="73"/>
      <c r="JZV39" s="73"/>
      <c r="JZW39" s="73"/>
      <c r="JZX39" s="73"/>
      <c r="JZY39" s="73"/>
      <c r="JZZ39" s="73"/>
      <c r="KAA39" s="73"/>
      <c r="KAB39" s="73"/>
      <c r="KAC39" s="73"/>
      <c r="KAD39" s="73"/>
      <c r="KAE39" s="73"/>
      <c r="KAF39" s="73"/>
      <c r="KAG39" s="73"/>
      <c r="KAH39" s="73"/>
      <c r="KAI39" s="73"/>
      <c r="KAJ39" s="73"/>
      <c r="KAK39" s="73"/>
      <c r="KAL39" s="73"/>
      <c r="KAM39" s="73"/>
      <c r="KAN39" s="73"/>
      <c r="KAO39" s="73"/>
      <c r="KAP39" s="73"/>
      <c r="KAQ39" s="73"/>
      <c r="KAR39" s="73"/>
      <c r="KAS39" s="73"/>
      <c r="KAT39" s="73"/>
      <c r="KAU39" s="73"/>
      <c r="KAV39" s="73"/>
      <c r="KAW39" s="73"/>
      <c r="KAX39" s="73"/>
      <c r="KAY39" s="73"/>
      <c r="KAZ39" s="73"/>
      <c r="KBA39" s="73"/>
      <c r="KBB39" s="73"/>
      <c r="KBC39" s="73"/>
      <c r="KBD39" s="73"/>
      <c r="KBE39" s="73"/>
      <c r="KBF39" s="73"/>
      <c r="KBG39" s="73"/>
      <c r="KBH39" s="73"/>
      <c r="KBI39" s="73"/>
      <c r="KBJ39" s="73"/>
      <c r="KBK39" s="73"/>
      <c r="KBL39" s="73"/>
      <c r="KBM39" s="73"/>
      <c r="KBN39" s="73"/>
      <c r="KBO39" s="73"/>
      <c r="KBP39" s="73"/>
      <c r="KBQ39" s="73"/>
      <c r="KBR39" s="73"/>
      <c r="KBS39" s="73"/>
      <c r="KBT39" s="73"/>
      <c r="KBU39" s="73"/>
      <c r="KBV39" s="73"/>
      <c r="KBW39" s="73"/>
      <c r="KBX39" s="73"/>
      <c r="KBY39" s="73"/>
      <c r="KBZ39" s="73"/>
      <c r="KCA39" s="73"/>
      <c r="KCB39" s="73"/>
      <c r="KCC39" s="73"/>
      <c r="KCD39" s="73"/>
      <c r="KCE39" s="73"/>
      <c r="KCF39" s="73"/>
      <c r="KCG39" s="73"/>
      <c r="KCH39" s="73"/>
      <c r="KCI39" s="73"/>
      <c r="KCJ39" s="73"/>
      <c r="KCK39" s="73"/>
      <c r="KCL39" s="73"/>
      <c r="KCM39" s="73"/>
      <c r="KCN39" s="73"/>
      <c r="KCO39" s="73"/>
      <c r="KCP39" s="73"/>
      <c r="KCQ39" s="73"/>
      <c r="KCR39" s="73"/>
      <c r="KCS39" s="73"/>
      <c r="KCT39" s="73"/>
      <c r="KCU39" s="73"/>
      <c r="KCV39" s="73"/>
      <c r="KCW39" s="73"/>
      <c r="KCX39" s="73"/>
      <c r="KCY39" s="73"/>
      <c r="KCZ39" s="73"/>
      <c r="KDA39" s="73"/>
      <c r="KDB39" s="73"/>
      <c r="KDC39" s="73"/>
      <c r="KDD39" s="73"/>
      <c r="KDE39" s="73"/>
      <c r="KDF39" s="73"/>
      <c r="KDG39" s="73"/>
      <c r="KDH39" s="73"/>
      <c r="KDI39" s="73"/>
      <c r="KDJ39" s="73"/>
      <c r="KDK39" s="73"/>
      <c r="KDL39" s="73"/>
      <c r="KDM39" s="73"/>
      <c r="KDN39" s="73"/>
      <c r="KDO39" s="73"/>
      <c r="KDP39" s="73"/>
      <c r="KDQ39" s="73"/>
      <c r="KDR39" s="73"/>
      <c r="KDS39" s="73"/>
      <c r="KDT39" s="73"/>
      <c r="KDU39" s="73"/>
      <c r="KDV39" s="73"/>
      <c r="KDW39" s="73"/>
      <c r="KDX39" s="73"/>
      <c r="KDY39" s="73"/>
      <c r="KDZ39" s="73"/>
      <c r="KEA39" s="73"/>
      <c r="KEB39" s="73"/>
      <c r="KEC39" s="73"/>
      <c r="KED39" s="73"/>
      <c r="KEE39" s="73"/>
      <c r="KEF39" s="73"/>
      <c r="KEG39" s="73"/>
      <c r="KEH39" s="73"/>
      <c r="KEI39" s="73"/>
      <c r="KEJ39" s="73"/>
      <c r="KEK39" s="73"/>
      <c r="KEL39" s="73"/>
      <c r="KEM39" s="73"/>
      <c r="KEN39" s="73"/>
      <c r="KEO39" s="73"/>
      <c r="KEP39" s="73"/>
      <c r="KEQ39" s="73"/>
      <c r="KER39" s="73"/>
      <c r="KES39" s="73"/>
      <c r="KET39" s="73"/>
      <c r="KEU39" s="73"/>
      <c r="KEV39" s="73"/>
      <c r="KEW39" s="73"/>
      <c r="KEX39" s="73"/>
      <c r="KEY39" s="73"/>
      <c r="KEZ39" s="73"/>
      <c r="KFA39" s="73"/>
      <c r="KFB39" s="73"/>
      <c r="KFC39" s="73"/>
      <c r="KFD39" s="73"/>
      <c r="KFE39" s="73"/>
      <c r="KFF39" s="73"/>
      <c r="KFG39" s="73"/>
      <c r="KFH39" s="73"/>
      <c r="KFI39" s="73"/>
      <c r="KFJ39" s="73"/>
      <c r="KFK39" s="73"/>
      <c r="KFL39" s="73"/>
      <c r="KFM39" s="73"/>
      <c r="KFN39" s="73"/>
      <c r="KFO39" s="73"/>
      <c r="KFP39" s="73"/>
      <c r="KFQ39" s="73"/>
      <c r="KFR39" s="73"/>
      <c r="KFS39" s="73"/>
      <c r="KFT39" s="73"/>
      <c r="KFU39" s="73"/>
      <c r="KFV39" s="73"/>
      <c r="KFW39" s="73"/>
      <c r="KFX39" s="73"/>
      <c r="KFY39" s="73"/>
      <c r="KFZ39" s="73"/>
      <c r="KGA39" s="73"/>
      <c r="KGB39" s="73"/>
      <c r="KGC39" s="73"/>
      <c r="KGD39" s="73"/>
      <c r="KGE39" s="73"/>
      <c r="KGF39" s="73"/>
      <c r="KGG39" s="73"/>
      <c r="KGH39" s="73"/>
      <c r="KGI39" s="73"/>
      <c r="KGJ39" s="73"/>
      <c r="KGK39" s="73"/>
      <c r="KGL39" s="73"/>
      <c r="KGM39" s="73"/>
      <c r="KGN39" s="73"/>
      <c r="KGO39" s="73"/>
      <c r="KGP39" s="73"/>
      <c r="KGQ39" s="73"/>
      <c r="KGR39" s="73"/>
      <c r="KGS39" s="73"/>
      <c r="KGT39" s="73"/>
      <c r="KGU39" s="73"/>
      <c r="KGV39" s="73"/>
      <c r="KGW39" s="73"/>
      <c r="KGX39" s="73"/>
      <c r="KGY39" s="73"/>
      <c r="KGZ39" s="73"/>
      <c r="KHA39" s="73"/>
      <c r="KHB39" s="73"/>
      <c r="KHC39" s="73"/>
      <c r="KHD39" s="73"/>
      <c r="KHE39" s="73"/>
      <c r="KHF39" s="73"/>
      <c r="KHG39" s="73"/>
      <c r="KHH39" s="73"/>
      <c r="KHI39" s="73"/>
      <c r="KHJ39" s="73"/>
      <c r="KHK39" s="73"/>
      <c r="KHL39" s="73"/>
      <c r="KHM39" s="73"/>
      <c r="KHN39" s="73"/>
      <c r="KHO39" s="73"/>
      <c r="KHP39" s="73"/>
      <c r="KHQ39" s="73"/>
      <c r="KHR39" s="73"/>
      <c r="KHS39" s="73"/>
      <c r="KHT39" s="73"/>
      <c r="KHU39" s="73"/>
      <c r="KHV39" s="73"/>
      <c r="KHW39" s="73"/>
      <c r="KHX39" s="73"/>
      <c r="KHY39" s="73"/>
      <c r="KHZ39" s="73"/>
      <c r="KIA39" s="73"/>
      <c r="KIB39" s="73"/>
      <c r="KIC39" s="73"/>
      <c r="KID39" s="73"/>
      <c r="KIE39" s="73"/>
      <c r="KIF39" s="73"/>
      <c r="KIG39" s="73"/>
      <c r="KIH39" s="73"/>
      <c r="KII39" s="73"/>
      <c r="KIJ39" s="73"/>
      <c r="KIK39" s="73"/>
      <c r="KIL39" s="73"/>
      <c r="KIM39" s="73"/>
      <c r="KIN39" s="73"/>
      <c r="KIO39" s="73"/>
      <c r="KIP39" s="73"/>
      <c r="KIQ39" s="73"/>
      <c r="KIR39" s="73"/>
      <c r="KIS39" s="73"/>
      <c r="KIT39" s="73"/>
      <c r="KIU39" s="73"/>
      <c r="KIV39" s="73"/>
      <c r="KIW39" s="73"/>
      <c r="KIX39" s="73"/>
      <c r="KIY39" s="73"/>
      <c r="KIZ39" s="73"/>
      <c r="KJA39" s="73"/>
      <c r="KJB39" s="73"/>
      <c r="KJC39" s="73"/>
      <c r="KJD39" s="73"/>
      <c r="KJE39" s="73"/>
      <c r="KJF39" s="73"/>
      <c r="KJG39" s="73"/>
      <c r="KJH39" s="73"/>
      <c r="KJI39" s="73"/>
      <c r="KJJ39" s="73"/>
      <c r="KJK39" s="73"/>
      <c r="KJL39" s="73"/>
      <c r="KJM39" s="73"/>
      <c r="KJN39" s="73"/>
      <c r="KJO39" s="73"/>
      <c r="KJP39" s="73"/>
      <c r="KJQ39" s="73"/>
      <c r="KJR39" s="73"/>
      <c r="KJS39" s="73"/>
      <c r="KJT39" s="73"/>
      <c r="KJU39" s="73"/>
      <c r="KJV39" s="73"/>
      <c r="KJW39" s="73"/>
      <c r="KJX39" s="73"/>
      <c r="KJY39" s="73"/>
      <c r="KJZ39" s="73"/>
      <c r="KKA39" s="73"/>
      <c r="KKB39" s="73"/>
      <c r="KKC39" s="73"/>
      <c r="KKD39" s="73"/>
      <c r="KKE39" s="73"/>
      <c r="KKF39" s="73"/>
      <c r="KKG39" s="73"/>
      <c r="KKH39" s="73"/>
      <c r="KKI39" s="73"/>
      <c r="KKJ39" s="73"/>
      <c r="KKK39" s="73"/>
      <c r="KKL39" s="73"/>
      <c r="KKM39" s="73"/>
      <c r="KKN39" s="73"/>
      <c r="KKO39" s="73"/>
      <c r="KKP39" s="73"/>
      <c r="KKQ39" s="73"/>
      <c r="KKR39" s="73"/>
      <c r="KKS39" s="73"/>
      <c r="KKT39" s="73"/>
      <c r="KKU39" s="73"/>
      <c r="KKV39" s="73"/>
      <c r="KKW39" s="73"/>
      <c r="KKX39" s="73"/>
      <c r="KKY39" s="73"/>
      <c r="KKZ39" s="73"/>
      <c r="KLA39" s="73"/>
      <c r="KLB39" s="73"/>
      <c r="KLC39" s="73"/>
      <c r="KLD39" s="73"/>
      <c r="KLE39" s="73"/>
      <c r="KLF39" s="73"/>
      <c r="KLG39" s="73"/>
      <c r="KLH39" s="73"/>
      <c r="KLI39" s="73"/>
      <c r="KLJ39" s="73"/>
      <c r="KLK39" s="73"/>
      <c r="KLL39" s="73"/>
      <c r="KLM39" s="73"/>
      <c r="KLN39" s="73"/>
      <c r="KLO39" s="73"/>
      <c r="KLP39" s="73"/>
      <c r="KLQ39" s="73"/>
      <c r="KLR39" s="73"/>
      <c r="KLS39" s="73"/>
      <c r="KLT39" s="73"/>
      <c r="KLU39" s="73"/>
      <c r="KLV39" s="73"/>
      <c r="KLW39" s="73"/>
      <c r="KLX39" s="73"/>
      <c r="KLY39" s="73"/>
      <c r="KLZ39" s="73"/>
      <c r="KMA39" s="73"/>
      <c r="KMB39" s="73"/>
      <c r="KMC39" s="73"/>
      <c r="KMD39" s="73"/>
      <c r="KME39" s="73"/>
      <c r="KMF39" s="73"/>
      <c r="KMG39" s="73"/>
      <c r="KMH39" s="73"/>
      <c r="KMI39" s="73"/>
      <c r="KMJ39" s="73"/>
      <c r="KMK39" s="73"/>
      <c r="KML39" s="73"/>
      <c r="KMM39" s="73"/>
      <c r="KMN39" s="73"/>
      <c r="KMO39" s="73"/>
      <c r="KMP39" s="73"/>
      <c r="KMQ39" s="73"/>
      <c r="KMR39" s="73"/>
      <c r="KMS39" s="73"/>
      <c r="KMT39" s="73"/>
      <c r="KMU39" s="73"/>
      <c r="KMV39" s="73"/>
      <c r="KMW39" s="73"/>
      <c r="KMX39" s="73"/>
      <c r="KMY39" s="73"/>
      <c r="KMZ39" s="73"/>
      <c r="KNA39" s="73"/>
      <c r="KNB39" s="73"/>
      <c r="KNC39" s="73"/>
      <c r="KND39" s="73"/>
      <c r="KNE39" s="73"/>
      <c r="KNF39" s="73"/>
      <c r="KNG39" s="73"/>
      <c r="KNH39" s="73"/>
      <c r="KNI39" s="73"/>
      <c r="KNJ39" s="73"/>
      <c r="KNK39" s="73"/>
      <c r="KNL39" s="73"/>
      <c r="KNM39" s="73"/>
      <c r="KNN39" s="73"/>
      <c r="KNO39" s="73"/>
      <c r="KNP39" s="73"/>
      <c r="KNQ39" s="73"/>
      <c r="KNR39" s="73"/>
      <c r="KNS39" s="73"/>
      <c r="KNT39" s="73"/>
      <c r="KNU39" s="73"/>
      <c r="KNV39" s="73"/>
      <c r="KNW39" s="73"/>
      <c r="KNX39" s="73"/>
      <c r="KNY39" s="73"/>
      <c r="KNZ39" s="73"/>
      <c r="KOA39" s="73"/>
      <c r="KOB39" s="73"/>
      <c r="KOC39" s="73"/>
      <c r="KOD39" s="73"/>
      <c r="KOE39" s="73"/>
      <c r="KOF39" s="73"/>
      <c r="KOG39" s="73"/>
      <c r="KOH39" s="73"/>
      <c r="KOI39" s="73"/>
      <c r="KOJ39" s="73"/>
      <c r="KOK39" s="73"/>
      <c r="KOL39" s="73"/>
      <c r="KOM39" s="73"/>
      <c r="KON39" s="73"/>
      <c r="KOO39" s="73"/>
      <c r="KOP39" s="73"/>
      <c r="KOQ39" s="73"/>
      <c r="KOR39" s="73"/>
      <c r="KOS39" s="73"/>
      <c r="KOT39" s="73"/>
      <c r="KOU39" s="73"/>
      <c r="KOV39" s="73"/>
      <c r="KOW39" s="73"/>
      <c r="KOX39" s="73"/>
      <c r="KOY39" s="73"/>
      <c r="KOZ39" s="73"/>
      <c r="KPA39" s="73"/>
      <c r="KPB39" s="73"/>
      <c r="KPC39" s="73"/>
      <c r="KPD39" s="73"/>
      <c r="KPE39" s="73"/>
      <c r="KPF39" s="73"/>
      <c r="KPG39" s="73"/>
      <c r="KPH39" s="73"/>
      <c r="KPI39" s="73"/>
      <c r="KPJ39" s="73"/>
      <c r="KPK39" s="73"/>
      <c r="KPL39" s="73"/>
      <c r="KPM39" s="73"/>
      <c r="KPN39" s="73"/>
      <c r="KPO39" s="73"/>
      <c r="KPP39" s="73"/>
      <c r="KPQ39" s="73"/>
      <c r="KPR39" s="73"/>
      <c r="KPS39" s="73"/>
      <c r="KPT39" s="73"/>
      <c r="KPU39" s="73"/>
      <c r="KPV39" s="73"/>
      <c r="KPW39" s="73"/>
      <c r="KPX39" s="73"/>
      <c r="KPY39" s="73"/>
      <c r="KPZ39" s="73"/>
      <c r="KQA39" s="73"/>
      <c r="KQB39" s="73"/>
      <c r="KQC39" s="73"/>
      <c r="KQD39" s="73"/>
      <c r="KQE39" s="73"/>
      <c r="KQF39" s="73"/>
      <c r="KQG39" s="73"/>
      <c r="KQH39" s="73"/>
      <c r="KQI39" s="73"/>
      <c r="KQJ39" s="73"/>
      <c r="KQK39" s="73"/>
      <c r="KQL39" s="73"/>
      <c r="KQM39" s="73"/>
      <c r="KQN39" s="73"/>
      <c r="KQO39" s="73"/>
      <c r="KQP39" s="73"/>
      <c r="KQQ39" s="73"/>
      <c r="KQR39" s="73"/>
      <c r="KQS39" s="73"/>
      <c r="KQT39" s="73"/>
      <c r="KQU39" s="73"/>
      <c r="KQV39" s="73"/>
      <c r="KQW39" s="73"/>
      <c r="KQX39" s="73"/>
      <c r="KQY39" s="73"/>
      <c r="KQZ39" s="73"/>
      <c r="KRA39" s="73"/>
      <c r="KRB39" s="73"/>
      <c r="KRC39" s="73"/>
      <c r="KRD39" s="73"/>
      <c r="KRE39" s="73"/>
      <c r="KRF39" s="73"/>
      <c r="KRG39" s="73"/>
      <c r="KRH39" s="73"/>
      <c r="KRI39" s="73"/>
      <c r="KRJ39" s="73"/>
      <c r="KRK39" s="73"/>
      <c r="KRL39" s="73"/>
      <c r="KRM39" s="73"/>
      <c r="KRN39" s="73"/>
      <c r="KRO39" s="73"/>
      <c r="KRP39" s="73"/>
      <c r="KRQ39" s="73"/>
      <c r="KRR39" s="73"/>
      <c r="KRS39" s="73"/>
      <c r="KRT39" s="73"/>
      <c r="KRU39" s="73"/>
      <c r="KRV39" s="73"/>
      <c r="KRW39" s="73"/>
      <c r="KRX39" s="73"/>
      <c r="KRY39" s="73"/>
      <c r="KRZ39" s="73"/>
      <c r="KSA39" s="73"/>
      <c r="KSB39" s="73"/>
      <c r="KSC39" s="73"/>
      <c r="KSD39" s="73"/>
      <c r="KSE39" s="73"/>
      <c r="KSF39" s="73"/>
      <c r="KSG39" s="73"/>
      <c r="KSH39" s="73"/>
      <c r="KSI39" s="73"/>
      <c r="KSJ39" s="73"/>
      <c r="KSK39" s="73"/>
      <c r="KSL39" s="73"/>
      <c r="KSM39" s="73"/>
      <c r="KSN39" s="73"/>
      <c r="KSO39" s="73"/>
      <c r="KSP39" s="73"/>
      <c r="KSQ39" s="73"/>
      <c r="KSR39" s="73"/>
      <c r="KSS39" s="73"/>
      <c r="KST39" s="73"/>
      <c r="KSU39" s="73"/>
      <c r="KSV39" s="73"/>
      <c r="KSW39" s="73"/>
      <c r="KSX39" s="73"/>
      <c r="KSY39" s="73"/>
      <c r="KSZ39" s="73"/>
      <c r="KTA39" s="73"/>
      <c r="KTB39" s="73"/>
      <c r="KTC39" s="73"/>
      <c r="KTD39" s="73"/>
      <c r="KTE39" s="73"/>
      <c r="KTF39" s="73"/>
      <c r="KTG39" s="73"/>
      <c r="KTH39" s="73"/>
      <c r="KTI39" s="73"/>
      <c r="KTJ39" s="73"/>
      <c r="KTK39" s="73"/>
      <c r="KTL39" s="73"/>
      <c r="KTM39" s="73"/>
      <c r="KTN39" s="73"/>
      <c r="KTO39" s="73"/>
      <c r="KTP39" s="73"/>
      <c r="KTQ39" s="73"/>
      <c r="KTR39" s="73"/>
      <c r="KTS39" s="73"/>
      <c r="KTT39" s="73"/>
      <c r="KTU39" s="73"/>
      <c r="KTV39" s="73"/>
      <c r="KTW39" s="73"/>
      <c r="KTX39" s="73"/>
      <c r="KTY39" s="73"/>
      <c r="KTZ39" s="73"/>
      <c r="KUA39" s="73"/>
      <c r="KUB39" s="73"/>
      <c r="KUC39" s="73"/>
      <c r="KUD39" s="73"/>
      <c r="KUE39" s="73"/>
      <c r="KUF39" s="73"/>
      <c r="KUG39" s="73"/>
      <c r="KUH39" s="73"/>
      <c r="KUI39" s="73"/>
      <c r="KUJ39" s="73"/>
      <c r="KUK39" s="73"/>
      <c r="KUL39" s="73"/>
      <c r="KUM39" s="73"/>
      <c r="KUN39" s="73"/>
      <c r="KUO39" s="73"/>
      <c r="KUP39" s="73"/>
      <c r="KUQ39" s="73"/>
      <c r="KUR39" s="73"/>
      <c r="KUS39" s="73"/>
      <c r="KUT39" s="73"/>
      <c r="KUU39" s="73"/>
      <c r="KUV39" s="73"/>
      <c r="KUW39" s="73"/>
      <c r="KUX39" s="73"/>
      <c r="KUY39" s="73"/>
      <c r="KUZ39" s="73"/>
      <c r="KVA39" s="73"/>
      <c r="KVB39" s="73"/>
      <c r="KVC39" s="73"/>
      <c r="KVD39" s="73"/>
      <c r="KVE39" s="73"/>
      <c r="KVF39" s="73"/>
      <c r="KVG39" s="73"/>
      <c r="KVH39" s="73"/>
      <c r="KVI39" s="73"/>
      <c r="KVJ39" s="73"/>
      <c r="KVK39" s="73"/>
      <c r="KVL39" s="73"/>
      <c r="KVM39" s="73"/>
      <c r="KVN39" s="73"/>
      <c r="KVO39" s="73"/>
      <c r="KVP39" s="73"/>
      <c r="KVQ39" s="73"/>
      <c r="KVR39" s="73"/>
      <c r="KVS39" s="73"/>
      <c r="KVT39" s="73"/>
      <c r="KVU39" s="73"/>
      <c r="KVV39" s="73"/>
      <c r="KVW39" s="73"/>
      <c r="KVX39" s="73"/>
      <c r="KVY39" s="73"/>
      <c r="KVZ39" s="73"/>
      <c r="KWA39" s="73"/>
      <c r="KWB39" s="73"/>
      <c r="KWC39" s="73"/>
      <c r="KWD39" s="73"/>
      <c r="KWE39" s="73"/>
      <c r="KWF39" s="73"/>
      <c r="KWG39" s="73"/>
      <c r="KWH39" s="73"/>
      <c r="KWI39" s="73"/>
      <c r="KWJ39" s="73"/>
      <c r="KWK39" s="73"/>
      <c r="KWL39" s="73"/>
      <c r="KWM39" s="73"/>
      <c r="KWN39" s="73"/>
      <c r="KWO39" s="73"/>
      <c r="KWP39" s="73"/>
      <c r="KWQ39" s="73"/>
      <c r="KWR39" s="73"/>
      <c r="KWS39" s="73"/>
      <c r="KWT39" s="73"/>
      <c r="KWU39" s="73"/>
      <c r="KWV39" s="73"/>
      <c r="KWW39" s="73"/>
      <c r="KWX39" s="73"/>
      <c r="KWY39" s="73"/>
      <c r="KWZ39" s="73"/>
      <c r="KXA39" s="73"/>
      <c r="KXB39" s="73"/>
      <c r="KXC39" s="73"/>
      <c r="KXD39" s="73"/>
      <c r="KXE39" s="73"/>
      <c r="KXF39" s="73"/>
      <c r="KXG39" s="73"/>
      <c r="KXH39" s="73"/>
      <c r="KXI39" s="73"/>
      <c r="KXJ39" s="73"/>
      <c r="KXK39" s="73"/>
      <c r="KXL39" s="73"/>
      <c r="KXM39" s="73"/>
      <c r="KXN39" s="73"/>
      <c r="KXO39" s="73"/>
      <c r="KXP39" s="73"/>
      <c r="KXQ39" s="73"/>
      <c r="KXR39" s="73"/>
      <c r="KXS39" s="73"/>
      <c r="KXT39" s="73"/>
      <c r="KXU39" s="73"/>
      <c r="KXV39" s="73"/>
      <c r="KXW39" s="73"/>
      <c r="KXX39" s="73"/>
      <c r="KXY39" s="73"/>
      <c r="KXZ39" s="73"/>
      <c r="KYA39" s="73"/>
      <c r="KYB39" s="73"/>
      <c r="KYC39" s="73"/>
      <c r="KYD39" s="73"/>
      <c r="KYE39" s="73"/>
      <c r="KYF39" s="73"/>
      <c r="KYG39" s="73"/>
      <c r="KYH39" s="73"/>
      <c r="KYI39" s="73"/>
      <c r="KYJ39" s="73"/>
      <c r="KYK39" s="73"/>
      <c r="KYL39" s="73"/>
      <c r="KYM39" s="73"/>
      <c r="KYN39" s="73"/>
      <c r="KYO39" s="73"/>
      <c r="KYP39" s="73"/>
      <c r="KYQ39" s="73"/>
      <c r="KYR39" s="73"/>
      <c r="KYS39" s="73"/>
      <c r="KYT39" s="73"/>
      <c r="KYU39" s="73"/>
      <c r="KYV39" s="73"/>
      <c r="KYW39" s="73"/>
      <c r="KYX39" s="73"/>
      <c r="KYY39" s="73"/>
      <c r="KYZ39" s="73"/>
      <c r="KZA39" s="73"/>
      <c r="KZB39" s="73"/>
      <c r="KZC39" s="73"/>
      <c r="KZD39" s="73"/>
      <c r="KZE39" s="73"/>
      <c r="KZF39" s="73"/>
      <c r="KZG39" s="73"/>
      <c r="KZH39" s="73"/>
      <c r="KZI39" s="73"/>
      <c r="KZJ39" s="73"/>
      <c r="KZK39" s="73"/>
      <c r="KZL39" s="73"/>
      <c r="KZM39" s="73"/>
      <c r="KZN39" s="73"/>
      <c r="KZO39" s="73"/>
      <c r="KZP39" s="73"/>
      <c r="KZQ39" s="73"/>
      <c r="KZR39" s="73"/>
      <c r="KZS39" s="73"/>
      <c r="KZT39" s="73"/>
      <c r="KZU39" s="73"/>
      <c r="KZV39" s="73"/>
      <c r="KZW39" s="73"/>
      <c r="KZX39" s="73"/>
      <c r="KZY39" s="73"/>
      <c r="KZZ39" s="73"/>
      <c r="LAA39" s="73"/>
      <c r="LAB39" s="73"/>
      <c r="LAC39" s="73"/>
      <c r="LAD39" s="73"/>
      <c r="LAE39" s="73"/>
      <c r="LAF39" s="73"/>
      <c r="LAG39" s="73"/>
      <c r="LAH39" s="73"/>
      <c r="LAI39" s="73"/>
      <c r="LAJ39" s="73"/>
      <c r="LAK39" s="73"/>
      <c r="LAL39" s="73"/>
      <c r="LAM39" s="73"/>
      <c r="LAN39" s="73"/>
      <c r="LAO39" s="73"/>
      <c r="LAP39" s="73"/>
      <c r="LAQ39" s="73"/>
      <c r="LAR39" s="73"/>
      <c r="LAS39" s="73"/>
      <c r="LAT39" s="73"/>
      <c r="LAU39" s="73"/>
      <c r="LAV39" s="73"/>
      <c r="LAW39" s="73"/>
      <c r="LAX39" s="73"/>
      <c r="LAY39" s="73"/>
      <c r="LAZ39" s="73"/>
      <c r="LBA39" s="73"/>
      <c r="LBB39" s="73"/>
      <c r="LBC39" s="73"/>
      <c r="LBD39" s="73"/>
      <c r="LBE39" s="73"/>
      <c r="LBF39" s="73"/>
      <c r="LBG39" s="73"/>
      <c r="LBH39" s="73"/>
      <c r="LBI39" s="73"/>
      <c r="LBJ39" s="73"/>
      <c r="LBK39" s="73"/>
      <c r="LBL39" s="73"/>
      <c r="LBM39" s="73"/>
      <c r="LBN39" s="73"/>
      <c r="LBO39" s="73"/>
      <c r="LBP39" s="73"/>
      <c r="LBQ39" s="73"/>
      <c r="LBR39" s="73"/>
      <c r="LBS39" s="73"/>
      <c r="LBT39" s="73"/>
      <c r="LBU39" s="73"/>
      <c r="LBV39" s="73"/>
      <c r="LBW39" s="73"/>
      <c r="LBX39" s="73"/>
      <c r="LBY39" s="73"/>
      <c r="LBZ39" s="73"/>
      <c r="LCA39" s="73"/>
      <c r="LCB39" s="73"/>
      <c r="LCC39" s="73"/>
      <c r="LCD39" s="73"/>
      <c r="LCE39" s="73"/>
      <c r="LCF39" s="73"/>
      <c r="LCG39" s="73"/>
      <c r="LCH39" s="73"/>
      <c r="LCI39" s="73"/>
      <c r="LCJ39" s="73"/>
      <c r="LCK39" s="73"/>
      <c r="LCL39" s="73"/>
      <c r="LCM39" s="73"/>
      <c r="LCN39" s="73"/>
      <c r="LCO39" s="73"/>
      <c r="LCP39" s="73"/>
      <c r="LCQ39" s="73"/>
      <c r="LCR39" s="73"/>
      <c r="LCS39" s="73"/>
      <c r="LCT39" s="73"/>
      <c r="LCU39" s="73"/>
      <c r="LCV39" s="73"/>
      <c r="LCW39" s="73"/>
      <c r="LCX39" s="73"/>
      <c r="LCY39" s="73"/>
      <c r="LCZ39" s="73"/>
      <c r="LDA39" s="73"/>
      <c r="LDB39" s="73"/>
      <c r="LDC39" s="73"/>
      <c r="LDD39" s="73"/>
      <c r="LDE39" s="73"/>
      <c r="LDF39" s="73"/>
      <c r="LDG39" s="73"/>
      <c r="LDH39" s="73"/>
      <c r="LDI39" s="73"/>
      <c r="LDJ39" s="73"/>
      <c r="LDK39" s="73"/>
      <c r="LDL39" s="73"/>
      <c r="LDM39" s="73"/>
      <c r="LDN39" s="73"/>
      <c r="LDO39" s="73"/>
      <c r="LDP39" s="73"/>
      <c r="LDQ39" s="73"/>
      <c r="LDR39" s="73"/>
      <c r="LDS39" s="73"/>
      <c r="LDT39" s="73"/>
      <c r="LDU39" s="73"/>
      <c r="LDV39" s="73"/>
      <c r="LDW39" s="73"/>
      <c r="LDX39" s="73"/>
      <c r="LDY39" s="73"/>
      <c r="LDZ39" s="73"/>
      <c r="LEA39" s="73"/>
      <c r="LEB39" s="73"/>
      <c r="LEC39" s="73"/>
      <c r="LED39" s="73"/>
      <c r="LEE39" s="73"/>
      <c r="LEF39" s="73"/>
      <c r="LEG39" s="73"/>
      <c r="LEH39" s="73"/>
      <c r="LEI39" s="73"/>
      <c r="LEJ39" s="73"/>
      <c r="LEK39" s="73"/>
      <c r="LEL39" s="73"/>
      <c r="LEM39" s="73"/>
      <c r="LEN39" s="73"/>
      <c r="LEO39" s="73"/>
      <c r="LEP39" s="73"/>
      <c r="LEQ39" s="73"/>
      <c r="LER39" s="73"/>
      <c r="LES39" s="73"/>
      <c r="LET39" s="73"/>
      <c r="LEU39" s="73"/>
      <c r="LEV39" s="73"/>
      <c r="LEW39" s="73"/>
      <c r="LEX39" s="73"/>
      <c r="LEY39" s="73"/>
      <c r="LEZ39" s="73"/>
      <c r="LFA39" s="73"/>
      <c r="LFB39" s="73"/>
      <c r="LFC39" s="73"/>
      <c r="LFD39" s="73"/>
      <c r="LFE39" s="73"/>
      <c r="LFF39" s="73"/>
      <c r="LFG39" s="73"/>
      <c r="LFH39" s="73"/>
      <c r="LFI39" s="73"/>
      <c r="LFJ39" s="73"/>
      <c r="LFK39" s="73"/>
      <c r="LFL39" s="73"/>
      <c r="LFM39" s="73"/>
      <c r="LFN39" s="73"/>
      <c r="LFO39" s="73"/>
      <c r="LFP39" s="73"/>
      <c r="LFQ39" s="73"/>
      <c r="LFR39" s="73"/>
      <c r="LFS39" s="73"/>
      <c r="LFT39" s="73"/>
      <c r="LFU39" s="73"/>
      <c r="LFV39" s="73"/>
      <c r="LFW39" s="73"/>
      <c r="LFX39" s="73"/>
      <c r="LFY39" s="73"/>
      <c r="LFZ39" s="73"/>
      <c r="LGA39" s="73"/>
      <c r="LGB39" s="73"/>
      <c r="LGC39" s="73"/>
      <c r="LGD39" s="73"/>
      <c r="LGE39" s="73"/>
      <c r="LGF39" s="73"/>
      <c r="LGG39" s="73"/>
      <c r="LGH39" s="73"/>
      <c r="LGI39" s="73"/>
      <c r="LGJ39" s="73"/>
      <c r="LGK39" s="73"/>
      <c r="LGL39" s="73"/>
      <c r="LGM39" s="73"/>
      <c r="LGN39" s="73"/>
      <c r="LGO39" s="73"/>
      <c r="LGP39" s="73"/>
      <c r="LGQ39" s="73"/>
      <c r="LGR39" s="73"/>
      <c r="LGS39" s="73"/>
      <c r="LGT39" s="73"/>
      <c r="LGU39" s="73"/>
      <c r="LGV39" s="73"/>
      <c r="LGW39" s="73"/>
      <c r="LGX39" s="73"/>
      <c r="LGY39" s="73"/>
      <c r="LGZ39" s="73"/>
      <c r="LHA39" s="73"/>
      <c r="LHB39" s="73"/>
      <c r="LHC39" s="73"/>
      <c r="LHD39" s="73"/>
      <c r="LHE39" s="73"/>
      <c r="LHF39" s="73"/>
      <c r="LHG39" s="73"/>
      <c r="LHH39" s="73"/>
      <c r="LHI39" s="73"/>
      <c r="LHJ39" s="73"/>
      <c r="LHK39" s="73"/>
      <c r="LHL39" s="73"/>
      <c r="LHM39" s="73"/>
      <c r="LHN39" s="73"/>
      <c r="LHO39" s="73"/>
      <c r="LHP39" s="73"/>
      <c r="LHQ39" s="73"/>
      <c r="LHR39" s="73"/>
      <c r="LHS39" s="73"/>
      <c r="LHT39" s="73"/>
      <c r="LHU39" s="73"/>
      <c r="LHV39" s="73"/>
      <c r="LHW39" s="73"/>
      <c r="LHX39" s="73"/>
      <c r="LHY39" s="73"/>
      <c r="LHZ39" s="73"/>
      <c r="LIA39" s="73"/>
      <c r="LIB39" s="73"/>
      <c r="LIC39" s="73"/>
      <c r="LID39" s="73"/>
      <c r="LIE39" s="73"/>
      <c r="LIF39" s="73"/>
      <c r="LIG39" s="73"/>
      <c r="LIH39" s="73"/>
      <c r="LII39" s="73"/>
      <c r="LIJ39" s="73"/>
      <c r="LIK39" s="73"/>
      <c r="LIL39" s="73"/>
      <c r="LIM39" s="73"/>
      <c r="LIN39" s="73"/>
      <c r="LIO39" s="73"/>
      <c r="LIP39" s="73"/>
      <c r="LIQ39" s="73"/>
      <c r="LIR39" s="73"/>
      <c r="LIS39" s="73"/>
      <c r="LIT39" s="73"/>
      <c r="LIU39" s="73"/>
      <c r="LIV39" s="73"/>
      <c r="LIW39" s="73"/>
      <c r="LIX39" s="73"/>
      <c r="LIY39" s="73"/>
      <c r="LIZ39" s="73"/>
      <c r="LJA39" s="73"/>
      <c r="LJB39" s="73"/>
      <c r="LJC39" s="73"/>
      <c r="LJD39" s="73"/>
      <c r="LJE39" s="73"/>
      <c r="LJF39" s="73"/>
      <c r="LJG39" s="73"/>
      <c r="LJH39" s="73"/>
      <c r="LJI39" s="73"/>
      <c r="LJJ39" s="73"/>
      <c r="LJK39" s="73"/>
      <c r="LJL39" s="73"/>
      <c r="LJM39" s="73"/>
      <c r="LJN39" s="73"/>
      <c r="LJO39" s="73"/>
      <c r="LJP39" s="73"/>
      <c r="LJQ39" s="73"/>
      <c r="LJR39" s="73"/>
      <c r="LJS39" s="73"/>
      <c r="LJT39" s="73"/>
      <c r="LJU39" s="73"/>
      <c r="LJV39" s="73"/>
      <c r="LJW39" s="73"/>
      <c r="LJX39" s="73"/>
      <c r="LJY39" s="73"/>
      <c r="LJZ39" s="73"/>
      <c r="LKA39" s="73"/>
      <c r="LKB39" s="73"/>
      <c r="LKC39" s="73"/>
      <c r="LKD39" s="73"/>
      <c r="LKE39" s="73"/>
      <c r="LKF39" s="73"/>
      <c r="LKG39" s="73"/>
      <c r="LKH39" s="73"/>
      <c r="LKI39" s="73"/>
      <c r="LKJ39" s="73"/>
      <c r="LKK39" s="73"/>
      <c r="LKL39" s="73"/>
      <c r="LKM39" s="73"/>
      <c r="LKN39" s="73"/>
      <c r="LKO39" s="73"/>
      <c r="LKP39" s="73"/>
      <c r="LKQ39" s="73"/>
      <c r="LKR39" s="73"/>
      <c r="LKS39" s="73"/>
      <c r="LKT39" s="73"/>
      <c r="LKU39" s="73"/>
      <c r="LKV39" s="73"/>
      <c r="LKW39" s="73"/>
      <c r="LKX39" s="73"/>
      <c r="LKY39" s="73"/>
      <c r="LKZ39" s="73"/>
      <c r="LLA39" s="73"/>
      <c r="LLB39" s="73"/>
      <c r="LLC39" s="73"/>
      <c r="LLD39" s="73"/>
      <c r="LLE39" s="73"/>
      <c r="LLF39" s="73"/>
      <c r="LLG39" s="73"/>
      <c r="LLH39" s="73"/>
      <c r="LLI39" s="73"/>
      <c r="LLJ39" s="73"/>
      <c r="LLK39" s="73"/>
      <c r="LLL39" s="73"/>
      <c r="LLM39" s="73"/>
      <c r="LLN39" s="73"/>
      <c r="LLO39" s="73"/>
      <c r="LLP39" s="73"/>
      <c r="LLQ39" s="73"/>
      <c r="LLR39" s="73"/>
      <c r="LLS39" s="73"/>
      <c r="LLT39" s="73"/>
      <c r="LLU39" s="73"/>
      <c r="LLV39" s="73"/>
      <c r="LLW39" s="73"/>
      <c r="LLX39" s="73"/>
      <c r="LLY39" s="73"/>
      <c r="LLZ39" s="73"/>
      <c r="LMA39" s="73"/>
      <c r="LMB39" s="73"/>
      <c r="LMC39" s="73"/>
      <c r="LMD39" s="73"/>
      <c r="LME39" s="73"/>
      <c r="LMF39" s="73"/>
      <c r="LMG39" s="73"/>
      <c r="LMH39" s="73"/>
      <c r="LMI39" s="73"/>
      <c r="LMJ39" s="73"/>
      <c r="LMK39" s="73"/>
      <c r="LML39" s="73"/>
      <c r="LMM39" s="73"/>
      <c r="LMN39" s="73"/>
      <c r="LMO39" s="73"/>
      <c r="LMP39" s="73"/>
      <c r="LMQ39" s="73"/>
      <c r="LMR39" s="73"/>
      <c r="LMS39" s="73"/>
      <c r="LMT39" s="73"/>
      <c r="LMU39" s="73"/>
      <c r="LMV39" s="73"/>
      <c r="LMW39" s="73"/>
      <c r="LMX39" s="73"/>
      <c r="LMY39" s="73"/>
      <c r="LMZ39" s="73"/>
      <c r="LNA39" s="73"/>
      <c r="LNB39" s="73"/>
      <c r="LNC39" s="73"/>
      <c r="LND39" s="73"/>
      <c r="LNE39" s="73"/>
      <c r="LNF39" s="73"/>
      <c r="LNG39" s="73"/>
      <c r="LNH39" s="73"/>
      <c r="LNI39" s="73"/>
      <c r="LNJ39" s="73"/>
      <c r="LNK39" s="73"/>
      <c r="LNL39" s="73"/>
      <c r="LNM39" s="73"/>
      <c r="LNN39" s="73"/>
      <c r="LNO39" s="73"/>
      <c r="LNP39" s="73"/>
      <c r="LNQ39" s="73"/>
      <c r="LNR39" s="73"/>
      <c r="LNS39" s="73"/>
      <c r="LNT39" s="73"/>
      <c r="LNU39" s="73"/>
      <c r="LNV39" s="73"/>
      <c r="LNW39" s="73"/>
      <c r="LNX39" s="73"/>
      <c r="LNY39" s="73"/>
      <c r="LNZ39" s="73"/>
      <c r="LOA39" s="73"/>
      <c r="LOB39" s="73"/>
      <c r="LOC39" s="73"/>
      <c r="LOD39" s="73"/>
      <c r="LOE39" s="73"/>
      <c r="LOF39" s="73"/>
      <c r="LOG39" s="73"/>
      <c r="LOH39" s="73"/>
      <c r="LOI39" s="73"/>
      <c r="LOJ39" s="73"/>
      <c r="LOK39" s="73"/>
      <c r="LOL39" s="73"/>
      <c r="LOM39" s="73"/>
      <c r="LON39" s="73"/>
      <c r="LOO39" s="73"/>
      <c r="LOP39" s="73"/>
      <c r="LOQ39" s="73"/>
      <c r="LOR39" s="73"/>
      <c r="LOS39" s="73"/>
      <c r="LOT39" s="73"/>
      <c r="LOU39" s="73"/>
      <c r="LOV39" s="73"/>
      <c r="LOW39" s="73"/>
      <c r="LOX39" s="73"/>
      <c r="LOY39" s="73"/>
      <c r="LOZ39" s="73"/>
      <c r="LPA39" s="73"/>
      <c r="LPB39" s="73"/>
      <c r="LPC39" s="73"/>
      <c r="LPD39" s="73"/>
      <c r="LPE39" s="73"/>
      <c r="LPF39" s="73"/>
      <c r="LPG39" s="73"/>
      <c r="LPH39" s="73"/>
      <c r="LPI39" s="73"/>
      <c r="LPJ39" s="73"/>
      <c r="LPK39" s="73"/>
      <c r="LPL39" s="73"/>
      <c r="LPM39" s="73"/>
      <c r="LPN39" s="73"/>
      <c r="LPO39" s="73"/>
      <c r="LPP39" s="73"/>
      <c r="LPQ39" s="73"/>
      <c r="LPR39" s="73"/>
      <c r="LPS39" s="73"/>
      <c r="LPT39" s="73"/>
      <c r="LPU39" s="73"/>
      <c r="LPV39" s="73"/>
      <c r="LPW39" s="73"/>
      <c r="LPX39" s="73"/>
      <c r="LPY39" s="73"/>
      <c r="LPZ39" s="73"/>
      <c r="LQA39" s="73"/>
      <c r="LQB39" s="73"/>
      <c r="LQC39" s="73"/>
      <c r="LQD39" s="73"/>
      <c r="LQE39" s="73"/>
      <c r="LQF39" s="73"/>
      <c r="LQG39" s="73"/>
      <c r="LQH39" s="73"/>
      <c r="LQI39" s="73"/>
      <c r="LQJ39" s="73"/>
      <c r="LQK39" s="73"/>
      <c r="LQL39" s="73"/>
      <c r="LQM39" s="73"/>
      <c r="LQN39" s="73"/>
      <c r="LQO39" s="73"/>
      <c r="LQP39" s="73"/>
      <c r="LQQ39" s="73"/>
      <c r="LQR39" s="73"/>
      <c r="LQS39" s="73"/>
      <c r="LQT39" s="73"/>
      <c r="LQU39" s="73"/>
      <c r="LQV39" s="73"/>
      <c r="LQW39" s="73"/>
      <c r="LQX39" s="73"/>
      <c r="LQY39" s="73"/>
      <c r="LQZ39" s="73"/>
      <c r="LRA39" s="73"/>
      <c r="LRB39" s="73"/>
      <c r="LRC39" s="73"/>
      <c r="LRD39" s="73"/>
      <c r="LRE39" s="73"/>
      <c r="LRF39" s="73"/>
      <c r="LRG39" s="73"/>
      <c r="LRH39" s="73"/>
      <c r="LRI39" s="73"/>
      <c r="LRJ39" s="73"/>
      <c r="LRK39" s="73"/>
      <c r="LRL39" s="73"/>
      <c r="LRM39" s="73"/>
      <c r="LRN39" s="73"/>
      <c r="LRO39" s="73"/>
      <c r="LRP39" s="73"/>
      <c r="LRQ39" s="73"/>
      <c r="LRR39" s="73"/>
      <c r="LRS39" s="73"/>
      <c r="LRT39" s="73"/>
      <c r="LRU39" s="73"/>
      <c r="LRV39" s="73"/>
      <c r="LRW39" s="73"/>
      <c r="LRX39" s="73"/>
      <c r="LRY39" s="73"/>
      <c r="LRZ39" s="73"/>
      <c r="LSA39" s="73"/>
      <c r="LSB39" s="73"/>
      <c r="LSC39" s="73"/>
      <c r="LSD39" s="73"/>
      <c r="LSE39" s="73"/>
      <c r="LSF39" s="73"/>
      <c r="LSG39" s="73"/>
      <c r="LSH39" s="73"/>
      <c r="LSI39" s="73"/>
      <c r="LSJ39" s="73"/>
      <c r="LSK39" s="73"/>
      <c r="LSL39" s="73"/>
      <c r="LSM39" s="73"/>
      <c r="LSN39" s="73"/>
      <c r="LSO39" s="73"/>
      <c r="LSP39" s="73"/>
      <c r="LSQ39" s="73"/>
      <c r="LSR39" s="73"/>
      <c r="LSS39" s="73"/>
      <c r="LST39" s="73"/>
      <c r="LSU39" s="73"/>
      <c r="LSV39" s="73"/>
      <c r="LSW39" s="73"/>
      <c r="LSX39" s="73"/>
      <c r="LSY39" s="73"/>
      <c r="LSZ39" s="73"/>
      <c r="LTA39" s="73"/>
      <c r="LTB39" s="73"/>
      <c r="LTC39" s="73"/>
      <c r="LTD39" s="73"/>
      <c r="LTE39" s="73"/>
      <c r="LTF39" s="73"/>
      <c r="LTG39" s="73"/>
      <c r="LTH39" s="73"/>
      <c r="LTI39" s="73"/>
      <c r="LTJ39" s="73"/>
      <c r="LTK39" s="73"/>
      <c r="LTL39" s="73"/>
      <c r="LTM39" s="73"/>
      <c r="LTN39" s="73"/>
      <c r="LTO39" s="73"/>
      <c r="LTP39" s="73"/>
      <c r="LTQ39" s="73"/>
      <c r="LTR39" s="73"/>
      <c r="LTS39" s="73"/>
      <c r="LTT39" s="73"/>
      <c r="LTU39" s="73"/>
      <c r="LTV39" s="73"/>
      <c r="LTW39" s="73"/>
      <c r="LTX39" s="73"/>
      <c r="LTY39" s="73"/>
      <c r="LTZ39" s="73"/>
      <c r="LUA39" s="73"/>
      <c r="LUB39" s="73"/>
      <c r="LUC39" s="73"/>
      <c r="LUD39" s="73"/>
      <c r="LUE39" s="73"/>
      <c r="LUF39" s="73"/>
      <c r="LUG39" s="73"/>
      <c r="LUH39" s="73"/>
      <c r="LUI39" s="73"/>
      <c r="LUJ39" s="73"/>
      <c r="LUK39" s="73"/>
      <c r="LUL39" s="73"/>
      <c r="LUM39" s="73"/>
      <c r="LUN39" s="73"/>
      <c r="LUO39" s="73"/>
      <c r="LUP39" s="73"/>
      <c r="LUQ39" s="73"/>
      <c r="LUR39" s="73"/>
      <c r="LUS39" s="73"/>
      <c r="LUT39" s="73"/>
      <c r="LUU39" s="73"/>
      <c r="LUV39" s="73"/>
      <c r="LUW39" s="73"/>
      <c r="LUX39" s="73"/>
      <c r="LUY39" s="73"/>
      <c r="LUZ39" s="73"/>
      <c r="LVA39" s="73"/>
      <c r="LVB39" s="73"/>
      <c r="LVC39" s="73"/>
      <c r="LVD39" s="73"/>
      <c r="LVE39" s="73"/>
      <c r="LVF39" s="73"/>
      <c r="LVG39" s="73"/>
      <c r="LVH39" s="73"/>
      <c r="LVI39" s="73"/>
      <c r="LVJ39" s="73"/>
      <c r="LVK39" s="73"/>
      <c r="LVL39" s="73"/>
      <c r="LVM39" s="73"/>
      <c r="LVN39" s="73"/>
      <c r="LVO39" s="73"/>
      <c r="LVP39" s="73"/>
      <c r="LVQ39" s="73"/>
      <c r="LVR39" s="73"/>
      <c r="LVS39" s="73"/>
      <c r="LVT39" s="73"/>
      <c r="LVU39" s="73"/>
      <c r="LVV39" s="73"/>
      <c r="LVW39" s="73"/>
      <c r="LVX39" s="73"/>
      <c r="LVY39" s="73"/>
      <c r="LVZ39" s="73"/>
      <c r="LWA39" s="73"/>
      <c r="LWB39" s="73"/>
      <c r="LWC39" s="73"/>
      <c r="LWD39" s="73"/>
      <c r="LWE39" s="73"/>
      <c r="LWF39" s="73"/>
      <c r="LWG39" s="73"/>
      <c r="LWH39" s="73"/>
      <c r="LWI39" s="73"/>
      <c r="LWJ39" s="73"/>
      <c r="LWK39" s="73"/>
      <c r="LWL39" s="73"/>
      <c r="LWM39" s="73"/>
      <c r="LWN39" s="73"/>
      <c r="LWO39" s="73"/>
      <c r="LWP39" s="73"/>
      <c r="LWQ39" s="73"/>
      <c r="LWR39" s="73"/>
      <c r="LWS39" s="73"/>
      <c r="LWT39" s="73"/>
      <c r="LWU39" s="73"/>
      <c r="LWV39" s="73"/>
      <c r="LWW39" s="73"/>
      <c r="LWX39" s="73"/>
      <c r="LWY39" s="73"/>
      <c r="LWZ39" s="73"/>
      <c r="LXA39" s="73"/>
      <c r="LXB39" s="73"/>
      <c r="LXC39" s="73"/>
      <c r="LXD39" s="73"/>
      <c r="LXE39" s="73"/>
      <c r="LXF39" s="73"/>
      <c r="LXG39" s="73"/>
      <c r="LXH39" s="73"/>
      <c r="LXI39" s="73"/>
      <c r="LXJ39" s="73"/>
      <c r="LXK39" s="73"/>
      <c r="LXL39" s="73"/>
      <c r="LXM39" s="73"/>
      <c r="LXN39" s="73"/>
      <c r="LXO39" s="73"/>
      <c r="LXP39" s="73"/>
      <c r="LXQ39" s="73"/>
      <c r="LXR39" s="73"/>
      <c r="LXS39" s="73"/>
      <c r="LXT39" s="73"/>
      <c r="LXU39" s="73"/>
      <c r="LXV39" s="73"/>
      <c r="LXW39" s="73"/>
      <c r="LXX39" s="73"/>
      <c r="LXY39" s="73"/>
      <c r="LXZ39" s="73"/>
      <c r="LYA39" s="73"/>
      <c r="LYB39" s="73"/>
      <c r="LYC39" s="73"/>
      <c r="LYD39" s="73"/>
      <c r="LYE39" s="73"/>
      <c r="LYF39" s="73"/>
      <c r="LYG39" s="73"/>
      <c r="LYH39" s="73"/>
      <c r="LYI39" s="73"/>
      <c r="LYJ39" s="73"/>
      <c r="LYK39" s="73"/>
      <c r="LYL39" s="73"/>
      <c r="LYM39" s="73"/>
      <c r="LYN39" s="73"/>
      <c r="LYO39" s="73"/>
      <c r="LYP39" s="73"/>
      <c r="LYQ39" s="73"/>
      <c r="LYR39" s="73"/>
      <c r="LYS39" s="73"/>
      <c r="LYT39" s="73"/>
      <c r="LYU39" s="73"/>
      <c r="LYV39" s="73"/>
      <c r="LYW39" s="73"/>
      <c r="LYX39" s="73"/>
      <c r="LYY39" s="73"/>
      <c r="LYZ39" s="73"/>
      <c r="LZA39" s="73"/>
      <c r="LZB39" s="73"/>
      <c r="LZC39" s="73"/>
      <c r="LZD39" s="73"/>
      <c r="LZE39" s="73"/>
      <c r="LZF39" s="73"/>
      <c r="LZG39" s="73"/>
      <c r="LZH39" s="73"/>
      <c r="LZI39" s="73"/>
      <c r="LZJ39" s="73"/>
      <c r="LZK39" s="73"/>
      <c r="LZL39" s="73"/>
      <c r="LZM39" s="73"/>
      <c r="LZN39" s="73"/>
      <c r="LZO39" s="73"/>
      <c r="LZP39" s="73"/>
      <c r="LZQ39" s="73"/>
      <c r="LZR39" s="73"/>
      <c r="LZS39" s="73"/>
      <c r="LZT39" s="73"/>
      <c r="LZU39" s="73"/>
      <c r="LZV39" s="73"/>
      <c r="LZW39" s="73"/>
      <c r="LZX39" s="73"/>
      <c r="LZY39" s="73"/>
      <c r="LZZ39" s="73"/>
      <c r="MAA39" s="73"/>
      <c r="MAB39" s="73"/>
      <c r="MAC39" s="73"/>
      <c r="MAD39" s="73"/>
      <c r="MAE39" s="73"/>
      <c r="MAF39" s="73"/>
      <c r="MAG39" s="73"/>
      <c r="MAH39" s="73"/>
      <c r="MAI39" s="73"/>
      <c r="MAJ39" s="73"/>
      <c r="MAK39" s="73"/>
      <c r="MAL39" s="73"/>
      <c r="MAM39" s="73"/>
      <c r="MAN39" s="73"/>
      <c r="MAO39" s="73"/>
      <c r="MAP39" s="73"/>
      <c r="MAQ39" s="73"/>
      <c r="MAR39" s="73"/>
      <c r="MAS39" s="73"/>
      <c r="MAT39" s="73"/>
      <c r="MAU39" s="73"/>
      <c r="MAV39" s="73"/>
      <c r="MAW39" s="73"/>
      <c r="MAX39" s="73"/>
      <c r="MAY39" s="73"/>
      <c r="MAZ39" s="73"/>
      <c r="MBA39" s="73"/>
      <c r="MBB39" s="73"/>
      <c r="MBC39" s="73"/>
      <c r="MBD39" s="73"/>
      <c r="MBE39" s="73"/>
      <c r="MBF39" s="73"/>
      <c r="MBG39" s="73"/>
      <c r="MBH39" s="73"/>
      <c r="MBI39" s="73"/>
      <c r="MBJ39" s="73"/>
      <c r="MBK39" s="73"/>
      <c r="MBL39" s="73"/>
      <c r="MBM39" s="73"/>
      <c r="MBN39" s="73"/>
      <c r="MBO39" s="73"/>
      <c r="MBP39" s="73"/>
      <c r="MBQ39" s="73"/>
      <c r="MBR39" s="73"/>
      <c r="MBS39" s="73"/>
      <c r="MBT39" s="73"/>
      <c r="MBU39" s="73"/>
      <c r="MBV39" s="73"/>
      <c r="MBW39" s="73"/>
      <c r="MBX39" s="73"/>
      <c r="MBY39" s="73"/>
      <c r="MBZ39" s="73"/>
      <c r="MCA39" s="73"/>
      <c r="MCB39" s="73"/>
      <c r="MCC39" s="73"/>
      <c r="MCD39" s="73"/>
      <c r="MCE39" s="73"/>
      <c r="MCF39" s="73"/>
      <c r="MCG39" s="73"/>
      <c r="MCH39" s="73"/>
      <c r="MCI39" s="73"/>
      <c r="MCJ39" s="73"/>
      <c r="MCK39" s="73"/>
      <c r="MCL39" s="73"/>
      <c r="MCM39" s="73"/>
      <c r="MCN39" s="73"/>
      <c r="MCO39" s="73"/>
      <c r="MCP39" s="73"/>
      <c r="MCQ39" s="73"/>
      <c r="MCR39" s="73"/>
      <c r="MCS39" s="73"/>
      <c r="MCT39" s="73"/>
      <c r="MCU39" s="73"/>
      <c r="MCV39" s="73"/>
      <c r="MCW39" s="73"/>
      <c r="MCX39" s="73"/>
      <c r="MCY39" s="73"/>
      <c r="MCZ39" s="73"/>
      <c r="MDA39" s="73"/>
      <c r="MDB39" s="73"/>
      <c r="MDC39" s="73"/>
      <c r="MDD39" s="73"/>
      <c r="MDE39" s="73"/>
      <c r="MDF39" s="73"/>
      <c r="MDG39" s="73"/>
      <c r="MDH39" s="73"/>
      <c r="MDI39" s="73"/>
      <c r="MDJ39" s="73"/>
      <c r="MDK39" s="73"/>
      <c r="MDL39" s="73"/>
      <c r="MDM39" s="73"/>
      <c r="MDN39" s="73"/>
      <c r="MDO39" s="73"/>
      <c r="MDP39" s="73"/>
      <c r="MDQ39" s="73"/>
      <c r="MDR39" s="73"/>
      <c r="MDS39" s="73"/>
      <c r="MDT39" s="73"/>
      <c r="MDU39" s="73"/>
      <c r="MDV39" s="73"/>
      <c r="MDW39" s="73"/>
      <c r="MDX39" s="73"/>
      <c r="MDY39" s="73"/>
      <c r="MDZ39" s="73"/>
      <c r="MEA39" s="73"/>
      <c r="MEB39" s="73"/>
      <c r="MEC39" s="73"/>
      <c r="MED39" s="73"/>
      <c r="MEE39" s="73"/>
      <c r="MEF39" s="73"/>
      <c r="MEG39" s="73"/>
      <c r="MEH39" s="73"/>
      <c r="MEI39" s="73"/>
      <c r="MEJ39" s="73"/>
      <c r="MEK39" s="73"/>
      <c r="MEL39" s="73"/>
      <c r="MEM39" s="73"/>
      <c r="MEN39" s="73"/>
      <c r="MEO39" s="73"/>
      <c r="MEP39" s="73"/>
      <c r="MEQ39" s="73"/>
      <c r="MER39" s="73"/>
      <c r="MES39" s="73"/>
      <c r="MET39" s="73"/>
      <c r="MEU39" s="73"/>
      <c r="MEV39" s="73"/>
      <c r="MEW39" s="73"/>
      <c r="MEX39" s="73"/>
      <c r="MEY39" s="73"/>
      <c r="MEZ39" s="73"/>
      <c r="MFA39" s="73"/>
      <c r="MFB39" s="73"/>
      <c r="MFC39" s="73"/>
      <c r="MFD39" s="73"/>
      <c r="MFE39" s="73"/>
      <c r="MFF39" s="73"/>
      <c r="MFG39" s="73"/>
      <c r="MFH39" s="73"/>
      <c r="MFI39" s="73"/>
      <c r="MFJ39" s="73"/>
      <c r="MFK39" s="73"/>
      <c r="MFL39" s="73"/>
      <c r="MFM39" s="73"/>
      <c r="MFN39" s="73"/>
      <c r="MFO39" s="73"/>
      <c r="MFP39" s="73"/>
      <c r="MFQ39" s="73"/>
      <c r="MFR39" s="73"/>
      <c r="MFS39" s="73"/>
      <c r="MFT39" s="73"/>
      <c r="MFU39" s="73"/>
      <c r="MFV39" s="73"/>
      <c r="MFW39" s="73"/>
      <c r="MFX39" s="73"/>
      <c r="MFY39" s="73"/>
      <c r="MFZ39" s="73"/>
      <c r="MGA39" s="73"/>
      <c r="MGB39" s="73"/>
      <c r="MGC39" s="73"/>
      <c r="MGD39" s="73"/>
      <c r="MGE39" s="73"/>
      <c r="MGF39" s="73"/>
      <c r="MGG39" s="73"/>
      <c r="MGH39" s="73"/>
      <c r="MGI39" s="73"/>
      <c r="MGJ39" s="73"/>
      <c r="MGK39" s="73"/>
      <c r="MGL39" s="73"/>
      <c r="MGM39" s="73"/>
      <c r="MGN39" s="73"/>
      <c r="MGO39" s="73"/>
      <c r="MGP39" s="73"/>
      <c r="MGQ39" s="73"/>
      <c r="MGR39" s="73"/>
      <c r="MGS39" s="73"/>
      <c r="MGT39" s="73"/>
      <c r="MGU39" s="73"/>
      <c r="MGV39" s="73"/>
      <c r="MGW39" s="73"/>
      <c r="MGX39" s="73"/>
      <c r="MGY39" s="73"/>
      <c r="MGZ39" s="73"/>
      <c r="MHA39" s="73"/>
      <c r="MHB39" s="73"/>
      <c r="MHC39" s="73"/>
      <c r="MHD39" s="73"/>
      <c r="MHE39" s="73"/>
      <c r="MHF39" s="73"/>
      <c r="MHG39" s="73"/>
      <c r="MHH39" s="73"/>
      <c r="MHI39" s="73"/>
      <c r="MHJ39" s="73"/>
      <c r="MHK39" s="73"/>
      <c r="MHL39" s="73"/>
      <c r="MHM39" s="73"/>
      <c r="MHN39" s="73"/>
      <c r="MHO39" s="73"/>
      <c r="MHP39" s="73"/>
      <c r="MHQ39" s="73"/>
      <c r="MHR39" s="73"/>
      <c r="MHS39" s="73"/>
      <c r="MHT39" s="73"/>
      <c r="MHU39" s="73"/>
      <c r="MHV39" s="73"/>
      <c r="MHW39" s="73"/>
      <c r="MHX39" s="73"/>
      <c r="MHY39" s="73"/>
      <c r="MHZ39" s="73"/>
      <c r="MIA39" s="73"/>
      <c r="MIB39" s="73"/>
      <c r="MIC39" s="73"/>
      <c r="MID39" s="73"/>
      <c r="MIE39" s="73"/>
      <c r="MIF39" s="73"/>
      <c r="MIG39" s="73"/>
      <c r="MIH39" s="73"/>
      <c r="MII39" s="73"/>
      <c r="MIJ39" s="73"/>
      <c r="MIK39" s="73"/>
      <c r="MIL39" s="73"/>
      <c r="MIM39" s="73"/>
      <c r="MIN39" s="73"/>
      <c r="MIO39" s="73"/>
      <c r="MIP39" s="73"/>
      <c r="MIQ39" s="73"/>
      <c r="MIR39" s="73"/>
      <c r="MIS39" s="73"/>
      <c r="MIT39" s="73"/>
      <c r="MIU39" s="73"/>
      <c r="MIV39" s="73"/>
      <c r="MIW39" s="73"/>
      <c r="MIX39" s="73"/>
      <c r="MIY39" s="73"/>
      <c r="MIZ39" s="73"/>
      <c r="MJA39" s="73"/>
      <c r="MJB39" s="73"/>
      <c r="MJC39" s="73"/>
      <c r="MJD39" s="73"/>
      <c r="MJE39" s="73"/>
      <c r="MJF39" s="73"/>
      <c r="MJG39" s="73"/>
      <c r="MJH39" s="73"/>
      <c r="MJI39" s="73"/>
      <c r="MJJ39" s="73"/>
      <c r="MJK39" s="73"/>
      <c r="MJL39" s="73"/>
      <c r="MJM39" s="73"/>
      <c r="MJN39" s="73"/>
      <c r="MJO39" s="73"/>
      <c r="MJP39" s="73"/>
      <c r="MJQ39" s="73"/>
      <c r="MJR39" s="73"/>
      <c r="MJS39" s="73"/>
      <c r="MJT39" s="73"/>
      <c r="MJU39" s="73"/>
      <c r="MJV39" s="73"/>
      <c r="MJW39" s="73"/>
      <c r="MJX39" s="73"/>
      <c r="MJY39" s="73"/>
      <c r="MJZ39" s="73"/>
      <c r="MKA39" s="73"/>
      <c r="MKB39" s="73"/>
      <c r="MKC39" s="73"/>
      <c r="MKD39" s="73"/>
      <c r="MKE39" s="73"/>
      <c r="MKF39" s="73"/>
      <c r="MKG39" s="73"/>
      <c r="MKH39" s="73"/>
      <c r="MKI39" s="73"/>
      <c r="MKJ39" s="73"/>
      <c r="MKK39" s="73"/>
      <c r="MKL39" s="73"/>
      <c r="MKM39" s="73"/>
      <c r="MKN39" s="73"/>
      <c r="MKO39" s="73"/>
      <c r="MKP39" s="73"/>
      <c r="MKQ39" s="73"/>
      <c r="MKR39" s="73"/>
      <c r="MKS39" s="73"/>
      <c r="MKT39" s="73"/>
      <c r="MKU39" s="73"/>
      <c r="MKV39" s="73"/>
      <c r="MKW39" s="73"/>
      <c r="MKX39" s="73"/>
      <c r="MKY39" s="73"/>
      <c r="MKZ39" s="73"/>
      <c r="MLA39" s="73"/>
      <c r="MLB39" s="73"/>
      <c r="MLC39" s="73"/>
      <c r="MLD39" s="73"/>
      <c r="MLE39" s="73"/>
      <c r="MLF39" s="73"/>
      <c r="MLG39" s="73"/>
      <c r="MLH39" s="73"/>
      <c r="MLI39" s="73"/>
      <c r="MLJ39" s="73"/>
      <c r="MLK39" s="73"/>
      <c r="MLL39" s="73"/>
      <c r="MLM39" s="73"/>
      <c r="MLN39" s="73"/>
      <c r="MLO39" s="73"/>
      <c r="MLP39" s="73"/>
      <c r="MLQ39" s="73"/>
      <c r="MLR39" s="73"/>
      <c r="MLS39" s="73"/>
      <c r="MLT39" s="73"/>
      <c r="MLU39" s="73"/>
      <c r="MLV39" s="73"/>
      <c r="MLW39" s="73"/>
      <c r="MLX39" s="73"/>
      <c r="MLY39" s="73"/>
      <c r="MLZ39" s="73"/>
      <c r="MMA39" s="73"/>
      <c r="MMB39" s="73"/>
      <c r="MMC39" s="73"/>
      <c r="MMD39" s="73"/>
      <c r="MME39" s="73"/>
      <c r="MMF39" s="73"/>
      <c r="MMG39" s="73"/>
      <c r="MMH39" s="73"/>
      <c r="MMI39" s="73"/>
      <c r="MMJ39" s="73"/>
      <c r="MMK39" s="73"/>
      <c r="MML39" s="73"/>
      <c r="MMM39" s="73"/>
      <c r="MMN39" s="73"/>
      <c r="MMO39" s="73"/>
      <c r="MMP39" s="73"/>
      <c r="MMQ39" s="73"/>
      <c r="MMR39" s="73"/>
      <c r="MMS39" s="73"/>
      <c r="MMT39" s="73"/>
      <c r="MMU39" s="73"/>
      <c r="MMV39" s="73"/>
      <c r="MMW39" s="73"/>
      <c r="MMX39" s="73"/>
      <c r="MMY39" s="73"/>
      <c r="MMZ39" s="73"/>
      <c r="MNA39" s="73"/>
      <c r="MNB39" s="73"/>
      <c r="MNC39" s="73"/>
      <c r="MND39" s="73"/>
      <c r="MNE39" s="73"/>
      <c r="MNF39" s="73"/>
      <c r="MNG39" s="73"/>
      <c r="MNH39" s="73"/>
      <c r="MNI39" s="73"/>
      <c r="MNJ39" s="73"/>
      <c r="MNK39" s="73"/>
      <c r="MNL39" s="73"/>
      <c r="MNM39" s="73"/>
      <c r="MNN39" s="73"/>
      <c r="MNO39" s="73"/>
      <c r="MNP39" s="73"/>
      <c r="MNQ39" s="73"/>
      <c r="MNR39" s="73"/>
      <c r="MNS39" s="73"/>
      <c r="MNT39" s="73"/>
      <c r="MNU39" s="73"/>
      <c r="MNV39" s="73"/>
      <c r="MNW39" s="73"/>
      <c r="MNX39" s="73"/>
      <c r="MNY39" s="73"/>
      <c r="MNZ39" s="73"/>
      <c r="MOA39" s="73"/>
      <c r="MOB39" s="73"/>
      <c r="MOC39" s="73"/>
      <c r="MOD39" s="73"/>
      <c r="MOE39" s="73"/>
      <c r="MOF39" s="73"/>
      <c r="MOG39" s="73"/>
      <c r="MOH39" s="73"/>
      <c r="MOI39" s="73"/>
      <c r="MOJ39" s="73"/>
      <c r="MOK39" s="73"/>
      <c r="MOL39" s="73"/>
      <c r="MOM39" s="73"/>
      <c r="MON39" s="73"/>
      <c r="MOO39" s="73"/>
      <c r="MOP39" s="73"/>
      <c r="MOQ39" s="73"/>
      <c r="MOR39" s="73"/>
      <c r="MOS39" s="73"/>
      <c r="MOT39" s="73"/>
      <c r="MOU39" s="73"/>
      <c r="MOV39" s="73"/>
      <c r="MOW39" s="73"/>
      <c r="MOX39" s="73"/>
      <c r="MOY39" s="73"/>
      <c r="MOZ39" s="73"/>
      <c r="MPA39" s="73"/>
      <c r="MPB39" s="73"/>
      <c r="MPC39" s="73"/>
      <c r="MPD39" s="73"/>
      <c r="MPE39" s="73"/>
      <c r="MPF39" s="73"/>
      <c r="MPG39" s="73"/>
      <c r="MPH39" s="73"/>
      <c r="MPI39" s="73"/>
      <c r="MPJ39" s="73"/>
      <c r="MPK39" s="73"/>
      <c r="MPL39" s="73"/>
      <c r="MPM39" s="73"/>
      <c r="MPN39" s="73"/>
      <c r="MPO39" s="73"/>
      <c r="MPP39" s="73"/>
      <c r="MPQ39" s="73"/>
      <c r="MPR39" s="73"/>
      <c r="MPS39" s="73"/>
      <c r="MPT39" s="73"/>
      <c r="MPU39" s="73"/>
      <c r="MPV39" s="73"/>
      <c r="MPW39" s="73"/>
      <c r="MPX39" s="73"/>
      <c r="MPY39" s="73"/>
      <c r="MPZ39" s="73"/>
      <c r="MQA39" s="73"/>
      <c r="MQB39" s="73"/>
      <c r="MQC39" s="73"/>
      <c r="MQD39" s="73"/>
      <c r="MQE39" s="73"/>
      <c r="MQF39" s="73"/>
      <c r="MQG39" s="73"/>
      <c r="MQH39" s="73"/>
      <c r="MQI39" s="73"/>
      <c r="MQJ39" s="73"/>
      <c r="MQK39" s="73"/>
      <c r="MQL39" s="73"/>
      <c r="MQM39" s="73"/>
      <c r="MQN39" s="73"/>
      <c r="MQO39" s="73"/>
      <c r="MQP39" s="73"/>
      <c r="MQQ39" s="73"/>
      <c r="MQR39" s="73"/>
      <c r="MQS39" s="73"/>
      <c r="MQT39" s="73"/>
      <c r="MQU39" s="73"/>
      <c r="MQV39" s="73"/>
      <c r="MQW39" s="73"/>
      <c r="MQX39" s="73"/>
      <c r="MQY39" s="73"/>
      <c r="MQZ39" s="73"/>
      <c r="MRA39" s="73"/>
      <c r="MRB39" s="73"/>
      <c r="MRC39" s="73"/>
      <c r="MRD39" s="73"/>
      <c r="MRE39" s="73"/>
      <c r="MRF39" s="73"/>
      <c r="MRG39" s="73"/>
      <c r="MRH39" s="73"/>
      <c r="MRI39" s="73"/>
      <c r="MRJ39" s="73"/>
      <c r="MRK39" s="73"/>
      <c r="MRL39" s="73"/>
      <c r="MRM39" s="73"/>
      <c r="MRN39" s="73"/>
      <c r="MRO39" s="73"/>
      <c r="MRP39" s="73"/>
      <c r="MRQ39" s="73"/>
      <c r="MRR39" s="73"/>
      <c r="MRS39" s="73"/>
      <c r="MRT39" s="73"/>
      <c r="MRU39" s="73"/>
      <c r="MRV39" s="73"/>
      <c r="MRW39" s="73"/>
      <c r="MRX39" s="73"/>
      <c r="MRY39" s="73"/>
      <c r="MRZ39" s="73"/>
      <c r="MSA39" s="73"/>
      <c r="MSB39" s="73"/>
      <c r="MSC39" s="73"/>
      <c r="MSD39" s="73"/>
      <c r="MSE39" s="73"/>
      <c r="MSF39" s="73"/>
      <c r="MSG39" s="73"/>
      <c r="MSH39" s="73"/>
      <c r="MSI39" s="73"/>
      <c r="MSJ39" s="73"/>
      <c r="MSK39" s="73"/>
      <c r="MSL39" s="73"/>
      <c r="MSM39" s="73"/>
      <c r="MSN39" s="73"/>
      <c r="MSO39" s="73"/>
      <c r="MSP39" s="73"/>
      <c r="MSQ39" s="73"/>
      <c r="MSR39" s="73"/>
      <c r="MSS39" s="73"/>
      <c r="MST39" s="73"/>
      <c r="MSU39" s="73"/>
      <c r="MSV39" s="73"/>
      <c r="MSW39" s="73"/>
      <c r="MSX39" s="73"/>
      <c r="MSY39" s="73"/>
      <c r="MSZ39" s="73"/>
      <c r="MTA39" s="73"/>
      <c r="MTB39" s="73"/>
      <c r="MTC39" s="73"/>
      <c r="MTD39" s="73"/>
      <c r="MTE39" s="73"/>
      <c r="MTF39" s="73"/>
      <c r="MTG39" s="73"/>
      <c r="MTH39" s="73"/>
      <c r="MTI39" s="73"/>
      <c r="MTJ39" s="73"/>
      <c r="MTK39" s="73"/>
      <c r="MTL39" s="73"/>
      <c r="MTM39" s="73"/>
      <c r="MTN39" s="73"/>
      <c r="MTO39" s="73"/>
      <c r="MTP39" s="73"/>
      <c r="MTQ39" s="73"/>
      <c r="MTR39" s="73"/>
      <c r="MTS39" s="73"/>
      <c r="MTT39" s="73"/>
      <c r="MTU39" s="73"/>
      <c r="MTV39" s="73"/>
      <c r="MTW39" s="73"/>
      <c r="MTX39" s="73"/>
      <c r="MTY39" s="73"/>
      <c r="MTZ39" s="73"/>
      <c r="MUA39" s="73"/>
      <c r="MUB39" s="73"/>
      <c r="MUC39" s="73"/>
      <c r="MUD39" s="73"/>
      <c r="MUE39" s="73"/>
      <c r="MUF39" s="73"/>
      <c r="MUG39" s="73"/>
      <c r="MUH39" s="73"/>
      <c r="MUI39" s="73"/>
      <c r="MUJ39" s="73"/>
      <c r="MUK39" s="73"/>
      <c r="MUL39" s="73"/>
      <c r="MUM39" s="73"/>
      <c r="MUN39" s="73"/>
      <c r="MUO39" s="73"/>
      <c r="MUP39" s="73"/>
      <c r="MUQ39" s="73"/>
      <c r="MUR39" s="73"/>
      <c r="MUS39" s="73"/>
      <c r="MUT39" s="73"/>
      <c r="MUU39" s="73"/>
      <c r="MUV39" s="73"/>
      <c r="MUW39" s="73"/>
      <c r="MUX39" s="73"/>
      <c r="MUY39" s="73"/>
      <c r="MUZ39" s="73"/>
      <c r="MVA39" s="73"/>
      <c r="MVB39" s="73"/>
      <c r="MVC39" s="73"/>
      <c r="MVD39" s="73"/>
      <c r="MVE39" s="73"/>
      <c r="MVF39" s="73"/>
      <c r="MVG39" s="73"/>
      <c r="MVH39" s="73"/>
      <c r="MVI39" s="73"/>
      <c r="MVJ39" s="73"/>
      <c r="MVK39" s="73"/>
      <c r="MVL39" s="73"/>
      <c r="MVM39" s="73"/>
      <c r="MVN39" s="73"/>
      <c r="MVO39" s="73"/>
      <c r="MVP39" s="73"/>
      <c r="MVQ39" s="73"/>
      <c r="MVR39" s="73"/>
      <c r="MVS39" s="73"/>
      <c r="MVT39" s="73"/>
      <c r="MVU39" s="73"/>
      <c r="MVV39" s="73"/>
      <c r="MVW39" s="73"/>
      <c r="MVX39" s="73"/>
      <c r="MVY39" s="73"/>
      <c r="MVZ39" s="73"/>
      <c r="MWA39" s="73"/>
      <c r="MWB39" s="73"/>
      <c r="MWC39" s="73"/>
      <c r="MWD39" s="73"/>
      <c r="MWE39" s="73"/>
      <c r="MWF39" s="73"/>
      <c r="MWG39" s="73"/>
      <c r="MWH39" s="73"/>
      <c r="MWI39" s="73"/>
      <c r="MWJ39" s="73"/>
      <c r="MWK39" s="73"/>
      <c r="MWL39" s="73"/>
      <c r="MWM39" s="73"/>
      <c r="MWN39" s="73"/>
      <c r="MWO39" s="73"/>
      <c r="MWP39" s="73"/>
      <c r="MWQ39" s="73"/>
      <c r="MWR39" s="73"/>
      <c r="MWS39" s="73"/>
      <c r="MWT39" s="73"/>
      <c r="MWU39" s="73"/>
      <c r="MWV39" s="73"/>
      <c r="MWW39" s="73"/>
      <c r="MWX39" s="73"/>
      <c r="MWY39" s="73"/>
      <c r="MWZ39" s="73"/>
      <c r="MXA39" s="73"/>
      <c r="MXB39" s="73"/>
      <c r="MXC39" s="73"/>
      <c r="MXD39" s="73"/>
      <c r="MXE39" s="73"/>
      <c r="MXF39" s="73"/>
      <c r="MXG39" s="73"/>
      <c r="MXH39" s="73"/>
      <c r="MXI39" s="73"/>
      <c r="MXJ39" s="73"/>
      <c r="MXK39" s="73"/>
      <c r="MXL39" s="73"/>
      <c r="MXM39" s="73"/>
      <c r="MXN39" s="73"/>
      <c r="MXO39" s="73"/>
      <c r="MXP39" s="73"/>
      <c r="MXQ39" s="73"/>
      <c r="MXR39" s="73"/>
      <c r="MXS39" s="73"/>
      <c r="MXT39" s="73"/>
      <c r="MXU39" s="73"/>
      <c r="MXV39" s="73"/>
      <c r="MXW39" s="73"/>
      <c r="MXX39" s="73"/>
      <c r="MXY39" s="73"/>
      <c r="MXZ39" s="73"/>
      <c r="MYA39" s="73"/>
      <c r="MYB39" s="73"/>
      <c r="MYC39" s="73"/>
      <c r="MYD39" s="73"/>
      <c r="MYE39" s="73"/>
      <c r="MYF39" s="73"/>
      <c r="MYG39" s="73"/>
      <c r="MYH39" s="73"/>
      <c r="MYI39" s="73"/>
      <c r="MYJ39" s="73"/>
      <c r="MYK39" s="73"/>
      <c r="MYL39" s="73"/>
      <c r="MYM39" s="73"/>
      <c r="MYN39" s="73"/>
      <c r="MYO39" s="73"/>
      <c r="MYP39" s="73"/>
      <c r="MYQ39" s="73"/>
      <c r="MYR39" s="73"/>
      <c r="MYS39" s="73"/>
      <c r="MYT39" s="73"/>
      <c r="MYU39" s="73"/>
      <c r="MYV39" s="73"/>
      <c r="MYW39" s="73"/>
      <c r="MYX39" s="73"/>
      <c r="MYY39" s="73"/>
      <c r="MYZ39" s="73"/>
      <c r="MZA39" s="73"/>
      <c r="MZB39" s="73"/>
      <c r="MZC39" s="73"/>
      <c r="MZD39" s="73"/>
      <c r="MZE39" s="73"/>
      <c r="MZF39" s="73"/>
      <c r="MZG39" s="73"/>
      <c r="MZH39" s="73"/>
      <c r="MZI39" s="73"/>
      <c r="MZJ39" s="73"/>
      <c r="MZK39" s="73"/>
      <c r="MZL39" s="73"/>
      <c r="MZM39" s="73"/>
      <c r="MZN39" s="73"/>
      <c r="MZO39" s="73"/>
      <c r="MZP39" s="73"/>
      <c r="MZQ39" s="73"/>
      <c r="MZR39" s="73"/>
      <c r="MZS39" s="73"/>
      <c r="MZT39" s="73"/>
      <c r="MZU39" s="73"/>
      <c r="MZV39" s="73"/>
      <c r="MZW39" s="73"/>
      <c r="MZX39" s="73"/>
      <c r="MZY39" s="73"/>
      <c r="MZZ39" s="73"/>
      <c r="NAA39" s="73"/>
      <c r="NAB39" s="73"/>
      <c r="NAC39" s="73"/>
      <c r="NAD39" s="73"/>
      <c r="NAE39" s="73"/>
      <c r="NAF39" s="73"/>
      <c r="NAG39" s="73"/>
      <c r="NAH39" s="73"/>
      <c r="NAI39" s="73"/>
      <c r="NAJ39" s="73"/>
      <c r="NAK39" s="73"/>
      <c r="NAL39" s="73"/>
      <c r="NAM39" s="73"/>
      <c r="NAN39" s="73"/>
      <c r="NAO39" s="73"/>
      <c r="NAP39" s="73"/>
      <c r="NAQ39" s="73"/>
      <c r="NAR39" s="73"/>
      <c r="NAS39" s="73"/>
      <c r="NAT39" s="73"/>
      <c r="NAU39" s="73"/>
      <c r="NAV39" s="73"/>
      <c r="NAW39" s="73"/>
      <c r="NAX39" s="73"/>
      <c r="NAY39" s="73"/>
      <c r="NAZ39" s="73"/>
      <c r="NBA39" s="73"/>
      <c r="NBB39" s="73"/>
      <c r="NBC39" s="73"/>
      <c r="NBD39" s="73"/>
      <c r="NBE39" s="73"/>
      <c r="NBF39" s="73"/>
      <c r="NBG39" s="73"/>
      <c r="NBH39" s="73"/>
      <c r="NBI39" s="73"/>
      <c r="NBJ39" s="73"/>
      <c r="NBK39" s="73"/>
      <c r="NBL39" s="73"/>
      <c r="NBM39" s="73"/>
      <c r="NBN39" s="73"/>
      <c r="NBO39" s="73"/>
      <c r="NBP39" s="73"/>
      <c r="NBQ39" s="73"/>
      <c r="NBR39" s="73"/>
      <c r="NBS39" s="73"/>
      <c r="NBT39" s="73"/>
      <c r="NBU39" s="73"/>
      <c r="NBV39" s="73"/>
      <c r="NBW39" s="73"/>
      <c r="NBX39" s="73"/>
      <c r="NBY39" s="73"/>
      <c r="NBZ39" s="73"/>
      <c r="NCA39" s="73"/>
      <c r="NCB39" s="73"/>
      <c r="NCC39" s="73"/>
      <c r="NCD39" s="73"/>
      <c r="NCE39" s="73"/>
      <c r="NCF39" s="73"/>
      <c r="NCG39" s="73"/>
      <c r="NCH39" s="73"/>
      <c r="NCI39" s="73"/>
      <c r="NCJ39" s="73"/>
      <c r="NCK39" s="73"/>
      <c r="NCL39" s="73"/>
      <c r="NCM39" s="73"/>
      <c r="NCN39" s="73"/>
      <c r="NCO39" s="73"/>
      <c r="NCP39" s="73"/>
      <c r="NCQ39" s="73"/>
      <c r="NCR39" s="73"/>
      <c r="NCS39" s="73"/>
      <c r="NCT39" s="73"/>
      <c r="NCU39" s="73"/>
      <c r="NCV39" s="73"/>
      <c r="NCW39" s="73"/>
      <c r="NCX39" s="73"/>
      <c r="NCY39" s="73"/>
      <c r="NCZ39" s="73"/>
      <c r="NDA39" s="73"/>
      <c r="NDB39" s="73"/>
      <c r="NDC39" s="73"/>
      <c r="NDD39" s="73"/>
      <c r="NDE39" s="73"/>
      <c r="NDF39" s="73"/>
      <c r="NDG39" s="73"/>
      <c r="NDH39" s="73"/>
      <c r="NDI39" s="73"/>
      <c r="NDJ39" s="73"/>
      <c r="NDK39" s="73"/>
      <c r="NDL39" s="73"/>
      <c r="NDM39" s="73"/>
      <c r="NDN39" s="73"/>
      <c r="NDO39" s="73"/>
      <c r="NDP39" s="73"/>
      <c r="NDQ39" s="73"/>
      <c r="NDR39" s="73"/>
      <c r="NDS39" s="73"/>
      <c r="NDT39" s="73"/>
      <c r="NDU39" s="73"/>
      <c r="NDV39" s="73"/>
      <c r="NDW39" s="73"/>
      <c r="NDX39" s="73"/>
      <c r="NDY39" s="73"/>
      <c r="NDZ39" s="73"/>
      <c r="NEA39" s="73"/>
      <c r="NEB39" s="73"/>
      <c r="NEC39" s="73"/>
      <c r="NED39" s="73"/>
      <c r="NEE39" s="73"/>
      <c r="NEF39" s="73"/>
      <c r="NEG39" s="73"/>
      <c r="NEH39" s="73"/>
      <c r="NEI39" s="73"/>
      <c r="NEJ39" s="73"/>
      <c r="NEK39" s="73"/>
      <c r="NEL39" s="73"/>
      <c r="NEM39" s="73"/>
      <c r="NEN39" s="73"/>
      <c r="NEO39" s="73"/>
      <c r="NEP39" s="73"/>
      <c r="NEQ39" s="73"/>
      <c r="NER39" s="73"/>
      <c r="NES39" s="73"/>
      <c r="NET39" s="73"/>
      <c r="NEU39" s="73"/>
      <c r="NEV39" s="73"/>
      <c r="NEW39" s="73"/>
      <c r="NEX39" s="73"/>
      <c r="NEY39" s="73"/>
      <c r="NEZ39" s="73"/>
      <c r="NFA39" s="73"/>
      <c r="NFB39" s="73"/>
      <c r="NFC39" s="73"/>
      <c r="NFD39" s="73"/>
      <c r="NFE39" s="73"/>
      <c r="NFF39" s="73"/>
      <c r="NFG39" s="73"/>
      <c r="NFH39" s="73"/>
      <c r="NFI39" s="73"/>
      <c r="NFJ39" s="73"/>
      <c r="NFK39" s="73"/>
      <c r="NFL39" s="73"/>
      <c r="NFM39" s="73"/>
      <c r="NFN39" s="73"/>
      <c r="NFO39" s="73"/>
      <c r="NFP39" s="73"/>
      <c r="NFQ39" s="73"/>
      <c r="NFR39" s="73"/>
      <c r="NFS39" s="73"/>
      <c r="NFT39" s="73"/>
      <c r="NFU39" s="73"/>
      <c r="NFV39" s="73"/>
      <c r="NFW39" s="73"/>
      <c r="NFX39" s="73"/>
      <c r="NFY39" s="73"/>
      <c r="NFZ39" s="73"/>
      <c r="NGA39" s="73"/>
      <c r="NGB39" s="73"/>
      <c r="NGC39" s="73"/>
      <c r="NGD39" s="73"/>
      <c r="NGE39" s="73"/>
      <c r="NGF39" s="73"/>
      <c r="NGG39" s="73"/>
      <c r="NGH39" s="73"/>
      <c r="NGI39" s="73"/>
      <c r="NGJ39" s="73"/>
      <c r="NGK39" s="73"/>
      <c r="NGL39" s="73"/>
      <c r="NGM39" s="73"/>
      <c r="NGN39" s="73"/>
      <c r="NGO39" s="73"/>
      <c r="NGP39" s="73"/>
      <c r="NGQ39" s="73"/>
      <c r="NGR39" s="73"/>
      <c r="NGS39" s="73"/>
      <c r="NGT39" s="73"/>
      <c r="NGU39" s="73"/>
      <c r="NGV39" s="73"/>
      <c r="NGW39" s="73"/>
      <c r="NGX39" s="73"/>
      <c r="NGY39" s="73"/>
      <c r="NGZ39" s="73"/>
      <c r="NHA39" s="73"/>
      <c r="NHB39" s="73"/>
      <c r="NHC39" s="73"/>
      <c r="NHD39" s="73"/>
      <c r="NHE39" s="73"/>
      <c r="NHF39" s="73"/>
      <c r="NHG39" s="73"/>
      <c r="NHH39" s="73"/>
      <c r="NHI39" s="73"/>
      <c r="NHJ39" s="73"/>
      <c r="NHK39" s="73"/>
      <c r="NHL39" s="73"/>
      <c r="NHM39" s="73"/>
      <c r="NHN39" s="73"/>
      <c r="NHO39" s="73"/>
      <c r="NHP39" s="73"/>
      <c r="NHQ39" s="73"/>
      <c r="NHR39" s="73"/>
      <c r="NHS39" s="73"/>
      <c r="NHT39" s="73"/>
      <c r="NHU39" s="73"/>
      <c r="NHV39" s="73"/>
      <c r="NHW39" s="73"/>
      <c r="NHX39" s="73"/>
      <c r="NHY39" s="73"/>
      <c r="NHZ39" s="73"/>
      <c r="NIA39" s="73"/>
      <c r="NIB39" s="73"/>
      <c r="NIC39" s="73"/>
      <c r="NID39" s="73"/>
      <c r="NIE39" s="73"/>
      <c r="NIF39" s="73"/>
      <c r="NIG39" s="73"/>
      <c r="NIH39" s="73"/>
      <c r="NII39" s="73"/>
      <c r="NIJ39" s="73"/>
      <c r="NIK39" s="73"/>
      <c r="NIL39" s="73"/>
      <c r="NIM39" s="73"/>
      <c r="NIN39" s="73"/>
      <c r="NIO39" s="73"/>
      <c r="NIP39" s="73"/>
      <c r="NIQ39" s="73"/>
      <c r="NIR39" s="73"/>
      <c r="NIS39" s="73"/>
      <c r="NIT39" s="73"/>
      <c r="NIU39" s="73"/>
      <c r="NIV39" s="73"/>
      <c r="NIW39" s="73"/>
      <c r="NIX39" s="73"/>
      <c r="NIY39" s="73"/>
      <c r="NIZ39" s="73"/>
      <c r="NJA39" s="73"/>
      <c r="NJB39" s="73"/>
      <c r="NJC39" s="73"/>
      <c r="NJD39" s="73"/>
      <c r="NJE39" s="73"/>
      <c r="NJF39" s="73"/>
      <c r="NJG39" s="73"/>
      <c r="NJH39" s="73"/>
      <c r="NJI39" s="73"/>
      <c r="NJJ39" s="73"/>
      <c r="NJK39" s="73"/>
      <c r="NJL39" s="73"/>
      <c r="NJM39" s="73"/>
      <c r="NJN39" s="73"/>
      <c r="NJO39" s="73"/>
      <c r="NJP39" s="73"/>
      <c r="NJQ39" s="73"/>
      <c r="NJR39" s="73"/>
      <c r="NJS39" s="73"/>
      <c r="NJT39" s="73"/>
      <c r="NJU39" s="73"/>
      <c r="NJV39" s="73"/>
      <c r="NJW39" s="73"/>
      <c r="NJX39" s="73"/>
      <c r="NJY39" s="73"/>
      <c r="NJZ39" s="73"/>
      <c r="NKA39" s="73"/>
      <c r="NKB39" s="73"/>
      <c r="NKC39" s="73"/>
      <c r="NKD39" s="73"/>
      <c r="NKE39" s="73"/>
      <c r="NKF39" s="73"/>
      <c r="NKG39" s="73"/>
      <c r="NKH39" s="73"/>
      <c r="NKI39" s="73"/>
      <c r="NKJ39" s="73"/>
      <c r="NKK39" s="73"/>
      <c r="NKL39" s="73"/>
      <c r="NKM39" s="73"/>
      <c r="NKN39" s="73"/>
      <c r="NKO39" s="73"/>
      <c r="NKP39" s="73"/>
      <c r="NKQ39" s="73"/>
      <c r="NKR39" s="73"/>
      <c r="NKS39" s="73"/>
      <c r="NKT39" s="73"/>
      <c r="NKU39" s="73"/>
      <c r="NKV39" s="73"/>
      <c r="NKW39" s="73"/>
      <c r="NKX39" s="73"/>
      <c r="NKY39" s="73"/>
      <c r="NKZ39" s="73"/>
      <c r="NLA39" s="73"/>
      <c r="NLB39" s="73"/>
      <c r="NLC39" s="73"/>
      <c r="NLD39" s="73"/>
      <c r="NLE39" s="73"/>
      <c r="NLF39" s="73"/>
      <c r="NLG39" s="73"/>
      <c r="NLH39" s="73"/>
      <c r="NLI39" s="73"/>
      <c r="NLJ39" s="73"/>
      <c r="NLK39" s="73"/>
      <c r="NLL39" s="73"/>
      <c r="NLM39" s="73"/>
      <c r="NLN39" s="73"/>
      <c r="NLO39" s="73"/>
      <c r="NLP39" s="73"/>
      <c r="NLQ39" s="73"/>
      <c r="NLR39" s="73"/>
      <c r="NLS39" s="73"/>
      <c r="NLT39" s="73"/>
      <c r="NLU39" s="73"/>
      <c r="NLV39" s="73"/>
      <c r="NLW39" s="73"/>
      <c r="NLX39" s="73"/>
      <c r="NLY39" s="73"/>
      <c r="NLZ39" s="73"/>
      <c r="NMA39" s="73"/>
      <c r="NMB39" s="73"/>
      <c r="NMC39" s="73"/>
      <c r="NMD39" s="73"/>
      <c r="NME39" s="73"/>
      <c r="NMF39" s="73"/>
      <c r="NMG39" s="73"/>
      <c r="NMH39" s="73"/>
      <c r="NMI39" s="73"/>
      <c r="NMJ39" s="73"/>
      <c r="NMK39" s="73"/>
      <c r="NML39" s="73"/>
      <c r="NMM39" s="73"/>
      <c r="NMN39" s="73"/>
      <c r="NMO39" s="73"/>
      <c r="NMP39" s="73"/>
      <c r="NMQ39" s="73"/>
      <c r="NMR39" s="73"/>
      <c r="NMS39" s="73"/>
      <c r="NMT39" s="73"/>
      <c r="NMU39" s="73"/>
      <c r="NMV39" s="73"/>
      <c r="NMW39" s="73"/>
      <c r="NMX39" s="73"/>
      <c r="NMY39" s="73"/>
      <c r="NMZ39" s="73"/>
      <c r="NNA39" s="73"/>
      <c r="NNB39" s="73"/>
      <c r="NNC39" s="73"/>
      <c r="NND39" s="73"/>
      <c r="NNE39" s="73"/>
      <c r="NNF39" s="73"/>
      <c r="NNG39" s="73"/>
      <c r="NNH39" s="73"/>
      <c r="NNI39" s="73"/>
      <c r="NNJ39" s="73"/>
      <c r="NNK39" s="73"/>
      <c r="NNL39" s="73"/>
      <c r="NNM39" s="73"/>
      <c r="NNN39" s="73"/>
      <c r="NNO39" s="73"/>
      <c r="NNP39" s="73"/>
      <c r="NNQ39" s="73"/>
      <c r="NNR39" s="73"/>
      <c r="NNS39" s="73"/>
      <c r="NNT39" s="73"/>
      <c r="NNU39" s="73"/>
      <c r="NNV39" s="73"/>
      <c r="NNW39" s="73"/>
      <c r="NNX39" s="73"/>
      <c r="NNY39" s="73"/>
      <c r="NNZ39" s="73"/>
      <c r="NOA39" s="73"/>
      <c r="NOB39" s="73"/>
      <c r="NOC39" s="73"/>
      <c r="NOD39" s="73"/>
      <c r="NOE39" s="73"/>
      <c r="NOF39" s="73"/>
      <c r="NOG39" s="73"/>
      <c r="NOH39" s="73"/>
      <c r="NOI39" s="73"/>
      <c r="NOJ39" s="73"/>
      <c r="NOK39" s="73"/>
      <c r="NOL39" s="73"/>
      <c r="NOM39" s="73"/>
      <c r="NON39" s="73"/>
      <c r="NOO39" s="73"/>
      <c r="NOP39" s="73"/>
      <c r="NOQ39" s="73"/>
      <c r="NOR39" s="73"/>
      <c r="NOS39" s="73"/>
      <c r="NOT39" s="73"/>
      <c r="NOU39" s="73"/>
      <c r="NOV39" s="73"/>
      <c r="NOW39" s="73"/>
      <c r="NOX39" s="73"/>
      <c r="NOY39" s="73"/>
      <c r="NOZ39" s="73"/>
      <c r="NPA39" s="73"/>
      <c r="NPB39" s="73"/>
      <c r="NPC39" s="73"/>
      <c r="NPD39" s="73"/>
      <c r="NPE39" s="73"/>
      <c r="NPF39" s="73"/>
      <c r="NPG39" s="73"/>
      <c r="NPH39" s="73"/>
      <c r="NPI39" s="73"/>
      <c r="NPJ39" s="73"/>
      <c r="NPK39" s="73"/>
      <c r="NPL39" s="73"/>
      <c r="NPM39" s="73"/>
      <c r="NPN39" s="73"/>
      <c r="NPO39" s="73"/>
      <c r="NPP39" s="73"/>
      <c r="NPQ39" s="73"/>
      <c r="NPR39" s="73"/>
      <c r="NPS39" s="73"/>
      <c r="NPT39" s="73"/>
      <c r="NPU39" s="73"/>
      <c r="NPV39" s="73"/>
      <c r="NPW39" s="73"/>
      <c r="NPX39" s="73"/>
      <c r="NPY39" s="73"/>
      <c r="NPZ39" s="73"/>
      <c r="NQA39" s="73"/>
      <c r="NQB39" s="73"/>
      <c r="NQC39" s="73"/>
      <c r="NQD39" s="73"/>
      <c r="NQE39" s="73"/>
      <c r="NQF39" s="73"/>
      <c r="NQG39" s="73"/>
      <c r="NQH39" s="73"/>
      <c r="NQI39" s="73"/>
      <c r="NQJ39" s="73"/>
      <c r="NQK39" s="73"/>
      <c r="NQL39" s="73"/>
      <c r="NQM39" s="73"/>
      <c r="NQN39" s="73"/>
      <c r="NQO39" s="73"/>
      <c r="NQP39" s="73"/>
      <c r="NQQ39" s="73"/>
      <c r="NQR39" s="73"/>
      <c r="NQS39" s="73"/>
      <c r="NQT39" s="73"/>
      <c r="NQU39" s="73"/>
      <c r="NQV39" s="73"/>
      <c r="NQW39" s="73"/>
      <c r="NQX39" s="73"/>
      <c r="NQY39" s="73"/>
      <c r="NQZ39" s="73"/>
      <c r="NRA39" s="73"/>
      <c r="NRB39" s="73"/>
      <c r="NRC39" s="73"/>
      <c r="NRD39" s="73"/>
      <c r="NRE39" s="73"/>
      <c r="NRF39" s="73"/>
      <c r="NRG39" s="73"/>
      <c r="NRH39" s="73"/>
      <c r="NRI39" s="73"/>
      <c r="NRJ39" s="73"/>
      <c r="NRK39" s="73"/>
      <c r="NRL39" s="73"/>
      <c r="NRM39" s="73"/>
      <c r="NRN39" s="73"/>
      <c r="NRO39" s="73"/>
      <c r="NRP39" s="73"/>
      <c r="NRQ39" s="73"/>
      <c r="NRR39" s="73"/>
      <c r="NRS39" s="73"/>
      <c r="NRT39" s="73"/>
      <c r="NRU39" s="73"/>
      <c r="NRV39" s="73"/>
      <c r="NRW39" s="73"/>
      <c r="NRX39" s="73"/>
      <c r="NRY39" s="73"/>
      <c r="NRZ39" s="73"/>
      <c r="NSA39" s="73"/>
      <c r="NSB39" s="73"/>
      <c r="NSC39" s="73"/>
      <c r="NSD39" s="73"/>
      <c r="NSE39" s="73"/>
      <c r="NSF39" s="73"/>
      <c r="NSG39" s="73"/>
      <c r="NSH39" s="73"/>
      <c r="NSI39" s="73"/>
      <c r="NSJ39" s="73"/>
      <c r="NSK39" s="73"/>
      <c r="NSL39" s="73"/>
      <c r="NSM39" s="73"/>
      <c r="NSN39" s="73"/>
      <c r="NSO39" s="73"/>
      <c r="NSP39" s="73"/>
      <c r="NSQ39" s="73"/>
      <c r="NSR39" s="73"/>
      <c r="NSS39" s="73"/>
      <c r="NST39" s="73"/>
      <c r="NSU39" s="73"/>
      <c r="NSV39" s="73"/>
      <c r="NSW39" s="73"/>
      <c r="NSX39" s="73"/>
      <c r="NSY39" s="73"/>
      <c r="NSZ39" s="73"/>
      <c r="NTA39" s="73"/>
      <c r="NTB39" s="73"/>
      <c r="NTC39" s="73"/>
      <c r="NTD39" s="73"/>
      <c r="NTE39" s="73"/>
      <c r="NTF39" s="73"/>
      <c r="NTG39" s="73"/>
      <c r="NTH39" s="73"/>
      <c r="NTI39" s="73"/>
      <c r="NTJ39" s="73"/>
      <c r="NTK39" s="73"/>
      <c r="NTL39" s="73"/>
      <c r="NTM39" s="73"/>
      <c r="NTN39" s="73"/>
      <c r="NTO39" s="73"/>
      <c r="NTP39" s="73"/>
      <c r="NTQ39" s="73"/>
      <c r="NTR39" s="73"/>
      <c r="NTS39" s="73"/>
      <c r="NTT39" s="73"/>
      <c r="NTU39" s="73"/>
      <c r="NTV39" s="73"/>
      <c r="NTW39" s="73"/>
      <c r="NTX39" s="73"/>
      <c r="NTY39" s="73"/>
      <c r="NTZ39" s="73"/>
      <c r="NUA39" s="73"/>
      <c r="NUB39" s="73"/>
      <c r="NUC39" s="73"/>
      <c r="NUD39" s="73"/>
      <c r="NUE39" s="73"/>
      <c r="NUF39" s="73"/>
      <c r="NUG39" s="73"/>
      <c r="NUH39" s="73"/>
      <c r="NUI39" s="73"/>
      <c r="NUJ39" s="73"/>
      <c r="NUK39" s="73"/>
      <c r="NUL39" s="73"/>
      <c r="NUM39" s="73"/>
      <c r="NUN39" s="73"/>
      <c r="NUO39" s="73"/>
      <c r="NUP39" s="73"/>
      <c r="NUQ39" s="73"/>
      <c r="NUR39" s="73"/>
      <c r="NUS39" s="73"/>
      <c r="NUT39" s="73"/>
      <c r="NUU39" s="73"/>
      <c r="NUV39" s="73"/>
      <c r="NUW39" s="73"/>
      <c r="NUX39" s="73"/>
      <c r="NUY39" s="73"/>
      <c r="NUZ39" s="73"/>
      <c r="NVA39" s="73"/>
      <c r="NVB39" s="73"/>
      <c r="NVC39" s="73"/>
      <c r="NVD39" s="73"/>
      <c r="NVE39" s="73"/>
      <c r="NVF39" s="73"/>
      <c r="NVG39" s="73"/>
      <c r="NVH39" s="73"/>
      <c r="NVI39" s="73"/>
      <c r="NVJ39" s="73"/>
      <c r="NVK39" s="73"/>
      <c r="NVL39" s="73"/>
      <c r="NVM39" s="73"/>
      <c r="NVN39" s="73"/>
      <c r="NVO39" s="73"/>
      <c r="NVP39" s="73"/>
      <c r="NVQ39" s="73"/>
      <c r="NVR39" s="73"/>
      <c r="NVS39" s="73"/>
      <c r="NVT39" s="73"/>
      <c r="NVU39" s="73"/>
      <c r="NVV39" s="73"/>
      <c r="NVW39" s="73"/>
      <c r="NVX39" s="73"/>
      <c r="NVY39" s="73"/>
      <c r="NVZ39" s="73"/>
      <c r="NWA39" s="73"/>
      <c r="NWB39" s="73"/>
      <c r="NWC39" s="73"/>
      <c r="NWD39" s="73"/>
      <c r="NWE39" s="73"/>
      <c r="NWF39" s="73"/>
      <c r="NWG39" s="73"/>
      <c r="NWH39" s="73"/>
      <c r="NWI39" s="73"/>
      <c r="NWJ39" s="73"/>
      <c r="NWK39" s="73"/>
      <c r="NWL39" s="73"/>
      <c r="NWM39" s="73"/>
      <c r="NWN39" s="73"/>
      <c r="NWO39" s="73"/>
      <c r="NWP39" s="73"/>
      <c r="NWQ39" s="73"/>
      <c r="NWR39" s="73"/>
      <c r="NWS39" s="73"/>
      <c r="NWT39" s="73"/>
      <c r="NWU39" s="73"/>
      <c r="NWV39" s="73"/>
      <c r="NWW39" s="73"/>
      <c r="NWX39" s="73"/>
      <c r="NWY39" s="73"/>
      <c r="NWZ39" s="73"/>
      <c r="NXA39" s="73"/>
      <c r="NXB39" s="73"/>
      <c r="NXC39" s="73"/>
      <c r="NXD39" s="73"/>
      <c r="NXE39" s="73"/>
      <c r="NXF39" s="73"/>
      <c r="NXG39" s="73"/>
      <c r="NXH39" s="73"/>
      <c r="NXI39" s="73"/>
      <c r="NXJ39" s="73"/>
      <c r="NXK39" s="73"/>
      <c r="NXL39" s="73"/>
      <c r="NXM39" s="73"/>
      <c r="NXN39" s="73"/>
      <c r="NXO39" s="73"/>
      <c r="NXP39" s="73"/>
      <c r="NXQ39" s="73"/>
      <c r="NXR39" s="73"/>
      <c r="NXS39" s="73"/>
      <c r="NXT39" s="73"/>
      <c r="NXU39" s="73"/>
      <c r="NXV39" s="73"/>
      <c r="NXW39" s="73"/>
      <c r="NXX39" s="73"/>
      <c r="NXY39" s="73"/>
      <c r="NXZ39" s="73"/>
      <c r="NYA39" s="73"/>
      <c r="NYB39" s="73"/>
      <c r="NYC39" s="73"/>
      <c r="NYD39" s="73"/>
      <c r="NYE39" s="73"/>
      <c r="NYF39" s="73"/>
      <c r="NYG39" s="73"/>
      <c r="NYH39" s="73"/>
      <c r="NYI39" s="73"/>
      <c r="NYJ39" s="73"/>
      <c r="NYK39" s="73"/>
      <c r="NYL39" s="73"/>
      <c r="NYM39" s="73"/>
      <c r="NYN39" s="73"/>
      <c r="NYO39" s="73"/>
      <c r="NYP39" s="73"/>
      <c r="NYQ39" s="73"/>
      <c r="NYR39" s="73"/>
      <c r="NYS39" s="73"/>
      <c r="NYT39" s="73"/>
      <c r="NYU39" s="73"/>
      <c r="NYV39" s="73"/>
      <c r="NYW39" s="73"/>
      <c r="NYX39" s="73"/>
      <c r="NYY39" s="73"/>
      <c r="NYZ39" s="73"/>
      <c r="NZA39" s="73"/>
      <c r="NZB39" s="73"/>
      <c r="NZC39" s="73"/>
      <c r="NZD39" s="73"/>
      <c r="NZE39" s="73"/>
      <c r="NZF39" s="73"/>
      <c r="NZG39" s="73"/>
      <c r="NZH39" s="73"/>
      <c r="NZI39" s="73"/>
      <c r="NZJ39" s="73"/>
      <c r="NZK39" s="73"/>
      <c r="NZL39" s="73"/>
      <c r="NZM39" s="73"/>
      <c r="NZN39" s="73"/>
      <c r="NZO39" s="73"/>
      <c r="NZP39" s="73"/>
      <c r="NZQ39" s="73"/>
      <c r="NZR39" s="73"/>
      <c r="NZS39" s="73"/>
      <c r="NZT39" s="73"/>
      <c r="NZU39" s="73"/>
      <c r="NZV39" s="73"/>
      <c r="NZW39" s="73"/>
      <c r="NZX39" s="73"/>
      <c r="NZY39" s="73"/>
      <c r="NZZ39" s="73"/>
      <c r="OAA39" s="73"/>
      <c r="OAB39" s="73"/>
      <c r="OAC39" s="73"/>
      <c r="OAD39" s="73"/>
      <c r="OAE39" s="73"/>
      <c r="OAF39" s="73"/>
      <c r="OAG39" s="73"/>
      <c r="OAH39" s="73"/>
      <c r="OAI39" s="73"/>
      <c r="OAJ39" s="73"/>
      <c r="OAK39" s="73"/>
      <c r="OAL39" s="73"/>
      <c r="OAM39" s="73"/>
      <c r="OAN39" s="73"/>
      <c r="OAO39" s="73"/>
      <c r="OAP39" s="73"/>
      <c r="OAQ39" s="73"/>
      <c r="OAR39" s="73"/>
      <c r="OAS39" s="73"/>
      <c r="OAT39" s="73"/>
      <c r="OAU39" s="73"/>
      <c r="OAV39" s="73"/>
      <c r="OAW39" s="73"/>
      <c r="OAX39" s="73"/>
      <c r="OAY39" s="73"/>
      <c r="OAZ39" s="73"/>
      <c r="OBA39" s="73"/>
      <c r="OBB39" s="73"/>
      <c r="OBC39" s="73"/>
      <c r="OBD39" s="73"/>
      <c r="OBE39" s="73"/>
      <c r="OBF39" s="73"/>
      <c r="OBG39" s="73"/>
      <c r="OBH39" s="73"/>
      <c r="OBI39" s="73"/>
      <c r="OBJ39" s="73"/>
      <c r="OBK39" s="73"/>
      <c r="OBL39" s="73"/>
      <c r="OBM39" s="73"/>
      <c r="OBN39" s="73"/>
      <c r="OBO39" s="73"/>
      <c r="OBP39" s="73"/>
      <c r="OBQ39" s="73"/>
      <c r="OBR39" s="73"/>
      <c r="OBS39" s="73"/>
      <c r="OBT39" s="73"/>
      <c r="OBU39" s="73"/>
      <c r="OBV39" s="73"/>
      <c r="OBW39" s="73"/>
      <c r="OBX39" s="73"/>
      <c r="OBY39" s="73"/>
      <c r="OBZ39" s="73"/>
      <c r="OCA39" s="73"/>
      <c r="OCB39" s="73"/>
      <c r="OCC39" s="73"/>
      <c r="OCD39" s="73"/>
      <c r="OCE39" s="73"/>
      <c r="OCF39" s="73"/>
      <c r="OCG39" s="73"/>
      <c r="OCH39" s="73"/>
      <c r="OCI39" s="73"/>
      <c r="OCJ39" s="73"/>
      <c r="OCK39" s="73"/>
      <c r="OCL39" s="73"/>
      <c r="OCM39" s="73"/>
      <c r="OCN39" s="73"/>
      <c r="OCO39" s="73"/>
      <c r="OCP39" s="73"/>
      <c r="OCQ39" s="73"/>
      <c r="OCR39" s="73"/>
      <c r="OCS39" s="73"/>
      <c r="OCT39" s="73"/>
      <c r="OCU39" s="73"/>
      <c r="OCV39" s="73"/>
      <c r="OCW39" s="73"/>
      <c r="OCX39" s="73"/>
      <c r="OCY39" s="73"/>
      <c r="OCZ39" s="73"/>
      <c r="ODA39" s="73"/>
      <c r="ODB39" s="73"/>
      <c r="ODC39" s="73"/>
      <c r="ODD39" s="73"/>
      <c r="ODE39" s="73"/>
      <c r="ODF39" s="73"/>
      <c r="ODG39" s="73"/>
      <c r="ODH39" s="73"/>
      <c r="ODI39" s="73"/>
      <c r="ODJ39" s="73"/>
      <c r="ODK39" s="73"/>
      <c r="ODL39" s="73"/>
      <c r="ODM39" s="73"/>
      <c r="ODN39" s="73"/>
      <c r="ODO39" s="73"/>
      <c r="ODP39" s="73"/>
      <c r="ODQ39" s="73"/>
      <c r="ODR39" s="73"/>
      <c r="ODS39" s="73"/>
      <c r="ODT39" s="73"/>
      <c r="ODU39" s="73"/>
      <c r="ODV39" s="73"/>
      <c r="ODW39" s="73"/>
      <c r="ODX39" s="73"/>
      <c r="ODY39" s="73"/>
      <c r="ODZ39" s="73"/>
      <c r="OEA39" s="73"/>
      <c r="OEB39" s="73"/>
      <c r="OEC39" s="73"/>
      <c r="OED39" s="73"/>
      <c r="OEE39" s="73"/>
      <c r="OEF39" s="73"/>
      <c r="OEG39" s="73"/>
      <c r="OEH39" s="73"/>
      <c r="OEI39" s="73"/>
      <c r="OEJ39" s="73"/>
      <c r="OEK39" s="73"/>
      <c r="OEL39" s="73"/>
      <c r="OEM39" s="73"/>
      <c r="OEN39" s="73"/>
      <c r="OEO39" s="73"/>
      <c r="OEP39" s="73"/>
      <c r="OEQ39" s="73"/>
      <c r="OER39" s="73"/>
      <c r="OES39" s="73"/>
      <c r="OET39" s="73"/>
      <c r="OEU39" s="73"/>
      <c r="OEV39" s="73"/>
      <c r="OEW39" s="73"/>
      <c r="OEX39" s="73"/>
      <c r="OEY39" s="73"/>
      <c r="OEZ39" s="73"/>
      <c r="OFA39" s="73"/>
      <c r="OFB39" s="73"/>
      <c r="OFC39" s="73"/>
      <c r="OFD39" s="73"/>
      <c r="OFE39" s="73"/>
      <c r="OFF39" s="73"/>
      <c r="OFG39" s="73"/>
      <c r="OFH39" s="73"/>
      <c r="OFI39" s="73"/>
      <c r="OFJ39" s="73"/>
      <c r="OFK39" s="73"/>
      <c r="OFL39" s="73"/>
      <c r="OFM39" s="73"/>
      <c r="OFN39" s="73"/>
      <c r="OFO39" s="73"/>
      <c r="OFP39" s="73"/>
      <c r="OFQ39" s="73"/>
      <c r="OFR39" s="73"/>
      <c r="OFS39" s="73"/>
      <c r="OFT39" s="73"/>
      <c r="OFU39" s="73"/>
      <c r="OFV39" s="73"/>
      <c r="OFW39" s="73"/>
      <c r="OFX39" s="73"/>
      <c r="OFY39" s="73"/>
      <c r="OFZ39" s="73"/>
      <c r="OGA39" s="73"/>
      <c r="OGB39" s="73"/>
      <c r="OGC39" s="73"/>
      <c r="OGD39" s="73"/>
      <c r="OGE39" s="73"/>
      <c r="OGF39" s="73"/>
      <c r="OGG39" s="73"/>
      <c r="OGH39" s="73"/>
      <c r="OGI39" s="73"/>
      <c r="OGJ39" s="73"/>
      <c r="OGK39" s="73"/>
      <c r="OGL39" s="73"/>
      <c r="OGM39" s="73"/>
      <c r="OGN39" s="73"/>
      <c r="OGO39" s="73"/>
      <c r="OGP39" s="73"/>
      <c r="OGQ39" s="73"/>
      <c r="OGR39" s="73"/>
      <c r="OGS39" s="73"/>
      <c r="OGT39" s="73"/>
      <c r="OGU39" s="73"/>
      <c r="OGV39" s="73"/>
      <c r="OGW39" s="73"/>
      <c r="OGX39" s="73"/>
      <c r="OGY39" s="73"/>
      <c r="OGZ39" s="73"/>
      <c r="OHA39" s="73"/>
      <c r="OHB39" s="73"/>
      <c r="OHC39" s="73"/>
      <c r="OHD39" s="73"/>
      <c r="OHE39" s="73"/>
      <c r="OHF39" s="73"/>
      <c r="OHG39" s="73"/>
      <c r="OHH39" s="73"/>
      <c r="OHI39" s="73"/>
      <c r="OHJ39" s="73"/>
      <c r="OHK39" s="73"/>
      <c r="OHL39" s="73"/>
      <c r="OHM39" s="73"/>
      <c r="OHN39" s="73"/>
      <c r="OHO39" s="73"/>
      <c r="OHP39" s="73"/>
      <c r="OHQ39" s="73"/>
      <c r="OHR39" s="73"/>
      <c r="OHS39" s="73"/>
      <c r="OHT39" s="73"/>
      <c r="OHU39" s="73"/>
      <c r="OHV39" s="73"/>
      <c r="OHW39" s="73"/>
      <c r="OHX39" s="73"/>
      <c r="OHY39" s="73"/>
      <c r="OHZ39" s="73"/>
      <c r="OIA39" s="73"/>
      <c r="OIB39" s="73"/>
      <c r="OIC39" s="73"/>
      <c r="OID39" s="73"/>
      <c r="OIE39" s="73"/>
      <c r="OIF39" s="73"/>
      <c r="OIG39" s="73"/>
      <c r="OIH39" s="73"/>
      <c r="OII39" s="73"/>
      <c r="OIJ39" s="73"/>
      <c r="OIK39" s="73"/>
      <c r="OIL39" s="73"/>
      <c r="OIM39" s="73"/>
      <c r="OIN39" s="73"/>
      <c r="OIO39" s="73"/>
      <c r="OIP39" s="73"/>
      <c r="OIQ39" s="73"/>
      <c r="OIR39" s="73"/>
      <c r="OIS39" s="73"/>
      <c r="OIT39" s="73"/>
      <c r="OIU39" s="73"/>
      <c r="OIV39" s="73"/>
      <c r="OIW39" s="73"/>
      <c r="OIX39" s="73"/>
      <c r="OIY39" s="73"/>
      <c r="OIZ39" s="73"/>
      <c r="OJA39" s="73"/>
      <c r="OJB39" s="73"/>
      <c r="OJC39" s="73"/>
      <c r="OJD39" s="73"/>
      <c r="OJE39" s="73"/>
      <c r="OJF39" s="73"/>
      <c r="OJG39" s="73"/>
      <c r="OJH39" s="73"/>
      <c r="OJI39" s="73"/>
      <c r="OJJ39" s="73"/>
      <c r="OJK39" s="73"/>
      <c r="OJL39" s="73"/>
      <c r="OJM39" s="73"/>
      <c r="OJN39" s="73"/>
      <c r="OJO39" s="73"/>
      <c r="OJP39" s="73"/>
      <c r="OJQ39" s="73"/>
      <c r="OJR39" s="73"/>
      <c r="OJS39" s="73"/>
      <c r="OJT39" s="73"/>
      <c r="OJU39" s="73"/>
      <c r="OJV39" s="73"/>
      <c r="OJW39" s="73"/>
      <c r="OJX39" s="73"/>
      <c r="OJY39" s="73"/>
      <c r="OJZ39" s="73"/>
      <c r="OKA39" s="73"/>
      <c r="OKB39" s="73"/>
      <c r="OKC39" s="73"/>
      <c r="OKD39" s="73"/>
      <c r="OKE39" s="73"/>
      <c r="OKF39" s="73"/>
      <c r="OKG39" s="73"/>
      <c r="OKH39" s="73"/>
      <c r="OKI39" s="73"/>
      <c r="OKJ39" s="73"/>
      <c r="OKK39" s="73"/>
      <c r="OKL39" s="73"/>
      <c r="OKM39" s="73"/>
      <c r="OKN39" s="73"/>
      <c r="OKO39" s="73"/>
      <c r="OKP39" s="73"/>
      <c r="OKQ39" s="73"/>
      <c r="OKR39" s="73"/>
      <c r="OKS39" s="73"/>
      <c r="OKT39" s="73"/>
      <c r="OKU39" s="73"/>
      <c r="OKV39" s="73"/>
      <c r="OKW39" s="73"/>
      <c r="OKX39" s="73"/>
      <c r="OKY39" s="73"/>
      <c r="OKZ39" s="73"/>
      <c r="OLA39" s="73"/>
      <c r="OLB39" s="73"/>
      <c r="OLC39" s="73"/>
      <c r="OLD39" s="73"/>
      <c r="OLE39" s="73"/>
      <c r="OLF39" s="73"/>
      <c r="OLG39" s="73"/>
      <c r="OLH39" s="73"/>
      <c r="OLI39" s="73"/>
      <c r="OLJ39" s="73"/>
      <c r="OLK39" s="73"/>
      <c r="OLL39" s="73"/>
      <c r="OLM39" s="73"/>
      <c r="OLN39" s="73"/>
      <c r="OLO39" s="73"/>
      <c r="OLP39" s="73"/>
      <c r="OLQ39" s="73"/>
      <c r="OLR39" s="73"/>
      <c r="OLS39" s="73"/>
      <c r="OLT39" s="73"/>
      <c r="OLU39" s="73"/>
      <c r="OLV39" s="73"/>
      <c r="OLW39" s="73"/>
      <c r="OLX39" s="73"/>
      <c r="OLY39" s="73"/>
      <c r="OLZ39" s="73"/>
      <c r="OMA39" s="73"/>
      <c r="OMB39" s="73"/>
      <c r="OMC39" s="73"/>
      <c r="OMD39" s="73"/>
      <c r="OME39" s="73"/>
      <c r="OMF39" s="73"/>
      <c r="OMG39" s="73"/>
      <c r="OMH39" s="73"/>
      <c r="OMI39" s="73"/>
      <c r="OMJ39" s="73"/>
      <c r="OMK39" s="73"/>
      <c r="OML39" s="73"/>
      <c r="OMM39" s="73"/>
      <c r="OMN39" s="73"/>
      <c r="OMO39" s="73"/>
      <c r="OMP39" s="73"/>
      <c r="OMQ39" s="73"/>
      <c r="OMR39" s="73"/>
      <c r="OMS39" s="73"/>
      <c r="OMT39" s="73"/>
      <c r="OMU39" s="73"/>
      <c r="OMV39" s="73"/>
      <c r="OMW39" s="73"/>
      <c r="OMX39" s="73"/>
      <c r="OMY39" s="73"/>
      <c r="OMZ39" s="73"/>
      <c r="ONA39" s="73"/>
      <c r="ONB39" s="73"/>
      <c r="ONC39" s="73"/>
      <c r="OND39" s="73"/>
      <c r="ONE39" s="73"/>
      <c r="ONF39" s="73"/>
      <c r="ONG39" s="73"/>
      <c r="ONH39" s="73"/>
      <c r="ONI39" s="73"/>
      <c r="ONJ39" s="73"/>
      <c r="ONK39" s="73"/>
      <c r="ONL39" s="73"/>
      <c r="ONM39" s="73"/>
      <c r="ONN39" s="73"/>
      <c r="ONO39" s="73"/>
      <c r="ONP39" s="73"/>
      <c r="ONQ39" s="73"/>
      <c r="ONR39" s="73"/>
      <c r="ONS39" s="73"/>
      <c r="ONT39" s="73"/>
      <c r="ONU39" s="73"/>
      <c r="ONV39" s="73"/>
      <c r="ONW39" s="73"/>
      <c r="ONX39" s="73"/>
      <c r="ONY39" s="73"/>
      <c r="ONZ39" s="73"/>
      <c r="OOA39" s="73"/>
      <c r="OOB39" s="73"/>
      <c r="OOC39" s="73"/>
      <c r="OOD39" s="73"/>
      <c r="OOE39" s="73"/>
      <c r="OOF39" s="73"/>
      <c r="OOG39" s="73"/>
      <c r="OOH39" s="73"/>
      <c r="OOI39" s="73"/>
      <c r="OOJ39" s="73"/>
      <c r="OOK39" s="73"/>
      <c r="OOL39" s="73"/>
      <c r="OOM39" s="73"/>
      <c r="OON39" s="73"/>
      <c r="OOO39" s="73"/>
      <c r="OOP39" s="73"/>
      <c r="OOQ39" s="73"/>
      <c r="OOR39" s="73"/>
      <c r="OOS39" s="73"/>
      <c r="OOT39" s="73"/>
      <c r="OOU39" s="73"/>
      <c r="OOV39" s="73"/>
      <c r="OOW39" s="73"/>
      <c r="OOX39" s="73"/>
      <c r="OOY39" s="73"/>
      <c r="OOZ39" s="73"/>
      <c r="OPA39" s="73"/>
      <c r="OPB39" s="73"/>
      <c r="OPC39" s="73"/>
      <c r="OPD39" s="73"/>
      <c r="OPE39" s="73"/>
      <c r="OPF39" s="73"/>
      <c r="OPG39" s="73"/>
      <c r="OPH39" s="73"/>
      <c r="OPI39" s="73"/>
      <c r="OPJ39" s="73"/>
      <c r="OPK39" s="73"/>
      <c r="OPL39" s="73"/>
      <c r="OPM39" s="73"/>
      <c r="OPN39" s="73"/>
      <c r="OPO39" s="73"/>
      <c r="OPP39" s="73"/>
      <c r="OPQ39" s="73"/>
      <c r="OPR39" s="73"/>
      <c r="OPS39" s="73"/>
      <c r="OPT39" s="73"/>
      <c r="OPU39" s="73"/>
      <c r="OPV39" s="73"/>
      <c r="OPW39" s="73"/>
      <c r="OPX39" s="73"/>
      <c r="OPY39" s="73"/>
      <c r="OPZ39" s="73"/>
      <c r="OQA39" s="73"/>
      <c r="OQB39" s="73"/>
      <c r="OQC39" s="73"/>
      <c r="OQD39" s="73"/>
      <c r="OQE39" s="73"/>
      <c r="OQF39" s="73"/>
      <c r="OQG39" s="73"/>
      <c r="OQH39" s="73"/>
      <c r="OQI39" s="73"/>
      <c r="OQJ39" s="73"/>
      <c r="OQK39" s="73"/>
      <c r="OQL39" s="73"/>
      <c r="OQM39" s="73"/>
      <c r="OQN39" s="73"/>
      <c r="OQO39" s="73"/>
      <c r="OQP39" s="73"/>
      <c r="OQQ39" s="73"/>
      <c r="OQR39" s="73"/>
      <c r="OQS39" s="73"/>
      <c r="OQT39" s="73"/>
      <c r="OQU39" s="73"/>
      <c r="OQV39" s="73"/>
      <c r="OQW39" s="73"/>
      <c r="OQX39" s="73"/>
      <c r="OQY39" s="73"/>
      <c r="OQZ39" s="73"/>
      <c r="ORA39" s="73"/>
      <c r="ORB39" s="73"/>
      <c r="ORC39" s="73"/>
      <c r="ORD39" s="73"/>
      <c r="ORE39" s="73"/>
      <c r="ORF39" s="73"/>
      <c r="ORG39" s="73"/>
      <c r="ORH39" s="73"/>
      <c r="ORI39" s="73"/>
      <c r="ORJ39" s="73"/>
      <c r="ORK39" s="73"/>
      <c r="ORL39" s="73"/>
      <c r="ORM39" s="73"/>
      <c r="ORN39" s="73"/>
      <c r="ORO39" s="73"/>
      <c r="ORP39" s="73"/>
      <c r="ORQ39" s="73"/>
      <c r="ORR39" s="73"/>
      <c r="ORS39" s="73"/>
      <c r="ORT39" s="73"/>
      <c r="ORU39" s="73"/>
      <c r="ORV39" s="73"/>
      <c r="ORW39" s="73"/>
      <c r="ORX39" s="73"/>
      <c r="ORY39" s="73"/>
      <c r="ORZ39" s="73"/>
      <c r="OSA39" s="73"/>
      <c r="OSB39" s="73"/>
      <c r="OSC39" s="73"/>
      <c r="OSD39" s="73"/>
      <c r="OSE39" s="73"/>
      <c r="OSF39" s="73"/>
      <c r="OSG39" s="73"/>
      <c r="OSH39" s="73"/>
      <c r="OSI39" s="73"/>
      <c r="OSJ39" s="73"/>
      <c r="OSK39" s="73"/>
      <c r="OSL39" s="73"/>
      <c r="OSM39" s="73"/>
      <c r="OSN39" s="73"/>
      <c r="OSO39" s="73"/>
      <c r="OSP39" s="73"/>
      <c r="OSQ39" s="73"/>
      <c r="OSR39" s="73"/>
      <c r="OSS39" s="73"/>
      <c r="OST39" s="73"/>
      <c r="OSU39" s="73"/>
      <c r="OSV39" s="73"/>
      <c r="OSW39" s="73"/>
      <c r="OSX39" s="73"/>
      <c r="OSY39" s="73"/>
      <c r="OSZ39" s="73"/>
      <c r="OTA39" s="73"/>
      <c r="OTB39" s="73"/>
      <c r="OTC39" s="73"/>
      <c r="OTD39" s="73"/>
      <c r="OTE39" s="73"/>
      <c r="OTF39" s="73"/>
      <c r="OTG39" s="73"/>
      <c r="OTH39" s="73"/>
      <c r="OTI39" s="73"/>
      <c r="OTJ39" s="73"/>
      <c r="OTK39" s="73"/>
      <c r="OTL39" s="73"/>
      <c r="OTM39" s="73"/>
      <c r="OTN39" s="73"/>
      <c r="OTO39" s="73"/>
      <c r="OTP39" s="73"/>
      <c r="OTQ39" s="73"/>
      <c r="OTR39" s="73"/>
      <c r="OTS39" s="73"/>
      <c r="OTT39" s="73"/>
      <c r="OTU39" s="73"/>
      <c r="OTV39" s="73"/>
      <c r="OTW39" s="73"/>
      <c r="OTX39" s="73"/>
      <c r="OTY39" s="73"/>
      <c r="OTZ39" s="73"/>
      <c r="OUA39" s="73"/>
      <c r="OUB39" s="73"/>
      <c r="OUC39" s="73"/>
      <c r="OUD39" s="73"/>
      <c r="OUE39" s="73"/>
      <c r="OUF39" s="73"/>
      <c r="OUG39" s="73"/>
      <c r="OUH39" s="73"/>
      <c r="OUI39" s="73"/>
      <c r="OUJ39" s="73"/>
      <c r="OUK39" s="73"/>
      <c r="OUL39" s="73"/>
      <c r="OUM39" s="73"/>
      <c r="OUN39" s="73"/>
      <c r="OUO39" s="73"/>
      <c r="OUP39" s="73"/>
      <c r="OUQ39" s="73"/>
      <c r="OUR39" s="73"/>
      <c r="OUS39" s="73"/>
      <c r="OUT39" s="73"/>
      <c r="OUU39" s="73"/>
      <c r="OUV39" s="73"/>
      <c r="OUW39" s="73"/>
      <c r="OUX39" s="73"/>
      <c r="OUY39" s="73"/>
      <c r="OUZ39" s="73"/>
      <c r="OVA39" s="73"/>
      <c r="OVB39" s="73"/>
      <c r="OVC39" s="73"/>
      <c r="OVD39" s="73"/>
      <c r="OVE39" s="73"/>
      <c r="OVF39" s="73"/>
      <c r="OVG39" s="73"/>
      <c r="OVH39" s="73"/>
      <c r="OVI39" s="73"/>
      <c r="OVJ39" s="73"/>
      <c r="OVK39" s="73"/>
      <c r="OVL39" s="73"/>
      <c r="OVM39" s="73"/>
      <c r="OVN39" s="73"/>
      <c r="OVO39" s="73"/>
      <c r="OVP39" s="73"/>
      <c r="OVQ39" s="73"/>
      <c r="OVR39" s="73"/>
      <c r="OVS39" s="73"/>
      <c r="OVT39" s="73"/>
      <c r="OVU39" s="73"/>
      <c r="OVV39" s="73"/>
      <c r="OVW39" s="73"/>
      <c r="OVX39" s="73"/>
      <c r="OVY39" s="73"/>
      <c r="OVZ39" s="73"/>
      <c r="OWA39" s="73"/>
      <c r="OWB39" s="73"/>
      <c r="OWC39" s="73"/>
      <c r="OWD39" s="73"/>
      <c r="OWE39" s="73"/>
      <c r="OWF39" s="73"/>
      <c r="OWG39" s="73"/>
      <c r="OWH39" s="73"/>
      <c r="OWI39" s="73"/>
      <c r="OWJ39" s="73"/>
      <c r="OWK39" s="73"/>
      <c r="OWL39" s="73"/>
      <c r="OWM39" s="73"/>
      <c r="OWN39" s="73"/>
      <c r="OWO39" s="73"/>
      <c r="OWP39" s="73"/>
      <c r="OWQ39" s="73"/>
      <c r="OWR39" s="73"/>
      <c r="OWS39" s="73"/>
      <c r="OWT39" s="73"/>
      <c r="OWU39" s="73"/>
      <c r="OWV39" s="73"/>
      <c r="OWW39" s="73"/>
      <c r="OWX39" s="73"/>
      <c r="OWY39" s="73"/>
      <c r="OWZ39" s="73"/>
      <c r="OXA39" s="73"/>
      <c r="OXB39" s="73"/>
      <c r="OXC39" s="73"/>
      <c r="OXD39" s="73"/>
      <c r="OXE39" s="73"/>
      <c r="OXF39" s="73"/>
      <c r="OXG39" s="73"/>
      <c r="OXH39" s="73"/>
      <c r="OXI39" s="73"/>
      <c r="OXJ39" s="73"/>
      <c r="OXK39" s="73"/>
      <c r="OXL39" s="73"/>
      <c r="OXM39" s="73"/>
      <c r="OXN39" s="73"/>
      <c r="OXO39" s="73"/>
      <c r="OXP39" s="73"/>
      <c r="OXQ39" s="73"/>
      <c r="OXR39" s="73"/>
      <c r="OXS39" s="73"/>
      <c r="OXT39" s="73"/>
      <c r="OXU39" s="73"/>
      <c r="OXV39" s="73"/>
      <c r="OXW39" s="73"/>
      <c r="OXX39" s="73"/>
      <c r="OXY39" s="73"/>
      <c r="OXZ39" s="73"/>
      <c r="OYA39" s="73"/>
      <c r="OYB39" s="73"/>
      <c r="OYC39" s="73"/>
      <c r="OYD39" s="73"/>
      <c r="OYE39" s="73"/>
      <c r="OYF39" s="73"/>
      <c r="OYG39" s="73"/>
      <c r="OYH39" s="73"/>
      <c r="OYI39" s="73"/>
      <c r="OYJ39" s="73"/>
      <c r="OYK39" s="73"/>
      <c r="OYL39" s="73"/>
      <c r="OYM39" s="73"/>
      <c r="OYN39" s="73"/>
      <c r="OYO39" s="73"/>
      <c r="OYP39" s="73"/>
      <c r="OYQ39" s="73"/>
      <c r="OYR39" s="73"/>
      <c r="OYS39" s="73"/>
      <c r="OYT39" s="73"/>
      <c r="OYU39" s="73"/>
      <c r="OYV39" s="73"/>
      <c r="OYW39" s="73"/>
      <c r="OYX39" s="73"/>
      <c r="OYY39" s="73"/>
      <c r="OYZ39" s="73"/>
      <c r="OZA39" s="73"/>
      <c r="OZB39" s="73"/>
      <c r="OZC39" s="73"/>
      <c r="OZD39" s="73"/>
      <c r="OZE39" s="73"/>
      <c r="OZF39" s="73"/>
      <c r="OZG39" s="73"/>
      <c r="OZH39" s="73"/>
      <c r="OZI39" s="73"/>
      <c r="OZJ39" s="73"/>
      <c r="OZK39" s="73"/>
      <c r="OZL39" s="73"/>
      <c r="OZM39" s="73"/>
      <c r="OZN39" s="73"/>
      <c r="OZO39" s="73"/>
      <c r="OZP39" s="73"/>
      <c r="OZQ39" s="73"/>
      <c r="OZR39" s="73"/>
      <c r="OZS39" s="73"/>
      <c r="OZT39" s="73"/>
      <c r="OZU39" s="73"/>
      <c r="OZV39" s="73"/>
      <c r="OZW39" s="73"/>
      <c r="OZX39" s="73"/>
      <c r="OZY39" s="73"/>
      <c r="OZZ39" s="73"/>
      <c r="PAA39" s="73"/>
      <c r="PAB39" s="73"/>
      <c r="PAC39" s="73"/>
      <c r="PAD39" s="73"/>
      <c r="PAE39" s="73"/>
      <c r="PAF39" s="73"/>
      <c r="PAG39" s="73"/>
      <c r="PAH39" s="73"/>
      <c r="PAI39" s="73"/>
      <c r="PAJ39" s="73"/>
      <c r="PAK39" s="73"/>
      <c r="PAL39" s="73"/>
      <c r="PAM39" s="73"/>
      <c r="PAN39" s="73"/>
      <c r="PAO39" s="73"/>
      <c r="PAP39" s="73"/>
      <c r="PAQ39" s="73"/>
      <c r="PAR39" s="73"/>
      <c r="PAS39" s="73"/>
      <c r="PAT39" s="73"/>
      <c r="PAU39" s="73"/>
      <c r="PAV39" s="73"/>
      <c r="PAW39" s="73"/>
      <c r="PAX39" s="73"/>
      <c r="PAY39" s="73"/>
      <c r="PAZ39" s="73"/>
      <c r="PBA39" s="73"/>
      <c r="PBB39" s="73"/>
      <c r="PBC39" s="73"/>
      <c r="PBD39" s="73"/>
      <c r="PBE39" s="73"/>
      <c r="PBF39" s="73"/>
      <c r="PBG39" s="73"/>
      <c r="PBH39" s="73"/>
      <c r="PBI39" s="73"/>
      <c r="PBJ39" s="73"/>
      <c r="PBK39" s="73"/>
      <c r="PBL39" s="73"/>
      <c r="PBM39" s="73"/>
      <c r="PBN39" s="73"/>
      <c r="PBO39" s="73"/>
      <c r="PBP39" s="73"/>
      <c r="PBQ39" s="73"/>
      <c r="PBR39" s="73"/>
      <c r="PBS39" s="73"/>
      <c r="PBT39" s="73"/>
      <c r="PBU39" s="73"/>
      <c r="PBV39" s="73"/>
      <c r="PBW39" s="73"/>
      <c r="PBX39" s="73"/>
      <c r="PBY39" s="73"/>
      <c r="PBZ39" s="73"/>
      <c r="PCA39" s="73"/>
      <c r="PCB39" s="73"/>
      <c r="PCC39" s="73"/>
      <c r="PCD39" s="73"/>
      <c r="PCE39" s="73"/>
      <c r="PCF39" s="73"/>
      <c r="PCG39" s="73"/>
      <c r="PCH39" s="73"/>
      <c r="PCI39" s="73"/>
      <c r="PCJ39" s="73"/>
      <c r="PCK39" s="73"/>
      <c r="PCL39" s="73"/>
      <c r="PCM39" s="73"/>
      <c r="PCN39" s="73"/>
      <c r="PCO39" s="73"/>
      <c r="PCP39" s="73"/>
      <c r="PCQ39" s="73"/>
      <c r="PCR39" s="73"/>
      <c r="PCS39" s="73"/>
      <c r="PCT39" s="73"/>
      <c r="PCU39" s="73"/>
      <c r="PCV39" s="73"/>
      <c r="PCW39" s="73"/>
      <c r="PCX39" s="73"/>
      <c r="PCY39" s="73"/>
      <c r="PCZ39" s="73"/>
      <c r="PDA39" s="73"/>
      <c r="PDB39" s="73"/>
      <c r="PDC39" s="73"/>
      <c r="PDD39" s="73"/>
      <c r="PDE39" s="73"/>
      <c r="PDF39" s="73"/>
      <c r="PDG39" s="73"/>
      <c r="PDH39" s="73"/>
      <c r="PDI39" s="73"/>
      <c r="PDJ39" s="73"/>
      <c r="PDK39" s="73"/>
      <c r="PDL39" s="73"/>
      <c r="PDM39" s="73"/>
      <c r="PDN39" s="73"/>
      <c r="PDO39" s="73"/>
      <c r="PDP39" s="73"/>
      <c r="PDQ39" s="73"/>
      <c r="PDR39" s="73"/>
      <c r="PDS39" s="73"/>
      <c r="PDT39" s="73"/>
      <c r="PDU39" s="73"/>
      <c r="PDV39" s="73"/>
      <c r="PDW39" s="73"/>
      <c r="PDX39" s="73"/>
      <c r="PDY39" s="73"/>
      <c r="PDZ39" s="73"/>
      <c r="PEA39" s="73"/>
      <c r="PEB39" s="73"/>
      <c r="PEC39" s="73"/>
      <c r="PED39" s="73"/>
      <c r="PEE39" s="73"/>
      <c r="PEF39" s="73"/>
      <c r="PEG39" s="73"/>
      <c r="PEH39" s="73"/>
      <c r="PEI39" s="73"/>
      <c r="PEJ39" s="73"/>
      <c r="PEK39" s="73"/>
      <c r="PEL39" s="73"/>
      <c r="PEM39" s="73"/>
      <c r="PEN39" s="73"/>
      <c r="PEO39" s="73"/>
      <c r="PEP39" s="73"/>
      <c r="PEQ39" s="73"/>
      <c r="PER39" s="73"/>
      <c r="PES39" s="73"/>
      <c r="PET39" s="73"/>
      <c r="PEU39" s="73"/>
      <c r="PEV39" s="73"/>
      <c r="PEW39" s="73"/>
      <c r="PEX39" s="73"/>
      <c r="PEY39" s="73"/>
      <c r="PEZ39" s="73"/>
      <c r="PFA39" s="73"/>
      <c r="PFB39" s="73"/>
      <c r="PFC39" s="73"/>
      <c r="PFD39" s="73"/>
      <c r="PFE39" s="73"/>
      <c r="PFF39" s="73"/>
      <c r="PFG39" s="73"/>
      <c r="PFH39" s="73"/>
      <c r="PFI39" s="73"/>
      <c r="PFJ39" s="73"/>
      <c r="PFK39" s="73"/>
      <c r="PFL39" s="73"/>
      <c r="PFM39" s="73"/>
      <c r="PFN39" s="73"/>
      <c r="PFO39" s="73"/>
      <c r="PFP39" s="73"/>
      <c r="PFQ39" s="73"/>
      <c r="PFR39" s="73"/>
      <c r="PFS39" s="73"/>
      <c r="PFT39" s="73"/>
      <c r="PFU39" s="73"/>
      <c r="PFV39" s="73"/>
      <c r="PFW39" s="73"/>
      <c r="PFX39" s="73"/>
      <c r="PFY39" s="73"/>
      <c r="PFZ39" s="73"/>
      <c r="PGA39" s="73"/>
      <c r="PGB39" s="73"/>
      <c r="PGC39" s="73"/>
      <c r="PGD39" s="73"/>
      <c r="PGE39" s="73"/>
      <c r="PGF39" s="73"/>
      <c r="PGG39" s="73"/>
      <c r="PGH39" s="73"/>
      <c r="PGI39" s="73"/>
      <c r="PGJ39" s="73"/>
      <c r="PGK39" s="73"/>
      <c r="PGL39" s="73"/>
      <c r="PGM39" s="73"/>
      <c r="PGN39" s="73"/>
      <c r="PGO39" s="73"/>
      <c r="PGP39" s="73"/>
      <c r="PGQ39" s="73"/>
      <c r="PGR39" s="73"/>
      <c r="PGS39" s="73"/>
      <c r="PGT39" s="73"/>
      <c r="PGU39" s="73"/>
      <c r="PGV39" s="73"/>
      <c r="PGW39" s="73"/>
      <c r="PGX39" s="73"/>
      <c r="PGY39" s="73"/>
      <c r="PGZ39" s="73"/>
      <c r="PHA39" s="73"/>
      <c r="PHB39" s="73"/>
      <c r="PHC39" s="73"/>
      <c r="PHD39" s="73"/>
      <c r="PHE39" s="73"/>
      <c r="PHF39" s="73"/>
      <c r="PHG39" s="73"/>
      <c r="PHH39" s="73"/>
      <c r="PHI39" s="73"/>
      <c r="PHJ39" s="73"/>
      <c r="PHK39" s="73"/>
      <c r="PHL39" s="73"/>
      <c r="PHM39" s="73"/>
      <c r="PHN39" s="73"/>
      <c r="PHO39" s="73"/>
      <c r="PHP39" s="73"/>
      <c r="PHQ39" s="73"/>
      <c r="PHR39" s="73"/>
      <c r="PHS39" s="73"/>
      <c r="PHT39" s="73"/>
      <c r="PHU39" s="73"/>
      <c r="PHV39" s="73"/>
      <c r="PHW39" s="73"/>
      <c r="PHX39" s="73"/>
      <c r="PHY39" s="73"/>
      <c r="PHZ39" s="73"/>
      <c r="PIA39" s="73"/>
      <c r="PIB39" s="73"/>
      <c r="PIC39" s="73"/>
      <c r="PID39" s="73"/>
      <c r="PIE39" s="73"/>
      <c r="PIF39" s="73"/>
      <c r="PIG39" s="73"/>
      <c r="PIH39" s="73"/>
      <c r="PII39" s="73"/>
      <c r="PIJ39" s="73"/>
      <c r="PIK39" s="73"/>
      <c r="PIL39" s="73"/>
      <c r="PIM39" s="73"/>
      <c r="PIN39" s="73"/>
      <c r="PIO39" s="73"/>
      <c r="PIP39" s="73"/>
      <c r="PIQ39" s="73"/>
      <c r="PIR39" s="73"/>
      <c r="PIS39" s="73"/>
      <c r="PIT39" s="73"/>
      <c r="PIU39" s="73"/>
      <c r="PIV39" s="73"/>
      <c r="PIW39" s="73"/>
      <c r="PIX39" s="73"/>
      <c r="PIY39" s="73"/>
      <c r="PIZ39" s="73"/>
      <c r="PJA39" s="73"/>
      <c r="PJB39" s="73"/>
      <c r="PJC39" s="73"/>
      <c r="PJD39" s="73"/>
      <c r="PJE39" s="73"/>
      <c r="PJF39" s="73"/>
      <c r="PJG39" s="73"/>
      <c r="PJH39" s="73"/>
      <c r="PJI39" s="73"/>
      <c r="PJJ39" s="73"/>
      <c r="PJK39" s="73"/>
      <c r="PJL39" s="73"/>
      <c r="PJM39" s="73"/>
      <c r="PJN39" s="73"/>
      <c r="PJO39" s="73"/>
      <c r="PJP39" s="73"/>
      <c r="PJQ39" s="73"/>
      <c r="PJR39" s="73"/>
      <c r="PJS39" s="73"/>
      <c r="PJT39" s="73"/>
      <c r="PJU39" s="73"/>
      <c r="PJV39" s="73"/>
      <c r="PJW39" s="73"/>
      <c r="PJX39" s="73"/>
      <c r="PJY39" s="73"/>
      <c r="PJZ39" s="73"/>
      <c r="PKA39" s="73"/>
      <c r="PKB39" s="73"/>
      <c r="PKC39" s="73"/>
      <c r="PKD39" s="73"/>
      <c r="PKE39" s="73"/>
      <c r="PKF39" s="73"/>
      <c r="PKG39" s="73"/>
      <c r="PKH39" s="73"/>
      <c r="PKI39" s="73"/>
      <c r="PKJ39" s="73"/>
      <c r="PKK39" s="73"/>
      <c r="PKL39" s="73"/>
      <c r="PKM39" s="73"/>
      <c r="PKN39" s="73"/>
      <c r="PKO39" s="73"/>
      <c r="PKP39" s="73"/>
      <c r="PKQ39" s="73"/>
      <c r="PKR39" s="73"/>
      <c r="PKS39" s="73"/>
      <c r="PKT39" s="73"/>
      <c r="PKU39" s="73"/>
      <c r="PKV39" s="73"/>
      <c r="PKW39" s="73"/>
      <c r="PKX39" s="73"/>
      <c r="PKY39" s="73"/>
      <c r="PKZ39" s="73"/>
      <c r="PLA39" s="73"/>
      <c r="PLB39" s="73"/>
      <c r="PLC39" s="73"/>
      <c r="PLD39" s="73"/>
      <c r="PLE39" s="73"/>
      <c r="PLF39" s="73"/>
      <c r="PLG39" s="73"/>
      <c r="PLH39" s="73"/>
      <c r="PLI39" s="73"/>
      <c r="PLJ39" s="73"/>
      <c r="PLK39" s="73"/>
      <c r="PLL39" s="73"/>
      <c r="PLM39" s="73"/>
      <c r="PLN39" s="73"/>
      <c r="PLO39" s="73"/>
      <c r="PLP39" s="73"/>
      <c r="PLQ39" s="73"/>
      <c r="PLR39" s="73"/>
      <c r="PLS39" s="73"/>
      <c r="PLT39" s="73"/>
      <c r="PLU39" s="73"/>
      <c r="PLV39" s="73"/>
      <c r="PLW39" s="73"/>
      <c r="PLX39" s="73"/>
      <c r="PLY39" s="73"/>
      <c r="PLZ39" s="73"/>
      <c r="PMA39" s="73"/>
      <c r="PMB39" s="73"/>
      <c r="PMC39" s="73"/>
      <c r="PMD39" s="73"/>
      <c r="PME39" s="73"/>
      <c r="PMF39" s="73"/>
      <c r="PMG39" s="73"/>
      <c r="PMH39" s="73"/>
      <c r="PMI39" s="73"/>
      <c r="PMJ39" s="73"/>
      <c r="PMK39" s="73"/>
      <c r="PML39" s="73"/>
      <c r="PMM39" s="73"/>
      <c r="PMN39" s="73"/>
      <c r="PMO39" s="73"/>
      <c r="PMP39" s="73"/>
      <c r="PMQ39" s="73"/>
      <c r="PMR39" s="73"/>
      <c r="PMS39" s="73"/>
      <c r="PMT39" s="73"/>
      <c r="PMU39" s="73"/>
      <c r="PMV39" s="73"/>
      <c r="PMW39" s="73"/>
      <c r="PMX39" s="73"/>
      <c r="PMY39" s="73"/>
      <c r="PMZ39" s="73"/>
      <c r="PNA39" s="73"/>
      <c r="PNB39" s="73"/>
      <c r="PNC39" s="73"/>
      <c r="PND39" s="73"/>
      <c r="PNE39" s="73"/>
      <c r="PNF39" s="73"/>
      <c r="PNG39" s="73"/>
      <c r="PNH39" s="73"/>
      <c r="PNI39" s="73"/>
      <c r="PNJ39" s="73"/>
      <c r="PNK39" s="73"/>
      <c r="PNL39" s="73"/>
      <c r="PNM39" s="73"/>
      <c r="PNN39" s="73"/>
      <c r="PNO39" s="73"/>
      <c r="PNP39" s="73"/>
      <c r="PNQ39" s="73"/>
      <c r="PNR39" s="73"/>
      <c r="PNS39" s="73"/>
      <c r="PNT39" s="73"/>
      <c r="PNU39" s="73"/>
      <c r="PNV39" s="73"/>
      <c r="PNW39" s="73"/>
      <c r="PNX39" s="73"/>
      <c r="PNY39" s="73"/>
      <c r="PNZ39" s="73"/>
      <c r="POA39" s="73"/>
      <c r="POB39" s="73"/>
      <c r="POC39" s="73"/>
      <c r="POD39" s="73"/>
      <c r="POE39" s="73"/>
      <c r="POF39" s="73"/>
      <c r="POG39" s="73"/>
      <c r="POH39" s="73"/>
      <c r="POI39" s="73"/>
      <c r="POJ39" s="73"/>
      <c r="POK39" s="73"/>
      <c r="POL39" s="73"/>
      <c r="POM39" s="73"/>
      <c r="PON39" s="73"/>
      <c r="POO39" s="73"/>
      <c r="POP39" s="73"/>
      <c r="POQ39" s="73"/>
      <c r="POR39" s="73"/>
      <c r="POS39" s="73"/>
      <c r="POT39" s="73"/>
      <c r="POU39" s="73"/>
      <c r="POV39" s="73"/>
      <c r="POW39" s="73"/>
      <c r="POX39" s="73"/>
      <c r="POY39" s="73"/>
      <c r="POZ39" s="73"/>
      <c r="PPA39" s="73"/>
      <c r="PPB39" s="73"/>
      <c r="PPC39" s="73"/>
      <c r="PPD39" s="73"/>
      <c r="PPE39" s="73"/>
      <c r="PPF39" s="73"/>
      <c r="PPG39" s="73"/>
      <c r="PPH39" s="73"/>
      <c r="PPI39" s="73"/>
      <c r="PPJ39" s="73"/>
      <c r="PPK39" s="73"/>
      <c r="PPL39" s="73"/>
      <c r="PPM39" s="73"/>
      <c r="PPN39" s="73"/>
      <c r="PPO39" s="73"/>
      <c r="PPP39" s="73"/>
      <c r="PPQ39" s="73"/>
      <c r="PPR39" s="73"/>
      <c r="PPS39" s="73"/>
      <c r="PPT39" s="73"/>
      <c r="PPU39" s="73"/>
      <c r="PPV39" s="73"/>
      <c r="PPW39" s="73"/>
      <c r="PPX39" s="73"/>
      <c r="PPY39" s="73"/>
      <c r="PPZ39" s="73"/>
      <c r="PQA39" s="73"/>
      <c r="PQB39" s="73"/>
      <c r="PQC39" s="73"/>
      <c r="PQD39" s="73"/>
      <c r="PQE39" s="73"/>
      <c r="PQF39" s="73"/>
      <c r="PQG39" s="73"/>
      <c r="PQH39" s="73"/>
      <c r="PQI39" s="73"/>
      <c r="PQJ39" s="73"/>
      <c r="PQK39" s="73"/>
      <c r="PQL39" s="73"/>
      <c r="PQM39" s="73"/>
      <c r="PQN39" s="73"/>
      <c r="PQO39" s="73"/>
      <c r="PQP39" s="73"/>
      <c r="PQQ39" s="73"/>
      <c r="PQR39" s="73"/>
      <c r="PQS39" s="73"/>
      <c r="PQT39" s="73"/>
      <c r="PQU39" s="73"/>
      <c r="PQV39" s="73"/>
      <c r="PQW39" s="73"/>
      <c r="PQX39" s="73"/>
      <c r="PQY39" s="73"/>
      <c r="PQZ39" s="73"/>
      <c r="PRA39" s="73"/>
      <c r="PRB39" s="73"/>
      <c r="PRC39" s="73"/>
      <c r="PRD39" s="73"/>
      <c r="PRE39" s="73"/>
      <c r="PRF39" s="73"/>
      <c r="PRG39" s="73"/>
      <c r="PRH39" s="73"/>
      <c r="PRI39" s="73"/>
      <c r="PRJ39" s="73"/>
      <c r="PRK39" s="73"/>
      <c r="PRL39" s="73"/>
      <c r="PRM39" s="73"/>
      <c r="PRN39" s="73"/>
      <c r="PRO39" s="73"/>
      <c r="PRP39" s="73"/>
      <c r="PRQ39" s="73"/>
      <c r="PRR39" s="73"/>
      <c r="PRS39" s="73"/>
      <c r="PRT39" s="73"/>
      <c r="PRU39" s="73"/>
      <c r="PRV39" s="73"/>
      <c r="PRW39" s="73"/>
      <c r="PRX39" s="73"/>
      <c r="PRY39" s="73"/>
      <c r="PRZ39" s="73"/>
      <c r="PSA39" s="73"/>
      <c r="PSB39" s="73"/>
      <c r="PSC39" s="73"/>
      <c r="PSD39" s="73"/>
      <c r="PSE39" s="73"/>
      <c r="PSF39" s="73"/>
      <c r="PSG39" s="73"/>
      <c r="PSH39" s="73"/>
      <c r="PSI39" s="73"/>
      <c r="PSJ39" s="73"/>
      <c r="PSK39" s="73"/>
      <c r="PSL39" s="73"/>
      <c r="PSM39" s="73"/>
      <c r="PSN39" s="73"/>
      <c r="PSO39" s="73"/>
      <c r="PSP39" s="73"/>
      <c r="PSQ39" s="73"/>
      <c r="PSR39" s="73"/>
      <c r="PSS39" s="73"/>
      <c r="PST39" s="73"/>
      <c r="PSU39" s="73"/>
      <c r="PSV39" s="73"/>
      <c r="PSW39" s="73"/>
      <c r="PSX39" s="73"/>
      <c r="PSY39" s="73"/>
      <c r="PSZ39" s="73"/>
      <c r="PTA39" s="73"/>
      <c r="PTB39" s="73"/>
      <c r="PTC39" s="73"/>
      <c r="PTD39" s="73"/>
      <c r="PTE39" s="73"/>
      <c r="PTF39" s="73"/>
      <c r="PTG39" s="73"/>
      <c r="PTH39" s="73"/>
      <c r="PTI39" s="73"/>
      <c r="PTJ39" s="73"/>
      <c r="PTK39" s="73"/>
      <c r="PTL39" s="73"/>
      <c r="PTM39" s="73"/>
      <c r="PTN39" s="73"/>
      <c r="PTO39" s="73"/>
      <c r="PTP39" s="73"/>
      <c r="PTQ39" s="73"/>
      <c r="PTR39" s="73"/>
      <c r="PTS39" s="73"/>
      <c r="PTT39" s="73"/>
      <c r="PTU39" s="73"/>
      <c r="PTV39" s="73"/>
      <c r="PTW39" s="73"/>
      <c r="PTX39" s="73"/>
      <c r="PTY39" s="73"/>
      <c r="PTZ39" s="73"/>
      <c r="PUA39" s="73"/>
      <c r="PUB39" s="73"/>
      <c r="PUC39" s="73"/>
      <c r="PUD39" s="73"/>
      <c r="PUE39" s="73"/>
      <c r="PUF39" s="73"/>
      <c r="PUG39" s="73"/>
      <c r="PUH39" s="73"/>
      <c r="PUI39" s="73"/>
      <c r="PUJ39" s="73"/>
      <c r="PUK39" s="73"/>
      <c r="PUL39" s="73"/>
      <c r="PUM39" s="73"/>
      <c r="PUN39" s="73"/>
      <c r="PUO39" s="73"/>
      <c r="PUP39" s="73"/>
      <c r="PUQ39" s="73"/>
      <c r="PUR39" s="73"/>
      <c r="PUS39" s="73"/>
      <c r="PUT39" s="73"/>
      <c r="PUU39" s="73"/>
      <c r="PUV39" s="73"/>
      <c r="PUW39" s="73"/>
      <c r="PUX39" s="73"/>
      <c r="PUY39" s="73"/>
      <c r="PUZ39" s="73"/>
      <c r="PVA39" s="73"/>
      <c r="PVB39" s="73"/>
      <c r="PVC39" s="73"/>
      <c r="PVD39" s="73"/>
      <c r="PVE39" s="73"/>
      <c r="PVF39" s="73"/>
      <c r="PVG39" s="73"/>
      <c r="PVH39" s="73"/>
      <c r="PVI39" s="73"/>
      <c r="PVJ39" s="73"/>
      <c r="PVK39" s="73"/>
      <c r="PVL39" s="73"/>
      <c r="PVM39" s="73"/>
      <c r="PVN39" s="73"/>
      <c r="PVO39" s="73"/>
      <c r="PVP39" s="73"/>
      <c r="PVQ39" s="73"/>
      <c r="PVR39" s="73"/>
      <c r="PVS39" s="73"/>
      <c r="PVT39" s="73"/>
      <c r="PVU39" s="73"/>
      <c r="PVV39" s="73"/>
      <c r="PVW39" s="73"/>
      <c r="PVX39" s="73"/>
      <c r="PVY39" s="73"/>
      <c r="PVZ39" s="73"/>
      <c r="PWA39" s="73"/>
      <c r="PWB39" s="73"/>
      <c r="PWC39" s="73"/>
      <c r="PWD39" s="73"/>
      <c r="PWE39" s="73"/>
      <c r="PWF39" s="73"/>
      <c r="PWG39" s="73"/>
      <c r="PWH39" s="73"/>
      <c r="PWI39" s="73"/>
      <c r="PWJ39" s="73"/>
      <c r="PWK39" s="73"/>
      <c r="PWL39" s="73"/>
      <c r="PWM39" s="73"/>
      <c r="PWN39" s="73"/>
      <c r="PWO39" s="73"/>
      <c r="PWP39" s="73"/>
      <c r="PWQ39" s="73"/>
      <c r="PWR39" s="73"/>
      <c r="PWS39" s="73"/>
      <c r="PWT39" s="73"/>
      <c r="PWU39" s="73"/>
      <c r="PWV39" s="73"/>
      <c r="PWW39" s="73"/>
      <c r="PWX39" s="73"/>
      <c r="PWY39" s="73"/>
      <c r="PWZ39" s="73"/>
      <c r="PXA39" s="73"/>
      <c r="PXB39" s="73"/>
      <c r="PXC39" s="73"/>
      <c r="PXD39" s="73"/>
      <c r="PXE39" s="73"/>
      <c r="PXF39" s="73"/>
      <c r="PXG39" s="73"/>
      <c r="PXH39" s="73"/>
      <c r="PXI39" s="73"/>
      <c r="PXJ39" s="73"/>
      <c r="PXK39" s="73"/>
      <c r="PXL39" s="73"/>
      <c r="PXM39" s="73"/>
      <c r="PXN39" s="73"/>
      <c r="PXO39" s="73"/>
      <c r="PXP39" s="73"/>
      <c r="PXQ39" s="73"/>
      <c r="PXR39" s="73"/>
      <c r="PXS39" s="73"/>
      <c r="PXT39" s="73"/>
      <c r="PXU39" s="73"/>
      <c r="PXV39" s="73"/>
      <c r="PXW39" s="73"/>
      <c r="PXX39" s="73"/>
      <c r="PXY39" s="73"/>
      <c r="PXZ39" s="73"/>
      <c r="PYA39" s="73"/>
      <c r="PYB39" s="73"/>
      <c r="PYC39" s="73"/>
      <c r="PYD39" s="73"/>
      <c r="PYE39" s="73"/>
      <c r="PYF39" s="73"/>
      <c r="PYG39" s="73"/>
      <c r="PYH39" s="73"/>
      <c r="PYI39" s="73"/>
      <c r="PYJ39" s="73"/>
      <c r="PYK39" s="73"/>
      <c r="PYL39" s="73"/>
      <c r="PYM39" s="73"/>
      <c r="PYN39" s="73"/>
      <c r="PYO39" s="73"/>
      <c r="PYP39" s="73"/>
      <c r="PYQ39" s="73"/>
      <c r="PYR39" s="73"/>
      <c r="PYS39" s="73"/>
      <c r="PYT39" s="73"/>
      <c r="PYU39" s="73"/>
      <c r="PYV39" s="73"/>
      <c r="PYW39" s="73"/>
      <c r="PYX39" s="73"/>
      <c r="PYY39" s="73"/>
      <c r="PYZ39" s="73"/>
      <c r="PZA39" s="73"/>
      <c r="PZB39" s="73"/>
      <c r="PZC39" s="73"/>
      <c r="PZD39" s="73"/>
      <c r="PZE39" s="73"/>
      <c r="PZF39" s="73"/>
      <c r="PZG39" s="73"/>
      <c r="PZH39" s="73"/>
      <c r="PZI39" s="73"/>
      <c r="PZJ39" s="73"/>
      <c r="PZK39" s="73"/>
      <c r="PZL39" s="73"/>
      <c r="PZM39" s="73"/>
      <c r="PZN39" s="73"/>
      <c r="PZO39" s="73"/>
      <c r="PZP39" s="73"/>
      <c r="PZQ39" s="73"/>
      <c r="PZR39" s="73"/>
      <c r="PZS39" s="73"/>
      <c r="PZT39" s="73"/>
      <c r="PZU39" s="73"/>
      <c r="PZV39" s="73"/>
      <c r="PZW39" s="73"/>
      <c r="PZX39" s="73"/>
      <c r="PZY39" s="73"/>
      <c r="PZZ39" s="73"/>
      <c r="QAA39" s="73"/>
      <c r="QAB39" s="73"/>
      <c r="QAC39" s="73"/>
      <c r="QAD39" s="73"/>
      <c r="QAE39" s="73"/>
      <c r="QAF39" s="73"/>
      <c r="QAG39" s="73"/>
      <c r="QAH39" s="73"/>
      <c r="QAI39" s="73"/>
      <c r="QAJ39" s="73"/>
      <c r="QAK39" s="73"/>
      <c r="QAL39" s="73"/>
      <c r="QAM39" s="73"/>
      <c r="QAN39" s="73"/>
      <c r="QAO39" s="73"/>
      <c r="QAP39" s="73"/>
      <c r="QAQ39" s="73"/>
      <c r="QAR39" s="73"/>
      <c r="QAS39" s="73"/>
      <c r="QAT39" s="73"/>
      <c r="QAU39" s="73"/>
      <c r="QAV39" s="73"/>
      <c r="QAW39" s="73"/>
      <c r="QAX39" s="73"/>
      <c r="QAY39" s="73"/>
      <c r="QAZ39" s="73"/>
      <c r="QBA39" s="73"/>
      <c r="QBB39" s="73"/>
      <c r="QBC39" s="73"/>
      <c r="QBD39" s="73"/>
      <c r="QBE39" s="73"/>
      <c r="QBF39" s="73"/>
      <c r="QBG39" s="73"/>
      <c r="QBH39" s="73"/>
      <c r="QBI39" s="73"/>
      <c r="QBJ39" s="73"/>
      <c r="QBK39" s="73"/>
      <c r="QBL39" s="73"/>
      <c r="QBM39" s="73"/>
      <c r="QBN39" s="73"/>
      <c r="QBO39" s="73"/>
      <c r="QBP39" s="73"/>
      <c r="QBQ39" s="73"/>
      <c r="QBR39" s="73"/>
      <c r="QBS39" s="73"/>
      <c r="QBT39" s="73"/>
      <c r="QBU39" s="73"/>
      <c r="QBV39" s="73"/>
      <c r="QBW39" s="73"/>
      <c r="QBX39" s="73"/>
      <c r="QBY39" s="73"/>
      <c r="QBZ39" s="73"/>
      <c r="QCA39" s="73"/>
      <c r="QCB39" s="73"/>
      <c r="QCC39" s="73"/>
      <c r="QCD39" s="73"/>
      <c r="QCE39" s="73"/>
      <c r="QCF39" s="73"/>
      <c r="QCG39" s="73"/>
      <c r="QCH39" s="73"/>
      <c r="QCI39" s="73"/>
      <c r="QCJ39" s="73"/>
      <c r="QCK39" s="73"/>
      <c r="QCL39" s="73"/>
      <c r="QCM39" s="73"/>
      <c r="QCN39" s="73"/>
      <c r="QCO39" s="73"/>
      <c r="QCP39" s="73"/>
      <c r="QCQ39" s="73"/>
      <c r="QCR39" s="73"/>
      <c r="QCS39" s="73"/>
      <c r="QCT39" s="73"/>
      <c r="QCU39" s="73"/>
      <c r="QCV39" s="73"/>
      <c r="QCW39" s="73"/>
      <c r="QCX39" s="73"/>
      <c r="QCY39" s="73"/>
      <c r="QCZ39" s="73"/>
      <c r="QDA39" s="73"/>
      <c r="QDB39" s="73"/>
      <c r="QDC39" s="73"/>
      <c r="QDD39" s="73"/>
      <c r="QDE39" s="73"/>
      <c r="QDF39" s="73"/>
      <c r="QDG39" s="73"/>
      <c r="QDH39" s="73"/>
      <c r="QDI39" s="73"/>
      <c r="QDJ39" s="73"/>
      <c r="QDK39" s="73"/>
      <c r="QDL39" s="73"/>
      <c r="QDM39" s="73"/>
      <c r="QDN39" s="73"/>
      <c r="QDO39" s="73"/>
      <c r="QDP39" s="73"/>
      <c r="QDQ39" s="73"/>
      <c r="QDR39" s="73"/>
      <c r="QDS39" s="73"/>
      <c r="QDT39" s="73"/>
      <c r="QDU39" s="73"/>
      <c r="QDV39" s="73"/>
      <c r="QDW39" s="73"/>
      <c r="QDX39" s="73"/>
      <c r="QDY39" s="73"/>
      <c r="QDZ39" s="73"/>
      <c r="QEA39" s="73"/>
      <c r="QEB39" s="73"/>
      <c r="QEC39" s="73"/>
      <c r="QED39" s="73"/>
      <c r="QEE39" s="73"/>
      <c r="QEF39" s="73"/>
      <c r="QEG39" s="73"/>
      <c r="QEH39" s="73"/>
      <c r="QEI39" s="73"/>
      <c r="QEJ39" s="73"/>
      <c r="QEK39" s="73"/>
      <c r="QEL39" s="73"/>
      <c r="QEM39" s="73"/>
      <c r="QEN39" s="73"/>
      <c r="QEO39" s="73"/>
      <c r="QEP39" s="73"/>
      <c r="QEQ39" s="73"/>
      <c r="QER39" s="73"/>
      <c r="QES39" s="73"/>
      <c r="QET39" s="73"/>
      <c r="QEU39" s="73"/>
      <c r="QEV39" s="73"/>
      <c r="QEW39" s="73"/>
      <c r="QEX39" s="73"/>
      <c r="QEY39" s="73"/>
      <c r="QEZ39" s="73"/>
      <c r="QFA39" s="73"/>
      <c r="QFB39" s="73"/>
      <c r="QFC39" s="73"/>
      <c r="QFD39" s="73"/>
      <c r="QFE39" s="73"/>
      <c r="QFF39" s="73"/>
      <c r="QFG39" s="73"/>
      <c r="QFH39" s="73"/>
      <c r="QFI39" s="73"/>
      <c r="QFJ39" s="73"/>
      <c r="QFK39" s="73"/>
      <c r="QFL39" s="73"/>
      <c r="QFM39" s="73"/>
      <c r="QFN39" s="73"/>
      <c r="QFO39" s="73"/>
      <c r="QFP39" s="73"/>
      <c r="QFQ39" s="73"/>
      <c r="QFR39" s="73"/>
      <c r="QFS39" s="73"/>
      <c r="QFT39" s="73"/>
      <c r="QFU39" s="73"/>
      <c r="QFV39" s="73"/>
      <c r="QFW39" s="73"/>
      <c r="QFX39" s="73"/>
      <c r="QFY39" s="73"/>
      <c r="QFZ39" s="73"/>
      <c r="QGA39" s="73"/>
      <c r="QGB39" s="73"/>
      <c r="QGC39" s="73"/>
      <c r="QGD39" s="73"/>
      <c r="QGE39" s="73"/>
      <c r="QGF39" s="73"/>
      <c r="QGG39" s="73"/>
      <c r="QGH39" s="73"/>
      <c r="QGI39" s="73"/>
      <c r="QGJ39" s="73"/>
      <c r="QGK39" s="73"/>
      <c r="QGL39" s="73"/>
      <c r="QGM39" s="73"/>
      <c r="QGN39" s="73"/>
      <c r="QGO39" s="73"/>
      <c r="QGP39" s="73"/>
      <c r="QGQ39" s="73"/>
      <c r="QGR39" s="73"/>
      <c r="QGS39" s="73"/>
      <c r="QGT39" s="73"/>
      <c r="QGU39" s="73"/>
      <c r="QGV39" s="73"/>
      <c r="QGW39" s="73"/>
      <c r="QGX39" s="73"/>
      <c r="QGY39" s="73"/>
      <c r="QGZ39" s="73"/>
      <c r="QHA39" s="73"/>
      <c r="QHB39" s="73"/>
      <c r="QHC39" s="73"/>
      <c r="QHD39" s="73"/>
      <c r="QHE39" s="73"/>
      <c r="QHF39" s="73"/>
      <c r="QHG39" s="73"/>
      <c r="QHH39" s="73"/>
      <c r="QHI39" s="73"/>
      <c r="QHJ39" s="73"/>
      <c r="QHK39" s="73"/>
      <c r="QHL39" s="73"/>
      <c r="QHM39" s="73"/>
      <c r="QHN39" s="73"/>
      <c r="QHO39" s="73"/>
      <c r="QHP39" s="73"/>
      <c r="QHQ39" s="73"/>
      <c r="QHR39" s="73"/>
      <c r="QHS39" s="73"/>
      <c r="QHT39" s="73"/>
      <c r="QHU39" s="73"/>
      <c r="QHV39" s="73"/>
      <c r="QHW39" s="73"/>
      <c r="QHX39" s="73"/>
      <c r="QHY39" s="73"/>
      <c r="QHZ39" s="73"/>
      <c r="QIA39" s="73"/>
      <c r="QIB39" s="73"/>
      <c r="QIC39" s="73"/>
      <c r="QID39" s="73"/>
      <c r="QIE39" s="73"/>
      <c r="QIF39" s="73"/>
      <c r="QIG39" s="73"/>
      <c r="QIH39" s="73"/>
      <c r="QII39" s="73"/>
      <c r="QIJ39" s="73"/>
      <c r="QIK39" s="73"/>
      <c r="QIL39" s="73"/>
      <c r="QIM39" s="73"/>
      <c r="QIN39" s="73"/>
      <c r="QIO39" s="73"/>
      <c r="QIP39" s="73"/>
      <c r="QIQ39" s="73"/>
      <c r="QIR39" s="73"/>
      <c r="QIS39" s="73"/>
      <c r="QIT39" s="73"/>
      <c r="QIU39" s="73"/>
      <c r="QIV39" s="73"/>
      <c r="QIW39" s="73"/>
      <c r="QIX39" s="73"/>
      <c r="QIY39" s="73"/>
      <c r="QIZ39" s="73"/>
      <c r="QJA39" s="73"/>
      <c r="QJB39" s="73"/>
      <c r="QJC39" s="73"/>
      <c r="QJD39" s="73"/>
      <c r="QJE39" s="73"/>
      <c r="QJF39" s="73"/>
      <c r="QJG39" s="73"/>
      <c r="QJH39" s="73"/>
      <c r="QJI39" s="73"/>
      <c r="QJJ39" s="73"/>
      <c r="QJK39" s="73"/>
      <c r="QJL39" s="73"/>
      <c r="QJM39" s="73"/>
      <c r="QJN39" s="73"/>
      <c r="QJO39" s="73"/>
      <c r="QJP39" s="73"/>
      <c r="QJQ39" s="73"/>
      <c r="QJR39" s="73"/>
      <c r="QJS39" s="73"/>
      <c r="QJT39" s="73"/>
      <c r="QJU39" s="73"/>
      <c r="QJV39" s="73"/>
      <c r="QJW39" s="73"/>
      <c r="QJX39" s="73"/>
      <c r="QJY39" s="73"/>
      <c r="QJZ39" s="73"/>
      <c r="QKA39" s="73"/>
      <c r="QKB39" s="73"/>
      <c r="QKC39" s="73"/>
      <c r="QKD39" s="73"/>
      <c r="QKE39" s="73"/>
      <c r="QKF39" s="73"/>
      <c r="QKG39" s="73"/>
      <c r="QKH39" s="73"/>
      <c r="QKI39" s="73"/>
      <c r="QKJ39" s="73"/>
      <c r="QKK39" s="73"/>
      <c r="QKL39" s="73"/>
      <c r="QKM39" s="73"/>
      <c r="QKN39" s="73"/>
      <c r="QKO39" s="73"/>
      <c r="QKP39" s="73"/>
      <c r="QKQ39" s="73"/>
      <c r="QKR39" s="73"/>
      <c r="QKS39" s="73"/>
      <c r="QKT39" s="73"/>
      <c r="QKU39" s="73"/>
      <c r="QKV39" s="73"/>
      <c r="QKW39" s="73"/>
      <c r="QKX39" s="73"/>
      <c r="QKY39" s="73"/>
      <c r="QKZ39" s="73"/>
      <c r="QLA39" s="73"/>
      <c r="QLB39" s="73"/>
      <c r="QLC39" s="73"/>
      <c r="QLD39" s="73"/>
      <c r="QLE39" s="73"/>
      <c r="QLF39" s="73"/>
      <c r="QLG39" s="73"/>
      <c r="QLH39" s="73"/>
      <c r="QLI39" s="73"/>
      <c r="QLJ39" s="73"/>
      <c r="QLK39" s="73"/>
      <c r="QLL39" s="73"/>
      <c r="QLM39" s="73"/>
      <c r="QLN39" s="73"/>
      <c r="QLO39" s="73"/>
      <c r="QLP39" s="73"/>
      <c r="QLQ39" s="73"/>
      <c r="QLR39" s="73"/>
      <c r="QLS39" s="73"/>
      <c r="QLT39" s="73"/>
      <c r="QLU39" s="73"/>
      <c r="QLV39" s="73"/>
      <c r="QLW39" s="73"/>
      <c r="QLX39" s="73"/>
      <c r="QLY39" s="73"/>
      <c r="QLZ39" s="73"/>
      <c r="QMA39" s="73"/>
      <c r="QMB39" s="73"/>
      <c r="QMC39" s="73"/>
      <c r="QMD39" s="73"/>
      <c r="QME39" s="73"/>
      <c r="QMF39" s="73"/>
      <c r="QMG39" s="73"/>
      <c r="QMH39" s="73"/>
      <c r="QMI39" s="73"/>
      <c r="QMJ39" s="73"/>
      <c r="QMK39" s="73"/>
      <c r="QML39" s="73"/>
      <c r="QMM39" s="73"/>
      <c r="QMN39" s="73"/>
      <c r="QMO39" s="73"/>
      <c r="QMP39" s="73"/>
      <c r="QMQ39" s="73"/>
      <c r="QMR39" s="73"/>
      <c r="QMS39" s="73"/>
      <c r="QMT39" s="73"/>
      <c r="QMU39" s="73"/>
      <c r="QMV39" s="73"/>
      <c r="QMW39" s="73"/>
      <c r="QMX39" s="73"/>
      <c r="QMY39" s="73"/>
      <c r="QMZ39" s="73"/>
      <c r="QNA39" s="73"/>
      <c r="QNB39" s="73"/>
      <c r="QNC39" s="73"/>
      <c r="QND39" s="73"/>
      <c r="QNE39" s="73"/>
      <c r="QNF39" s="73"/>
      <c r="QNG39" s="73"/>
      <c r="QNH39" s="73"/>
      <c r="QNI39" s="73"/>
      <c r="QNJ39" s="73"/>
      <c r="QNK39" s="73"/>
      <c r="QNL39" s="73"/>
      <c r="QNM39" s="73"/>
      <c r="QNN39" s="73"/>
      <c r="QNO39" s="73"/>
      <c r="QNP39" s="73"/>
      <c r="QNQ39" s="73"/>
      <c r="QNR39" s="73"/>
      <c r="QNS39" s="73"/>
      <c r="QNT39" s="73"/>
      <c r="QNU39" s="73"/>
      <c r="QNV39" s="73"/>
      <c r="QNW39" s="73"/>
      <c r="QNX39" s="73"/>
      <c r="QNY39" s="73"/>
      <c r="QNZ39" s="73"/>
      <c r="QOA39" s="73"/>
      <c r="QOB39" s="73"/>
      <c r="QOC39" s="73"/>
      <c r="QOD39" s="73"/>
      <c r="QOE39" s="73"/>
      <c r="QOF39" s="73"/>
      <c r="QOG39" s="73"/>
      <c r="QOH39" s="73"/>
      <c r="QOI39" s="73"/>
      <c r="QOJ39" s="73"/>
      <c r="QOK39" s="73"/>
      <c r="QOL39" s="73"/>
      <c r="QOM39" s="73"/>
      <c r="QON39" s="73"/>
      <c r="QOO39" s="73"/>
      <c r="QOP39" s="73"/>
      <c r="QOQ39" s="73"/>
      <c r="QOR39" s="73"/>
      <c r="QOS39" s="73"/>
      <c r="QOT39" s="73"/>
      <c r="QOU39" s="73"/>
      <c r="QOV39" s="73"/>
      <c r="QOW39" s="73"/>
      <c r="QOX39" s="73"/>
      <c r="QOY39" s="73"/>
      <c r="QOZ39" s="73"/>
      <c r="QPA39" s="73"/>
      <c r="QPB39" s="73"/>
      <c r="QPC39" s="73"/>
      <c r="QPD39" s="73"/>
      <c r="QPE39" s="73"/>
      <c r="QPF39" s="73"/>
      <c r="QPG39" s="73"/>
      <c r="QPH39" s="73"/>
      <c r="QPI39" s="73"/>
      <c r="QPJ39" s="73"/>
      <c r="QPK39" s="73"/>
      <c r="QPL39" s="73"/>
      <c r="QPM39" s="73"/>
      <c r="QPN39" s="73"/>
      <c r="QPO39" s="73"/>
      <c r="QPP39" s="73"/>
      <c r="QPQ39" s="73"/>
      <c r="QPR39" s="73"/>
      <c r="QPS39" s="73"/>
      <c r="QPT39" s="73"/>
      <c r="QPU39" s="73"/>
      <c r="QPV39" s="73"/>
      <c r="QPW39" s="73"/>
      <c r="QPX39" s="73"/>
      <c r="QPY39" s="73"/>
      <c r="QPZ39" s="73"/>
      <c r="QQA39" s="73"/>
      <c r="QQB39" s="73"/>
      <c r="QQC39" s="73"/>
      <c r="QQD39" s="73"/>
      <c r="QQE39" s="73"/>
      <c r="QQF39" s="73"/>
      <c r="QQG39" s="73"/>
      <c r="QQH39" s="73"/>
      <c r="QQI39" s="73"/>
      <c r="QQJ39" s="73"/>
      <c r="QQK39" s="73"/>
      <c r="QQL39" s="73"/>
      <c r="QQM39" s="73"/>
      <c r="QQN39" s="73"/>
      <c r="QQO39" s="73"/>
      <c r="QQP39" s="73"/>
      <c r="QQQ39" s="73"/>
      <c r="QQR39" s="73"/>
      <c r="QQS39" s="73"/>
      <c r="QQT39" s="73"/>
      <c r="QQU39" s="73"/>
      <c r="QQV39" s="73"/>
      <c r="QQW39" s="73"/>
      <c r="QQX39" s="73"/>
      <c r="QQY39" s="73"/>
      <c r="QQZ39" s="73"/>
      <c r="QRA39" s="73"/>
      <c r="QRB39" s="73"/>
      <c r="QRC39" s="73"/>
      <c r="QRD39" s="73"/>
      <c r="QRE39" s="73"/>
      <c r="QRF39" s="73"/>
      <c r="QRG39" s="73"/>
      <c r="QRH39" s="73"/>
      <c r="QRI39" s="73"/>
      <c r="QRJ39" s="73"/>
      <c r="QRK39" s="73"/>
      <c r="QRL39" s="73"/>
      <c r="QRM39" s="73"/>
      <c r="QRN39" s="73"/>
      <c r="QRO39" s="73"/>
      <c r="QRP39" s="73"/>
      <c r="QRQ39" s="73"/>
      <c r="QRR39" s="73"/>
      <c r="QRS39" s="73"/>
      <c r="QRT39" s="73"/>
      <c r="QRU39" s="73"/>
      <c r="QRV39" s="73"/>
      <c r="QRW39" s="73"/>
      <c r="QRX39" s="73"/>
      <c r="QRY39" s="73"/>
      <c r="QRZ39" s="73"/>
      <c r="QSA39" s="73"/>
      <c r="QSB39" s="73"/>
      <c r="QSC39" s="73"/>
      <c r="QSD39" s="73"/>
      <c r="QSE39" s="73"/>
      <c r="QSF39" s="73"/>
      <c r="QSG39" s="73"/>
      <c r="QSH39" s="73"/>
      <c r="QSI39" s="73"/>
      <c r="QSJ39" s="73"/>
      <c r="QSK39" s="73"/>
      <c r="QSL39" s="73"/>
      <c r="QSM39" s="73"/>
      <c r="QSN39" s="73"/>
      <c r="QSO39" s="73"/>
      <c r="QSP39" s="73"/>
      <c r="QSQ39" s="73"/>
      <c r="QSR39" s="73"/>
      <c r="QSS39" s="73"/>
      <c r="QST39" s="73"/>
      <c r="QSU39" s="73"/>
      <c r="QSV39" s="73"/>
      <c r="QSW39" s="73"/>
      <c r="QSX39" s="73"/>
      <c r="QSY39" s="73"/>
      <c r="QSZ39" s="73"/>
      <c r="QTA39" s="73"/>
      <c r="QTB39" s="73"/>
      <c r="QTC39" s="73"/>
      <c r="QTD39" s="73"/>
      <c r="QTE39" s="73"/>
      <c r="QTF39" s="73"/>
      <c r="QTG39" s="73"/>
      <c r="QTH39" s="73"/>
      <c r="QTI39" s="73"/>
      <c r="QTJ39" s="73"/>
      <c r="QTK39" s="73"/>
      <c r="QTL39" s="73"/>
      <c r="QTM39" s="73"/>
      <c r="QTN39" s="73"/>
      <c r="QTO39" s="73"/>
      <c r="QTP39" s="73"/>
      <c r="QTQ39" s="73"/>
      <c r="QTR39" s="73"/>
      <c r="QTS39" s="73"/>
      <c r="QTT39" s="73"/>
      <c r="QTU39" s="73"/>
      <c r="QTV39" s="73"/>
      <c r="QTW39" s="73"/>
      <c r="QTX39" s="73"/>
      <c r="QTY39" s="73"/>
      <c r="QTZ39" s="73"/>
      <c r="QUA39" s="73"/>
      <c r="QUB39" s="73"/>
      <c r="QUC39" s="73"/>
      <c r="QUD39" s="73"/>
      <c r="QUE39" s="73"/>
      <c r="QUF39" s="73"/>
      <c r="QUG39" s="73"/>
      <c r="QUH39" s="73"/>
      <c r="QUI39" s="73"/>
      <c r="QUJ39" s="73"/>
      <c r="QUK39" s="73"/>
      <c r="QUL39" s="73"/>
      <c r="QUM39" s="73"/>
      <c r="QUN39" s="73"/>
      <c r="QUO39" s="73"/>
      <c r="QUP39" s="73"/>
      <c r="QUQ39" s="73"/>
      <c r="QUR39" s="73"/>
      <c r="QUS39" s="73"/>
      <c r="QUT39" s="73"/>
      <c r="QUU39" s="73"/>
      <c r="QUV39" s="73"/>
      <c r="QUW39" s="73"/>
      <c r="QUX39" s="73"/>
      <c r="QUY39" s="73"/>
      <c r="QUZ39" s="73"/>
      <c r="QVA39" s="73"/>
      <c r="QVB39" s="73"/>
      <c r="QVC39" s="73"/>
      <c r="QVD39" s="73"/>
      <c r="QVE39" s="73"/>
      <c r="QVF39" s="73"/>
      <c r="QVG39" s="73"/>
      <c r="QVH39" s="73"/>
      <c r="QVI39" s="73"/>
      <c r="QVJ39" s="73"/>
      <c r="QVK39" s="73"/>
      <c r="QVL39" s="73"/>
      <c r="QVM39" s="73"/>
      <c r="QVN39" s="73"/>
      <c r="QVO39" s="73"/>
      <c r="QVP39" s="73"/>
      <c r="QVQ39" s="73"/>
      <c r="QVR39" s="73"/>
      <c r="QVS39" s="73"/>
      <c r="QVT39" s="73"/>
      <c r="QVU39" s="73"/>
      <c r="QVV39" s="73"/>
      <c r="QVW39" s="73"/>
      <c r="QVX39" s="73"/>
      <c r="QVY39" s="73"/>
      <c r="QVZ39" s="73"/>
      <c r="QWA39" s="73"/>
      <c r="QWB39" s="73"/>
      <c r="QWC39" s="73"/>
      <c r="QWD39" s="73"/>
      <c r="QWE39" s="73"/>
      <c r="QWF39" s="73"/>
      <c r="QWG39" s="73"/>
      <c r="QWH39" s="73"/>
      <c r="QWI39" s="73"/>
      <c r="QWJ39" s="73"/>
      <c r="QWK39" s="73"/>
      <c r="QWL39" s="73"/>
      <c r="QWM39" s="73"/>
      <c r="QWN39" s="73"/>
      <c r="QWO39" s="73"/>
      <c r="QWP39" s="73"/>
      <c r="QWQ39" s="73"/>
      <c r="QWR39" s="73"/>
      <c r="QWS39" s="73"/>
      <c r="QWT39" s="73"/>
      <c r="QWU39" s="73"/>
      <c r="QWV39" s="73"/>
      <c r="QWW39" s="73"/>
      <c r="QWX39" s="73"/>
      <c r="QWY39" s="73"/>
      <c r="QWZ39" s="73"/>
      <c r="QXA39" s="73"/>
      <c r="QXB39" s="73"/>
      <c r="QXC39" s="73"/>
      <c r="QXD39" s="73"/>
      <c r="QXE39" s="73"/>
      <c r="QXF39" s="73"/>
      <c r="QXG39" s="73"/>
      <c r="QXH39" s="73"/>
      <c r="QXI39" s="73"/>
      <c r="QXJ39" s="73"/>
      <c r="QXK39" s="73"/>
      <c r="QXL39" s="73"/>
      <c r="QXM39" s="73"/>
      <c r="QXN39" s="73"/>
      <c r="QXO39" s="73"/>
      <c r="QXP39" s="73"/>
      <c r="QXQ39" s="73"/>
      <c r="QXR39" s="73"/>
      <c r="QXS39" s="73"/>
      <c r="QXT39" s="73"/>
      <c r="QXU39" s="73"/>
      <c r="QXV39" s="73"/>
      <c r="QXW39" s="73"/>
      <c r="QXX39" s="73"/>
      <c r="QXY39" s="73"/>
      <c r="QXZ39" s="73"/>
      <c r="QYA39" s="73"/>
      <c r="QYB39" s="73"/>
      <c r="QYC39" s="73"/>
      <c r="QYD39" s="73"/>
      <c r="QYE39" s="73"/>
      <c r="QYF39" s="73"/>
      <c r="QYG39" s="73"/>
      <c r="QYH39" s="73"/>
      <c r="QYI39" s="73"/>
      <c r="QYJ39" s="73"/>
      <c r="QYK39" s="73"/>
      <c r="QYL39" s="73"/>
      <c r="QYM39" s="73"/>
      <c r="QYN39" s="73"/>
      <c r="QYO39" s="73"/>
      <c r="QYP39" s="73"/>
      <c r="QYQ39" s="73"/>
      <c r="QYR39" s="73"/>
      <c r="QYS39" s="73"/>
      <c r="QYT39" s="73"/>
      <c r="QYU39" s="73"/>
      <c r="QYV39" s="73"/>
      <c r="QYW39" s="73"/>
      <c r="QYX39" s="73"/>
      <c r="QYY39" s="73"/>
      <c r="QYZ39" s="73"/>
      <c r="QZA39" s="73"/>
      <c r="QZB39" s="73"/>
      <c r="QZC39" s="73"/>
      <c r="QZD39" s="73"/>
      <c r="QZE39" s="73"/>
      <c r="QZF39" s="73"/>
      <c r="QZG39" s="73"/>
      <c r="QZH39" s="73"/>
      <c r="QZI39" s="73"/>
      <c r="QZJ39" s="73"/>
      <c r="QZK39" s="73"/>
      <c r="QZL39" s="73"/>
      <c r="QZM39" s="73"/>
      <c r="QZN39" s="73"/>
      <c r="QZO39" s="73"/>
      <c r="QZP39" s="73"/>
      <c r="QZQ39" s="73"/>
      <c r="QZR39" s="73"/>
      <c r="QZS39" s="73"/>
      <c r="QZT39" s="73"/>
      <c r="QZU39" s="73"/>
      <c r="QZV39" s="73"/>
      <c r="QZW39" s="73"/>
      <c r="QZX39" s="73"/>
      <c r="QZY39" s="73"/>
      <c r="QZZ39" s="73"/>
      <c r="RAA39" s="73"/>
      <c r="RAB39" s="73"/>
      <c r="RAC39" s="73"/>
      <c r="RAD39" s="73"/>
      <c r="RAE39" s="73"/>
      <c r="RAF39" s="73"/>
      <c r="RAG39" s="73"/>
      <c r="RAH39" s="73"/>
      <c r="RAI39" s="73"/>
      <c r="RAJ39" s="73"/>
      <c r="RAK39" s="73"/>
      <c r="RAL39" s="73"/>
      <c r="RAM39" s="73"/>
      <c r="RAN39" s="73"/>
      <c r="RAO39" s="73"/>
      <c r="RAP39" s="73"/>
      <c r="RAQ39" s="73"/>
      <c r="RAR39" s="73"/>
      <c r="RAS39" s="73"/>
      <c r="RAT39" s="73"/>
      <c r="RAU39" s="73"/>
      <c r="RAV39" s="73"/>
      <c r="RAW39" s="73"/>
      <c r="RAX39" s="73"/>
      <c r="RAY39" s="73"/>
      <c r="RAZ39" s="73"/>
      <c r="RBA39" s="73"/>
      <c r="RBB39" s="73"/>
      <c r="RBC39" s="73"/>
      <c r="RBD39" s="73"/>
      <c r="RBE39" s="73"/>
      <c r="RBF39" s="73"/>
      <c r="RBG39" s="73"/>
      <c r="RBH39" s="73"/>
      <c r="RBI39" s="73"/>
      <c r="RBJ39" s="73"/>
      <c r="RBK39" s="73"/>
      <c r="RBL39" s="73"/>
      <c r="RBM39" s="73"/>
      <c r="RBN39" s="73"/>
      <c r="RBO39" s="73"/>
      <c r="RBP39" s="73"/>
      <c r="RBQ39" s="73"/>
      <c r="RBR39" s="73"/>
      <c r="RBS39" s="73"/>
      <c r="RBT39" s="73"/>
      <c r="RBU39" s="73"/>
      <c r="RBV39" s="73"/>
      <c r="RBW39" s="73"/>
      <c r="RBX39" s="73"/>
      <c r="RBY39" s="73"/>
      <c r="RBZ39" s="73"/>
      <c r="RCA39" s="73"/>
      <c r="RCB39" s="73"/>
      <c r="RCC39" s="73"/>
      <c r="RCD39" s="73"/>
      <c r="RCE39" s="73"/>
      <c r="RCF39" s="73"/>
      <c r="RCG39" s="73"/>
      <c r="RCH39" s="73"/>
      <c r="RCI39" s="73"/>
      <c r="RCJ39" s="73"/>
      <c r="RCK39" s="73"/>
      <c r="RCL39" s="73"/>
      <c r="RCM39" s="73"/>
      <c r="RCN39" s="73"/>
      <c r="RCO39" s="73"/>
      <c r="RCP39" s="73"/>
      <c r="RCQ39" s="73"/>
      <c r="RCR39" s="73"/>
      <c r="RCS39" s="73"/>
      <c r="RCT39" s="73"/>
      <c r="RCU39" s="73"/>
      <c r="RCV39" s="73"/>
      <c r="RCW39" s="73"/>
      <c r="RCX39" s="73"/>
      <c r="RCY39" s="73"/>
      <c r="RCZ39" s="73"/>
      <c r="RDA39" s="73"/>
      <c r="RDB39" s="73"/>
      <c r="RDC39" s="73"/>
      <c r="RDD39" s="73"/>
      <c r="RDE39" s="73"/>
      <c r="RDF39" s="73"/>
      <c r="RDG39" s="73"/>
      <c r="RDH39" s="73"/>
      <c r="RDI39" s="73"/>
      <c r="RDJ39" s="73"/>
      <c r="RDK39" s="73"/>
      <c r="RDL39" s="73"/>
      <c r="RDM39" s="73"/>
      <c r="RDN39" s="73"/>
      <c r="RDO39" s="73"/>
      <c r="RDP39" s="73"/>
      <c r="RDQ39" s="73"/>
      <c r="RDR39" s="73"/>
      <c r="RDS39" s="73"/>
      <c r="RDT39" s="73"/>
      <c r="RDU39" s="73"/>
      <c r="RDV39" s="73"/>
      <c r="RDW39" s="73"/>
      <c r="RDX39" s="73"/>
      <c r="RDY39" s="73"/>
      <c r="RDZ39" s="73"/>
      <c r="REA39" s="73"/>
      <c r="REB39" s="73"/>
      <c r="REC39" s="73"/>
      <c r="RED39" s="73"/>
      <c r="REE39" s="73"/>
      <c r="REF39" s="73"/>
      <c r="REG39" s="73"/>
      <c r="REH39" s="73"/>
      <c r="REI39" s="73"/>
      <c r="REJ39" s="73"/>
      <c r="REK39" s="73"/>
      <c r="REL39" s="73"/>
      <c r="REM39" s="73"/>
      <c r="REN39" s="73"/>
      <c r="REO39" s="73"/>
      <c r="REP39" s="73"/>
      <c r="REQ39" s="73"/>
      <c r="RER39" s="73"/>
      <c r="RES39" s="73"/>
      <c r="RET39" s="73"/>
      <c r="REU39" s="73"/>
      <c r="REV39" s="73"/>
      <c r="REW39" s="73"/>
      <c r="REX39" s="73"/>
      <c r="REY39" s="73"/>
      <c r="REZ39" s="73"/>
      <c r="RFA39" s="73"/>
      <c r="RFB39" s="73"/>
      <c r="RFC39" s="73"/>
      <c r="RFD39" s="73"/>
      <c r="RFE39" s="73"/>
      <c r="RFF39" s="73"/>
      <c r="RFG39" s="73"/>
      <c r="RFH39" s="73"/>
      <c r="RFI39" s="73"/>
      <c r="RFJ39" s="73"/>
      <c r="RFK39" s="73"/>
      <c r="RFL39" s="73"/>
      <c r="RFM39" s="73"/>
      <c r="RFN39" s="73"/>
      <c r="RFO39" s="73"/>
      <c r="RFP39" s="73"/>
      <c r="RFQ39" s="73"/>
      <c r="RFR39" s="73"/>
      <c r="RFS39" s="73"/>
      <c r="RFT39" s="73"/>
      <c r="RFU39" s="73"/>
      <c r="RFV39" s="73"/>
      <c r="RFW39" s="73"/>
      <c r="RFX39" s="73"/>
      <c r="RFY39" s="73"/>
      <c r="RFZ39" s="73"/>
      <c r="RGA39" s="73"/>
      <c r="RGB39" s="73"/>
      <c r="RGC39" s="73"/>
      <c r="RGD39" s="73"/>
      <c r="RGE39" s="73"/>
      <c r="RGF39" s="73"/>
      <c r="RGG39" s="73"/>
      <c r="RGH39" s="73"/>
      <c r="RGI39" s="73"/>
      <c r="RGJ39" s="73"/>
      <c r="RGK39" s="73"/>
      <c r="RGL39" s="73"/>
      <c r="RGM39" s="73"/>
      <c r="RGN39" s="73"/>
      <c r="RGO39" s="73"/>
      <c r="RGP39" s="73"/>
      <c r="RGQ39" s="73"/>
      <c r="RGR39" s="73"/>
      <c r="RGS39" s="73"/>
      <c r="RGT39" s="73"/>
      <c r="RGU39" s="73"/>
      <c r="RGV39" s="73"/>
      <c r="RGW39" s="73"/>
      <c r="RGX39" s="73"/>
      <c r="RGY39" s="73"/>
      <c r="RGZ39" s="73"/>
      <c r="RHA39" s="73"/>
      <c r="RHB39" s="73"/>
      <c r="RHC39" s="73"/>
      <c r="RHD39" s="73"/>
      <c r="RHE39" s="73"/>
      <c r="RHF39" s="73"/>
      <c r="RHG39" s="73"/>
      <c r="RHH39" s="73"/>
      <c r="RHI39" s="73"/>
      <c r="RHJ39" s="73"/>
      <c r="RHK39" s="73"/>
      <c r="RHL39" s="73"/>
      <c r="RHM39" s="73"/>
      <c r="RHN39" s="73"/>
      <c r="RHO39" s="73"/>
      <c r="RHP39" s="73"/>
      <c r="RHQ39" s="73"/>
      <c r="RHR39" s="73"/>
      <c r="RHS39" s="73"/>
      <c r="RHT39" s="73"/>
      <c r="RHU39" s="73"/>
      <c r="RHV39" s="73"/>
      <c r="RHW39" s="73"/>
      <c r="RHX39" s="73"/>
      <c r="RHY39" s="73"/>
      <c r="RHZ39" s="73"/>
      <c r="RIA39" s="73"/>
      <c r="RIB39" s="73"/>
      <c r="RIC39" s="73"/>
      <c r="RID39" s="73"/>
      <c r="RIE39" s="73"/>
      <c r="RIF39" s="73"/>
      <c r="RIG39" s="73"/>
      <c r="RIH39" s="73"/>
      <c r="RII39" s="73"/>
      <c r="RIJ39" s="73"/>
      <c r="RIK39" s="73"/>
      <c r="RIL39" s="73"/>
      <c r="RIM39" s="73"/>
      <c r="RIN39" s="73"/>
      <c r="RIO39" s="73"/>
      <c r="RIP39" s="73"/>
      <c r="RIQ39" s="73"/>
      <c r="RIR39" s="73"/>
      <c r="RIS39" s="73"/>
      <c r="RIT39" s="73"/>
      <c r="RIU39" s="73"/>
      <c r="RIV39" s="73"/>
      <c r="RIW39" s="73"/>
      <c r="RIX39" s="73"/>
      <c r="RIY39" s="73"/>
      <c r="RIZ39" s="73"/>
      <c r="RJA39" s="73"/>
      <c r="RJB39" s="73"/>
      <c r="RJC39" s="73"/>
      <c r="RJD39" s="73"/>
      <c r="RJE39" s="73"/>
      <c r="RJF39" s="73"/>
      <c r="RJG39" s="73"/>
      <c r="RJH39" s="73"/>
      <c r="RJI39" s="73"/>
      <c r="RJJ39" s="73"/>
      <c r="RJK39" s="73"/>
      <c r="RJL39" s="73"/>
      <c r="RJM39" s="73"/>
      <c r="RJN39" s="73"/>
      <c r="RJO39" s="73"/>
      <c r="RJP39" s="73"/>
      <c r="RJQ39" s="73"/>
      <c r="RJR39" s="73"/>
      <c r="RJS39" s="73"/>
      <c r="RJT39" s="73"/>
      <c r="RJU39" s="73"/>
      <c r="RJV39" s="73"/>
      <c r="RJW39" s="73"/>
      <c r="RJX39" s="73"/>
      <c r="RJY39" s="73"/>
      <c r="RJZ39" s="73"/>
      <c r="RKA39" s="73"/>
      <c r="RKB39" s="73"/>
      <c r="RKC39" s="73"/>
      <c r="RKD39" s="73"/>
      <c r="RKE39" s="73"/>
      <c r="RKF39" s="73"/>
      <c r="RKG39" s="73"/>
      <c r="RKH39" s="73"/>
      <c r="RKI39" s="73"/>
      <c r="RKJ39" s="73"/>
      <c r="RKK39" s="73"/>
      <c r="RKL39" s="73"/>
      <c r="RKM39" s="73"/>
      <c r="RKN39" s="73"/>
      <c r="RKO39" s="73"/>
      <c r="RKP39" s="73"/>
      <c r="RKQ39" s="73"/>
      <c r="RKR39" s="73"/>
      <c r="RKS39" s="73"/>
      <c r="RKT39" s="73"/>
      <c r="RKU39" s="73"/>
      <c r="RKV39" s="73"/>
      <c r="RKW39" s="73"/>
      <c r="RKX39" s="73"/>
      <c r="RKY39" s="73"/>
      <c r="RKZ39" s="73"/>
      <c r="RLA39" s="73"/>
      <c r="RLB39" s="73"/>
      <c r="RLC39" s="73"/>
      <c r="RLD39" s="73"/>
      <c r="RLE39" s="73"/>
      <c r="RLF39" s="73"/>
      <c r="RLG39" s="73"/>
      <c r="RLH39" s="73"/>
      <c r="RLI39" s="73"/>
      <c r="RLJ39" s="73"/>
      <c r="RLK39" s="73"/>
      <c r="RLL39" s="73"/>
      <c r="RLM39" s="73"/>
      <c r="RLN39" s="73"/>
      <c r="RLO39" s="73"/>
      <c r="RLP39" s="73"/>
      <c r="RLQ39" s="73"/>
      <c r="RLR39" s="73"/>
      <c r="RLS39" s="73"/>
      <c r="RLT39" s="73"/>
      <c r="RLU39" s="73"/>
      <c r="RLV39" s="73"/>
      <c r="RLW39" s="73"/>
      <c r="RLX39" s="73"/>
      <c r="RLY39" s="73"/>
      <c r="RLZ39" s="73"/>
      <c r="RMA39" s="73"/>
      <c r="RMB39" s="73"/>
      <c r="RMC39" s="73"/>
      <c r="RMD39" s="73"/>
      <c r="RME39" s="73"/>
      <c r="RMF39" s="73"/>
      <c r="RMG39" s="73"/>
      <c r="RMH39" s="73"/>
      <c r="RMI39" s="73"/>
      <c r="RMJ39" s="73"/>
      <c r="RMK39" s="73"/>
      <c r="RML39" s="73"/>
      <c r="RMM39" s="73"/>
      <c r="RMN39" s="73"/>
      <c r="RMO39" s="73"/>
      <c r="RMP39" s="73"/>
      <c r="RMQ39" s="73"/>
      <c r="RMR39" s="73"/>
      <c r="RMS39" s="73"/>
      <c r="RMT39" s="73"/>
      <c r="RMU39" s="73"/>
      <c r="RMV39" s="73"/>
      <c r="RMW39" s="73"/>
      <c r="RMX39" s="73"/>
      <c r="RMY39" s="73"/>
      <c r="RMZ39" s="73"/>
      <c r="RNA39" s="73"/>
      <c r="RNB39" s="73"/>
      <c r="RNC39" s="73"/>
      <c r="RND39" s="73"/>
      <c r="RNE39" s="73"/>
      <c r="RNF39" s="73"/>
      <c r="RNG39" s="73"/>
      <c r="RNH39" s="73"/>
      <c r="RNI39" s="73"/>
      <c r="RNJ39" s="73"/>
      <c r="RNK39" s="73"/>
      <c r="RNL39" s="73"/>
      <c r="RNM39" s="73"/>
      <c r="RNN39" s="73"/>
      <c r="RNO39" s="73"/>
      <c r="RNP39" s="73"/>
      <c r="RNQ39" s="73"/>
      <c r="RNR39" s="73"/>
      <c r="RNS39" s="73"/>
      <c r="RNT39" s="73"/>
      <c r="RNU39" s="73"/>
      <c r="RNV39" s="73"/>
      <c r="RNW39" s="73"/>
      <c r="RNX39" s="73"/>
      <c r="RNY39" s="73"/>
      <c r="RNZ39" s="73"/>
      <c r="ROA39" s="73"/>
      <c r="ROB39" s="73"/>
      <c r="ROC39" s="73"/>
      <c r="ROD39" s="73"/>
      <c r="ROE39" s="73"/>
      <c r="ROF39" s="73"/>
      <c r="ROG39" s="73"/>
      <c r="ROH39" s="73"/>
      <c r="ROI39" s="73"/>
      <c r="ROJ39" s="73"/>
      <c r="ROK39" s="73"/>
      <c r="ROL39" s="73"/>
      <c r="ROM39" s="73"/>
      <c r="RON39" s="73"/>
      <c r="ROO39" s="73"/>
      <c r="ROP39" s="73"/>
      <c r="ROQ39" s="73"/>
      <c r="ROR39" s="73"/>
      <c r="ROS39" s="73"/>
      <c r="ROT39" s="73"/>
      <c r="ROU39" s="73"/>
      <c r="ROV39" s="73"/>
      <c r="ROW39" s="73"/>
      <c r="ROX39" s="73"/>
      <c r="ROY39" s="73"/>
      <c r="ROZ39" s="73"/>
      <c r="RPA39" s="73"/>
      <c r="RPB39" s="73"/>
      <c r="RPC39" s="73"/>
      <c r="RPD39" s="73"/>
      <c r="RPE39" s="73"/>
      <c r="RPF39" s="73"/>
      <c r="RPG39" s="73"/>
      <c r="RPH39" s="73"/>
      <c r="RPI39" s="73"/>
      <c r="RPJ39" s="73"/>
      <c r="RPK39" s="73"/>
      <c r="RPL39" s="73"/>
      <c r="RPM39" s="73"/>
      <c r="RPN39" s="73"/>
      <c r="RPO39" s="73"/>
      <c r="RPP39" s="73"/>
      <c r="RPQ39" s="73"/>
      <c r="RPR39" s="73"/>
      <c r="RPS39" s="73"/>
      <c r="RPT39" s="73"/>
      <c r="RPU39" s="73"/>
      <c r="RPV39" s="73"/>
      <c r="RPW39" s="73"/>
      <c r="RPX39" s="73"/>
      <c r="RPY39" s="73"/>
      <c r="RPZ39" s="73"/>
      <c r="RQA39" s="73"/>
      <c r="RQB39" s="73"/>
      <c r="RQC39" s="73"/>
      <c r="RQD39" s="73"/>
      <c r="RQE39" s="73"/>
      <c r="RQF39" s="73"/>
      <c r="RQG39" s="73"/>
      <c r="RQH39" s="73"/>
      <c r="RQI39" s="73"/>
      <c r="RQJ39" s="73"/>
      <c r="RQK39" s="73"/>
      <c r="RQL39" s="73"/>
      <c r="RQM39" s="73"/>
      <c r="RQN39" s="73"/>
      <c r="RQO39" s="73"/>
      <c r="RQP39" s="73"/>
      <c r="RQQ39" s="73"/>
      <c r="RQR39" s="73"/>
      <c r="RQS39" s="73"/>
      <c r="RQT39" s="73"/>
      <c r="RQU39" s="73"/>
      <c r="RQV39" s="73"/>
      <c r="RQW39" s="73"/>
      <c r="RQX39" s="73"/>
      <c r="RQY39" s="73"/>
      <c r="RQZ39" s="73"/>
      <c r="RRA39" s="73"/>
      <c r="RRB39" s="73"/>
      <c r="RRC39" s="73"/>
      <c r="RRD39" s="73"/>
      <c r="RRE39" s="73"/>
      <c r="RRF39" s="73"/>
      <c r="RRG39" s="73"/>
      <c r="RRH39" s="73"/>
      <c r="RRI39" s="73"/>
      <c r="RRJ39" s="73"/>
      <c r="RRK39" s="73"/>
      <c r="RRL39" s="73"/>
      <c r="RRM39" s="73"/>
      <c r="RRN39" s="73"/>
      <c r="RRO39" s="73"/>
      <c r="RRP39" s="73"/>
      <c r="RRQ39" s="73"/>
      <c r="RRR39" s="73"/>
      <c r="RRS39" s="73"/>
      <c r="RRT39" s="73"/>
      <c r="RRU39" s="73"/>
      <c r="RRV39" s="73"/>
      <c r="RRW39" s="73"/>
      <c r="RRX39" s="73"/>
      <c r="RRY39" s="73"/>
      <c r="RRZ39" s="73"/>
      <c r="RSA39" s="73"/>
      <c r="RSB39" s="73"/>
      <c r="RSC39" s="73"/>
      <c r="RSD39" s="73"/>
      <c r="RSE39" s="73"/>
      <c r="RSF39" s="73"/>
      <c r="RSG39" s="73"/>
      <c r="RSH39" s="73"/>
      <c r="RSI39" s="73"/>
      <c r="RSJ39" s="73"/>
      <c r="RSK39" s="73"/>
      <c r="RSL39" s="73"/>
      <c r="RSM39" s="73"/>
      <c r="RSN39" s="73"/>
      <c r="RSO39" s="73"/>
      <c r="RSP39" s="73"/>
      <c r="RSQ39" s="73"/>
      <c r="RSR39" s="73"/>
      <c r="RSS39" s="73"/>
      <c r="RST39" s="73"/>
      <c r="RSU39" s="73"/>
      <c r="RSV39" s="73"/>
      <c r="RSW39" s="73"/>
      <c r="RSX39" s="73"/>
      <c r="RSY39" s="73"/>
      <c r="RSZ39" s="73"/>
      <c r="RTA39" s="73"/>
      <c r="RTB39" s="73"/>
      <c r="RTC39" s="73"/>
      <c r="RTD39" s="73"/>
      <c r="RTE39" s="73"/>
      <c r="RTF39" s="73"/>
      <c r="RTG39" s="73"/>
      <c r="RTH39" s="73"/>
      <c r="RTI39" s="73"/>
      <c r="RTJ39" s="73"/>
      <c r="RTK39" s="73"/>
      <c r="RTL39" s="73"/>
      <c r="RTM39" s="73"/>
      <c r="RTN39" s="73"/>
      <c r="RTO39" s="73"/>
      <c r="RTP39" s="73"/>
      <c r="RTQ39" s="73"/>
      <c r="RTR39" s="73"/>
      <c r="RTS39" s="73"/>
      <c r="RTT39" s="73"/>
      <c r="RTU39" s="73"/>
      <c r="RTV39" s="73"/>
      <c r="RTW39" s="73"/>
      <c r="RTX39" s="73"/>
      <c r="RTY39" s="73"/>
      <c r="RTZ39" s="73"/>
      <c r="RUA39" s="73"/>
      <c r="RUB39" s="73"/>
      <c r="RUC39" s="73"/>
      <c r="RUD39" s="73"/>
      <c r="RUE39" s="73"/>
      <c r="RUF39" s="73"/>
      <c r="RUG39" s="73"/>
      <c r="RUH39" s="73"/>
      <c r="RUI39" s="73"/>
      <c r="RUJ39" s="73"/>
      <c r="RUK39" s="73"/>
      <c r="RUL39" s="73"/>
      <c r="RUM39" s="73"/>
      <c r="RUN39" s="73"/>
      <c r="RUO39" s="73"/>
      <c r="RUP39" s="73"/>
      <c r="RUQ39" s="73"/>
      <c r="RUR39" s="73"/>
      <c r="RUS39" s="73"/>
      <c r="RUT39" s="73"/>
      <c r="RUU39" s="73"/>
      <c r="RUV39" s="73"/>
      <c r="RUW39" s="73"/>
      <c r="RUX39" s="73"/>
      <c r="RUY39" s="73"/>
      <c r="RUZ39" s="73"/>
      <c r="RVA39" s="73"/>
      <c r="RVB39" s="73"/>
      <c r="RVC39" s="73"/>
      <c r="RVD39" s="73"/>
      <c r="RVE39" s="73"/>
      <c r="RVF39" s="73"/>
      <c r="RVG39" s="73"/>
      <c r="RVH39" s="73"/>
      <c r="RVI39" s="73"/>
      <c r="RVJ39" s="73"/>
      <c r="RVK39" s="73"/>
      <c r="RVL39" s="73"/>
      <c r="RVM39" s="73"/>
      <c r="RVN39" s="73"/>
      <c r="RVO39" s="73"/>
      <c r="RVP39" s="73"/>
      <c r="RVQ39" s="73"/>
      <c r="RVR39" s="73"/>
      <c r="RVS39" s="73"/>
      <c r="RVT39" s="73"/>
      <c r="RVU39" s="73"/>
      <c r="RVV39" s="73"/>
      <c r="RVW39" s="73"/>
      <c r="RVX39" s="73"/>
      <c r="RVY39" s="73"/>
      <c r="RVZ39" s="73"/>
      <c r="RWA39" s="73"/>
      <c r="RWB39" s="73"/>
      <c r="RWC39" s="73"/>
      <c r="RWD39" s="73"/>
      <c r="RWE39" s="73"/>
      <c r="RWF39" s="73"/>
      <c r="RWG39" s="73"/>
      <c r="RWH39" s="73"/>
      <c r="RWI39" s="73"/>
      <c r="RWJ39" s="73"/>
      <c r="RWK39" s="73"/>
      <c r="RWL39" s="73"/>
      <c r="RWM39" s="73"/>
      <c r="RWN39" s="73"/>
      <c r="RWO39" s="73"/>
      <c r="RWP39" s="73"/>
      <c r="RWQ39" s="73"/>
      <c r="RWR39" s="73"/>
      <c r="RWS39" s="73"/>
      <c r="RWT39" s="73"/>
      <c r="RWU39" s="73"/>
      <c r="RWV39" s="73"/>
      <c r="RWW39" s="73"/>
      <c r="RWX39" s="73"/>
      <c r="RWY39" s="73"/>
      <c r="RWZ39" s="73"/>
      <c r="RXA39" s="73"/>
      <c r="RXB39" s="73"/>
      <c r="RXC39" s="73"/>
      <c r="RXD39" s="73"/>
      <c r="RXE39" s="73"/>
      <c r="RXF39" s="73"/>
      <c r="RXG39" s="73"/>
      <c r="RXH39" s="73"/>
      <c r="RXI39" s="73"/>
      <c r="RXJ39" s="73"/>
      <c r="RXK39" s="73"/>
      <c r="RXL39" s="73"/>
      <c r="RXM39" s="73"/>
      <c r="RXN39" s="73"/>
      <c r="RXO39" s="73"/>
      <c r="RXP39" s="73"/>
      <c r="RXQ39" s="73"/>
      <c r="RXR39" s="73"/>
      <c r="RXS39" s="73"/>
      <c r="RXT39" s="73"/>
      <c r="RXU39" s="73"/>
      <c r="RXV39" s="73"/>
      <c r="RXW39" s="73"/>
      <c r="RXX39" s="73"/>
      <c r="RXY39" s="73"/>
      <c r="RXZ39" s="73"/>
      <c r="RYA39" s="73"/>
      <c r="RYB39" s="73"/>
      <c r="RYC39" s="73"/>
      <c r="RYD39" s="73"/>
      <c r="RYE39" s="73"/>
      <c r="RYF39" s="73"/>
      <c r="RYG39" s="73"/>
      <c r="RYH39" s="73"/>
      <c r="RYI39" s="73"/>
      <c r="RYJ39" s="73"/>
      <c r="RYK39" s="73"/>
      <c r="RYL39" s="73"/>
      <c r="RYM39" s="73"/>
      <c r="RYN39" s="73"/>
      <c r="RYO39" s="73"/>
      <c r="RYP39" s="73"/>
      <c r="RYQ39" s="73"/>
      <c r="RYR39" s="73"/>
      <c r="RYS39" s="73"/>
      <c r="RYT39" s="73"/>
      <c r="RYU39" s="73"/>
      <c r="RYV39" s="73"/>
      <c r="RYW39" s="73"/>
      <c r="RYX39" s="73"/>
      <c r="RYY39" s="73"/>
      <c r="RYZ39" s="73"/>
      <c r="RZA39" s="73"/>
      <c r="RZB39" s="73"/>
      <c r="RZC39" s="73"/>
      <c r="RZD39" s="73"/>
      <c r="RZE39" s="73"/>
      <c r="RZF39" s="73"/>
      <c r="RZG39" s="73"/>
      <c r="RZH39" s="73"/>
      <c r="RZI39" s="73"/>
      <c r="RZJ39" s="73"/>
      <c r="RZK39" s="73"/>
      <c r="RZL39" s="73"/>
      <c r="RZM39" s="73"/>
      <c r="RZN39" s="73"/>
      <c r="RZO39" s="73"/>
      <c r="RZP39" s="73"/>
      <c r="RZQ39" s="73"/>
      <c r="RZR39" s="73"/>
      <c r="RZS39" s="73"/>
      <c r="RZT39" s="73"/>
      <c r="RZU39" s="73"/>
      <c r="RZV39" s="73"/>
      <c r="RZW39" s="73"/>
      <c r="RZX39" s="73"/>
      <c r="RZY39" s="73"/>
      <c r="RZZ39" s="73"/>
      <c r="SAA39" s="73"/>
      <c r="SAB39" s="73"/>
      <c r="SAC39" s="73"/>
      <c r="SAD39" s="73"/>
      <c r="SAE39" s="73"/>
      <c r="SAF39" s="73"/>
      <c r="SAG39" s="73"/>
      <c r="SAH39" s="73"/>
      <c r="SAI39" s="73"/>
      <c r="SAJ39" s="73"/>
      <c r="SAK39" s="73"/>
      <c r="SAL39" s="73"/>
      <c r="SAM39" s="73"/>
      <c r="SAN39" s="73"/>
      <c r="SAO39" s="73"/>
      <c r="SAP39" s="73"/>
      <c r="SAQ39" s="73"/>
      <c r="SAR39" s="73"/>
      <c r="SAS39" s="73"/>
      <c r="SAT39" s="73"/>
      <c r="SAU39" s="73"/>
      <c r="SAV39" s="73"/>
      <c r="SAW39" s="73"/>
      <c r="SAX39" s="73"/>
      <c r="SAY39" s="73"/>
      <c r="SAZ39" s="73"/>
      <c r="SBA39" s="73"/>
      <c r="SBB39" s="73"/>
      <c r="SBC39" s="73"/>
      <c r="SBD39" s="73"/>
      <c r="SBE39" s="73"/>
      <c r="SBF39" s="73"/>
      <c r="SBG39" s="73"/>
      <c r="SBH39" s="73"/>
      <c r="SBI39" s="73"/>
      <c r="SBJ39" s="73"/>
      <c r="SBK39" s="73"/>
      <c r="SBL39" s="73"/>
      <c r="SBM39" s="73"/>
      <c r="SBN39" s="73"/>
      <c r="SBO39" s="73"/>
      <c r="SBP39" s="73"/>
      <c r="SBQ39" s="73"/>
      <c r="SBR39" s="73"/>
      <c r="SBS39" s="73"/>
      <c r="SBT39" s="73"/>
      <c r="SBU39" s="73"/>
      <c r="SBV39" s="73"/>
      <c r="SBW39" s="73"/>
      <c r="SBX39" s="73"/>
      <c r="SBY39" s="73"/>
      <c r="SBZ39" s="73"/>
      <c r="SCA39" s="73"/>
      <c r="SCB39" s="73"/>
      <c r="SCC39" s="73"/>
      <c r="SCD39" s="73"/>
      <c r="SCE39" s="73"/>
      <c r="SCF39" s="73"/>
      <c r="SCG39" s="73"/>
      <c r="SCH39" s="73"/>
      <c r="SCI39" s="73"/>
      <c r="SCJ39" s="73"/>
      <c r="SCK39" s="73"/>
      <c r="SCL39" s="73"/>
      <c r="SCM39" s="73"/>
      <c r="SCN39" s="73"/>
      <c r="SCO39" s="73"/>
      <c r="SCP39" s="73"/>
      <c r="SCQ39" s="73"/>
      <c r="SCR39" s="73"/>
      <c r="SCS39" s="73"/>
      <c r="SCT39" s="73"/>
      <c r="SCU39" s="73"/>
      <c r="SCV39" s="73"/>
      <c r="SCW39" s="73"/>
      <c r="SCX39" s="73"/>
      <c r="SCY39" s="73"/>
      <c r="SCZ39" s="73"/>
      <c r="SDA39" s="73"/>
      <c r="SDB39" s="73"/>
      <c r="SDC39" s="73"/>
      <c r="SDD39" s="73"/>
      <c r="SDE39" s="73"/>
      <c r="SDF39" s="73"/>
      <c r="SDG39" s="73"/>
      <c r="SDH39" s="73"/>
      <c r="SDI39" s="73"/>
      <c r="SDJ39" s="73"/>
      <c r="SDK39" s="73"/>
      <c r="SDL39" s="73"/>
      <c r="SDM39" s="73"/>
      <c r="SDN39" s="73"/>
      <c r="SDO39" s="73"/>
      <c r="SDP39" s="73"/>
      <c r="SDQ39" s="73"/>
      <c r="SDR39" s="73"/>
      <c r="SDS39" s="73"/>
      <c r="SDT39" s="73"/>
      <c r="SDU39" s="73"/>
      <c r="SDV39" s="73"/>
      <c r="SDW39" s="73"/>
      <c r="SDX39" s="73"/>
      <c r="SDY39" s="73"/>
      <c r="SDZ39" s="73"/>
      <c r="SEA39" s="73"/>
      <c r="SEB39" s="73"/>
      <c r="SEC39" s="73"/>
      <c r="SED39" s="73"/>
      <c r="SEE39" s="73"/>
      <c r="SEF39" s="73"/>
      <c r="SEG39" s="73"/>
      <c r="SEH39" s="73"/>
      <c r="SEI39" s="73"/>
      <c r="SEJ39" s="73"/>
      <c r="SEK39" s="73"/>
      <c r="SEL39" s="73"/>
      <c r="SEM39" s="73"/>
      <c r="SEN39" s="73"/>
      <c r="SEO39" s="73"/>
      <c r="SEP39" s="73"/>
      <c r="SEQ39" s="73"/>
      <c r="SER39" s="73"/>
      <c r="SES39" s="73"/>
      <c r="SET39" s="73"/>
      <c r="SEU39" s="73"/>
      <c r="SEV39" s="73"/>
      <c r="SEW39" s="73"/>
      <c r="SEX39" s="73"/>
      <c r="SEY39" s="73"/>
      <c r="SEZ39" s="73"/>
      <c r="SFA39" s="73"/>
      <c r="SFB39" s="73"/>
      <c r="SFC39" s="73"/>
      <c r="SFD39" s="73"/>
      <c r="SFE39" s="73"/>
      <c r="SFF39" s="73"/>
      <c r="SFG39" s="73"/>
      <c r="SFH39" s="73"/>
      <c r="SFI39" s="73"/>
      <c r="SFJ39" s="73"/>
      <c r="SFK39" s="73"/>
      <c r="SFL39" s="73"/>
      <c r="SFM39" s="73"/>
      <c r="SFN39" s="73"/>
      <c r="SFO39" s="73"/>
      <c r="SFP39" s="73"/>
      <c r="SFQ39" s="73"/>
      <c r="SFR39" s="73"/>
      <c r="SFS39" s="73"/>
      <c r="SFT39" s="73"/>
      <c r="SFU39" s="73"/>
      <c r="SFV39" s="73"/>
      <c r="SFW39" s="73"/>
      <c r="SFX39" s="73"/>
      <c r="SFY39" s="73"/>
      <c r="SFZ39" s="73"/>
      <c r="SGA39" s="73"/>
      <c r="SGB39" s="73"/>
      <c r="SGC39" s="73"/>
      <c r="SGD39" s="73"/>
      <c r="SGE39" s="73"/>
      <c r="SGF39" s="73"/>
      <c r="SGG39" s="73"/>
      <c r="SGH39" s="73"/>
      <c r="SGI39" s="73"/>
      <c r="SGJ39" s="73"/>
      <c r="SGK39" s="73"/>
      <c r="SGL39" s="73"/>
      <c r="SGM39" s="73"/>
      <c r="SGN39" s="73"/>
      <c r="SGO39" s="73"/>
      <c r="SGP39" s="73"/>
      <c r="SGQ39" s="73"/>
      <c r="SGR39" s="73"/>
      <c r="SGS39" s="73"/>
      <c r="SGT39" s="73"/>
      <c r="SGU39" s="73"/>
      <c r="SGV39" s="73"/>
      <c r="SGW39" s="73"/>
      <c r="SGX39" s="73"/>
      <c r="SGY39" s="73"/>
      <c r="SGZ39" s="73"/>
      <c r="SHA39" s="73"/>
      <c r="SHB39" s="73"/>
      <c r="SHC39" s="73"/>
      <c r="SHD39" s="73"/>
      <c r="SHE39" s="73"/>
      <c r="SHF39" s="73"/>
      <c r="SHG39" s="73"/>
      <c r="SHH39" s="73"/>
      <c r="SHI39" s="73"/>
      <c r="SHJ39" s="73"/>
      <c r="SHK39" s="73"/>
      <c r="SHL39" s="73"/>
      <c r="SHM39" s="73"/>
      <c r="SHN39" s="73"/>
      <c r="SHO39" s="73"/>
      <c r="SHP39" s="73"/>
      <c r="SHQ39" s="73"/>
      <c r="SHR39" s="73"/>
      <c r="SHS39" s="73"/>
      <c r="SHT39" s="73"/>
      <c r="SHU39" s="73"/>
      <c r="SHV39" s="73"/>
      <c r="SHW39" s="73"/>
      <c r="SHX39" s="73"/>
      <c r="SHY39" s="73"/>
      <c r="SHZ39" s="73"/>
      <c r="SIA39" s="73"/>
      <c r="SIB39" s="73"/>
      <c r="SIC39" s="73"/>
      <c r="SID39" s="73"/>
      <c r="SIE39" s="73"/>
      <c r="SIF39" s="73"/>
      <c r="SIG39" s="73"/>
      <c r="SIH39" s="73"/>
      <c r="SII39" s="73"/>
      <c r="SIJ39" s="73"/>
      <c r="SIK39" s="73"/>
      <c r="SIL39" s="73"/>
      <c r="SIM39" s="73"/>
      <c r="SIN39" s="73"/>
      <c r="SIO39" s="73"/>
      <c r="SIP39" s="73"/>
      <c r="SIQ39" s="73"/>
      <c r="SIR39" s="73"/>
      <c r="SIS39" s="73"/>
      <c r="SIT39" s="73"/>
      <c r="SIU39" s="73"/>
      <c r="SIV39" s="73"/>
      <c r="SIW39" s="73"/>
      <c r="SIX39" s="73"/>
      <c r="SIY39" s="73"/>
      <c r="SIZ39" s="73"/>
      <c r="SJA39" s="73"/>
      <c r="SJB39" s="73"/>
      <c r="SJC39" s="73"/>
      <c r="SJD39" s="73"/>
      <c r="SJE39" s="73"/>
      <c r="SJF39" s="73"/>
      <c r="SJG39" s="73"/>
      <c r="SJH39" s="73"/>
      <c r="SJI39" s="73"/>
      <c r="SJJ39" s="73"/>
      <c r="SJK39" s="73"/>
      <c r="SJL39" s="73"/>
      <c r="SJM39" s="73"/>
      <c r="SJN39" s="73"/>
      <c r="SJO39" s="73"/>
      <c r="SJP39" s="73"/>
      <c r="SJQ39" s="73"/>
      <c r="SJR39" s="73"/>
      <c r="SJS39" s="73"/>
      <c r="SJT39" s="73"/>
      <c r="SJU39" s="73"/>
      <c r="SJV39" s="73"/>
      <c r="SJW39" s="73"/>
      <c r="SJX39" s="73"/>
      <c r="SJY39" s="73"/>
      <c r="SJZ39" s="73"/>
      <c r="SKA39" s="73"/>
      <c r="SKB39" s="73"/>
      <c r="SKC39" s="73"/>
      <c r="SKD39" s="73"/>
      <c r="SKE39" s="73"/>
      <c r="SKF39" s="73"/>
      <c r="SKG39" s="73"/>
      <c r="SKH39" s="73"/>
      <c r="SKI39" s="73"/>
      <c r="SKJ39" s="73"/>
      <c r="SKK39" s="73"/>
      <c r="SKL39" s="73"/>
      <c r="SKM39" s="73"/>
      <c r="SKN39" s="73"/>
      <c r="SKO39" s="73"/>
      <c r="SKP39" s="73"/>
      <c r="SKQ39" s="73"/>
      <c r="SKR39" s="73"/>
      <c r="SKS39" s="73"/>
      <c r="SKT39" s="73"/>
      <c r="SKU39" s="73"/>
      <c r="SKV39" s="73"/>
      <c r="SKW39" s="73"/>
      <c r="SKX39" s="73"/>
      <c r="SKY39" s="73"/>
      <c r="SKZ39" s="73"/>
      <c r="SLA39" s="73"/>
      <c r="SLB39" s="73"/>
      <c r="SLC39" s="73"/>
      <c r="SLD39" s="73"/>
      <c r="SLE39" s="73"/>
      <c r="SLF39" s="73"/>
      <c r="SLG39" s="73"/>
      <c r="SLH39" s="73"/>
      <c r="SLI39" s="73"/>
      <c r="SLJ39" s="73"/>
      <c r="SLK39" s="73"/>
      <c r="SLL39" s="73"/>
      <c r="SLM39" s="73"/>
      <c r="SLN39" s="73"/>
      <c r="SLO39" s="73"/>
      <c r="SLP39" s="73"/>
      <c r="SLQ39" s="73"/>
      <c r="SLR39" s="73"/>
      <c r="SLS39" s="73"/>
      <c r="SLT39" s="73"/>
      <c r="SLU39" s="73"/>
      <c r="SLV39" s="73"/>
      <c r="SLW39" s="73"/>
      <c r="SLX39" s="73"/>
      <c r="SLY39" s="73"/>
      <c r="SLZ39" s="73"/>
      <c r="SMA39" s="73"/>
      <c r="SMB39" s="73"/>
      <c r="SMC39" s="73"/>
      <c r="SMD39" s="73"/>
      <c r="SME39" s="73"/>
      <c r="SMF39" s="73"/>
      <c r="SMG39" s="73"/>
      <c r="SMH39" s="73"/>
      <c r="SMI39" s="73"/>
      <c r="SMJ39" s="73"/>
      <c r="SMK39" s="73"/>
      <c r="SML39" s="73"/>
      <c r="SMM39" s="73"/>
      <c r="SMN39" s="73"/>
      <c r="SMO39" s="73"/>
      <c r="SMP39" s="73"/>
      <c r="SMQ39" s="73"/>
      <c r="SMR39" s="73"/>
      <c r="SMS39" s="73"/>
      <c r="SMT39" s="73"/>
      <c r="SMU39" s="73"/>
      <c r="SMV39" s="73"/>
      <c r="SMW39" s="73"/>
      <c r="SMX39" s="73"/>
      <c r="SMY39" s="73"/>
      <c r="SMZ39" s="73"/>
      <c r="SNA39" s="73"/>
      <c r="SNB39" s="73"/>
      <c r="SNC39" s="73"/>
      <c r="SND39" s="73"/>
      <c r="SNE39" s="73"/>
      <c r="SNF39" s="73"/>
      <c r="SNG39" s="73"/>
      <c r="SNH39" s="73"/>
      <c r="SNI39" s="73"/>
      <c r="SNJ39" s="73"/>
      <c r="SNK39" s="73"/>
      <c r="SNL39" s="73"/>
      <c r="SNM39" s="73"/>
      <c r="SNN39" s="73"/>
      <c r="SNO39" s="73"/>
      <c r="SNP39" s="73"/>
      <c r="SNQ39" s="73"/>
      <c r="SNR39" s="73"/>
      <c r="SNS39" s="73"/>
      <c r="SNT39" s="73"/>
      <c r="SNU39" s="73"/>
      <c r="SNV39" s="73"/>
      <c r="SNW39" s="73"/>
      <c r="SNX39" s="73"/>
      <c r="SNY39" s="73"/>
      <c r="SNZ39" s="73"/>
      <c r="SOA39" s="73"/>
      <c r="SOB39" s="73"/>
      <c r="SOC39" s="73"/>
      <c r="SOD39" s="73"/>
      <c r="SOE39" s="73"/>
      <c r="SOF39" s="73"/>
      <c r="SOG39" s="73"/>
      <c r="SOH39" s="73"/>
      <c r="SOI39" s="73"/>
      <c r="SOJ39" s="73"/>
      <c r="SOK39" s="73"/>
      <c r="SOL39" s="73"/>
      <c r="SOM39" s="73"/>
      <c r="SON39" s="73"/>
      <c r="SOO39" s="73"/>
      <c r="SOP39" s="73"/>
      <c r="SOQ39" s="73"/>
      <c r="SOR39" s="73"/>
      <c r="SOS39" s="73"/>
      <c r="SOT39" s="73"/>
      <c r="SOU39" s="73"/>
      <c r="SOV39" s="73"/>
      <c r="SOW39" s="73"/>
      <c r="SOX39" s="73"/>
      <c r="SOY39" s="73"/>
      <c r="SOZ39" s="73"/>
      <c r="SPA39" s="73"/>
      <c r="SPB39" s="73"/>
      <c r="SPC39" s="73"/>
      <c r="SPD39" s="73"/>
      <c r="SPE39" s="73"/>
      <c r="SPF39" s="73"/>
      <c r="SPG39" s="73"/>
      <c r="SPH39" s="73"/>
      <c r="SPI39" s="73"/>
      <c r="SPJ39" s="73"/>
      <c r="SPK39" s="73"/>
      <c r="SPL39" s="73"/>
      <c r="SPM39" s="73"/>
      <c r="SPN39" s="73"/>
      <c r="SPO39" s="73"/>
      <c r="SPP39" s="73"/>
      <c r="SPQ39" s="73"/>
      <c r="SPR39" s="73"/>
      <c r="SPS39" s="73"/>
      <c r="SPT39" s="73"/>
      <c r="SPU39" s="73"/>
      <c r="SPV39" s="73"/>
      <c r="SPW39" s="73"/>
      <c r="SPX39" s="73"/>
      <c r="SPY39" s="73"/>
      <c r="SPZ39" s="73"/>
      <c r="SQA39" s="73"/>
      <c r="SQB39" s="73"/>
      <c r="SQC39" s="73"/>
      <c r="SQD39" s="73"/>
      <c r="SQE39" s="73"/>
      <c r="SQF39" s="73"/>
      <c r="SQG39" s="73"/>
      <c r="SQH39" s="73"/>
      <c r="SQI39" s="73"/>
      <c r="SQJ39" s="73"/>
      <c r="SQK39" s="73"/>
      <c r="SQL39" s="73"/>
      <c r="SQM39" s="73"/>
      <c r="SQN39" s="73"/>
      <c r="SQO39" s="73"/>
      <c r="SQP39" s="73"/>
      <c r="SQQ39" s="73"/>
      <c r="SQR39" s="73"/>
      <c r="SQS39" s="73"/>
      <c r="SQT39" s="73"/>
      <c r="SQU39" s="73"/>
      <c r="SQV39" s="73"/>
      <c r="SQW39" s="73"/>
      <c r="SQX39" s="73"/>
      <c r="SQY39" s="73"/>
      <c r="SQZ39" s="73"/>
      <c r="SRA39" s="73"/>
      <c r="SRB39" s="73"/>
      <c r="SRC39" s="73"/>
      <c r="SRD39" s="73"/>
      <c r="SRE39" s="73"/>
      <c r="SRF39" s="73"/>
      <c r="SRG39" s="73"/>
      <c r="SRH39" s="73"/>
      <c r="SRI39" s="73"/>
      <c r="SRJ39" s="73"/>
      <c r="SRK39" s="73"/>
      <c r="SRL39" s="73"/>
      <c r="SRM39" s="73"/>
      <c r="SRN39" s="73"/>
      <c r="SRO39" s="73"/>
      <c r="SRP39" s="73"/>
      <c r="SRQ39" s="73"/>
      <c r="SRR39" s="73"/>
      <c r="SRS39" s="73"/>
      <c r="SRT39" s="73"/>
      <c r="SRU39" s="73"/>
      <c r="SRV39" s="73"/>
      <c r="SRW39" s="73"/>
      <c r="SRX39" s="73"/>
      <c r="SRY39" s="73"/>
      <c r="SRZ39" s="73"/>
      <c r="SSA39" s="73"/>
      <c r="SSB39" s="73"/>
      <c r="SSC39" s="73"/>
      <c r="SSD39" s="73"/>
      <c r="SSE39" s="73"/>
      <c r="SSF39" s="73"/>
      <c r="SSG39" s="73"/>
      <c r="SSH39" s="73"/>
      <c r="SSI39" s="73"/>
      <c r="SSJ39" s="73"/>
      <c r="SSK39" s="73"/>
      <c r="SSL39" s="73"/>
      <c r="SSM39" s="73"/>
      <c r="SSN39" s="73"/>
      <c r="SSO39" s="73"/>
      <c r="SSP39" s="73"/>
      <c r="SSQ39" s="73"/>
      <c r="SSR39" s="73"/>
      <c r="SSS39" s="73"/>
      <c r="SST39" s="73"/>
      <c r="SSU39" s="73"/>
      <c r="SSV39" s="73"/>
      <c r="SSW39" s="73"/>
      <c r="SSX39" s="73"/>
      <c r="SSY39" s="73"/>
      <c r="SSZ39" s="73"/>
      <c r="STA39" s="73"/>
      <c r="STB39" s="73"/>
      <c r="STC39" s="73"/>
      <c r="STD39" s="73"/>
      <c r="STE39" s="73"/>
      <c r="STF39" s="73"/>
      <c r="STG39" s="73"/>
      <c r="STH39" s="73"/>
      <c r="STI39" s="73"/>
      <c r="STJ39" s="73"/>
      <c r="STK39" s="73"/>
      <c r="STL39" s="73"/>
      <c r="STM39" s="73"/>
      <c r="STN39" s="73"/>
      <c r="STO39" s="73"/>
      <c r="STP39" s="73"/>
      <c r="STQ39" s="73"/>
      <c r="STR39" s="73"/>
      <c r="STS39" s="73"/>
      <c r="STT39" s="73"/>
      <c r="STU39" s="73"/>
      <c r="STV39" s="73"/>
      <c r="STW39" s="73"/>
      <c r="STX39" s="73"/>
      <c r="STY39" s="73"/>
      <c r="STZ39" s="73"/>
      <c r="SUA39" s="73"/>
      <c r="SUB39" s="73"/>
      <c r="SUC39" s="73"/>
      <c r="SUD39" s="73"/>
      <c r="SUE39" s="73"/>
      <c r="SUF39" s="73"/>
      <c r="SUG39" s="73"/>
      <c r="SUH39" s="73"/>
      <c r="SUI39" s="73"/>
      <c r="SUJ39" s="73"/>
      <c r="SUK39" s="73"/>
      <c r="SUL39" s="73"/>
      <c r="SUM39" s="73"/>
      <c r="SUN39" s="73"/>
      <c r="SUO39" s="73"/>
      <c r="SUP39" s="73"/>
      <c r="SUQ39" s="73"/>
      <c r="SUR39" s="73"/>
      <c r="SUS39" s="73"/>
      <c r="SUT39" s="73"/>
      <c r="SUU39" s="73"/>
      <c r="SUV39" s="73"/>
      <c r="SUW39" s="73"/>
      <c r="SUX39" s="73"/>
      <c r="SUY39" s="73"/>
      <c r="SUZ39" s="73"/>
      <c r="SVA39" s="73"/>
      <c r="SVB39" s="73"/>
      <c r="SVC39" s="73"/>
      <c r="SVD39" s="73"/>
      <c r="SVE39" s="73"/>
      <c r="SVF39" s="73"/>
      <c r="SVG39" s="73"/>
      <c r="SVH39" s="73"/>
      <c r="SVI39" s="73"/>
      <c r="SVJ39" s="73"/>
      <c r="SVK39" s="73"/>
      <c r="SVL39" s="73"/>
      <c r="SVM39" s="73"/>
      <c r="SVN39" s="73"/>
      <c r="SVO39" s="73"/>
      <c r="SVP39" s="73"/>
      <c r="SVQ39" s="73"/>
      <c r="SVR39" s="73"/>
      <c r="SVS39" s="73"/>
      <c r="SVT39" s="73"/>
      <c r="SVU39" s="73"/>
      <c r="SVV39" s="73"/>
      <c r="SVW39" s="73"/>
      <c r="SVX39" s="73"/>
      <c r="SVY39" s="73"/>
      <c r="SVZ39" s="73"/>
      <c r="SWA39" s="73"/>
      <c r="SWB39" s="73"/>
      <c r="SWC39" s="73"/>
      <c r="SWD39" s="73"/>
      <c r="SWE39" s="73"/>
      <c r="SWF39" s="73"/>
      <c r="SWG39" s="73"/>
      <c r="SWH39" s="73"/>
      <c r="SWI39" s="73"/>
      <c r="SWJ39" s="73"/>
      <c r="SWK39" s="73"/>
      <c r="SWL39" s="73"/>
      <c r="SWM39" s="73"/>
      <c r="SWN39" s="73"/>
      <c r="SWO39" s="73"/>
      <c r="SWP39" s="73"/>
      <c r="SWQ39" s="73"/>
      <c r="SWR39" s="73"/>
      <c r="SWS39" s="73"/>
      <c r="SWT39" s="73"/>
      <c r="SWU39" s="73"/>
      <c r="SWV39" s="73"/>
      <c r="SWW39" s="73"/>
      <c r="SWX39" s="73"/>
      <c r="SWY39" s="73"/>
      <c r="SWZ39" s="73"/>
      <c r="SXA39" s="73"/>
      <c r="SXB39" s="73"/>
      <c r="SXC39" s="73"/>
      <c r="SXD39" s="73"/>
      <c r="SXE39" s="73"/>
      <c r="SXF39" s="73"/>
      <c r="SXG39" s="73"/>
      <c r="SXH39" s="73"/>
      <c r="SXI39" s="73"/>
      <c r="SXJ39" s="73"/>
      <c r="SXK39" s="73"/>
      <c r="SXL39" s="73"/>
      <c r="SXM39" s="73"/>
      <c r="SXN39" s="73"/>
      <c r="SXO39" s="73"/>
      <c r="SXP39" s="73"/>
      <c r="SXQ39" s="73"/>
      <c r="SXR39" s="73"/>
      <c r="SXS39" s="73"/>
      <c r="SXT39" s="73"/>
      <c r="SXU39" s="73"/>
      <c r="SXV39" s="73"/>
      <c r="SXW39" s="73"/>
      <c r="SXX39" s="73"/>
      <c r="SXY39" s="73"/>
      <c r="SXZ39" s="73"/>
      <c r="SYA39" s="73"/>
      <c r="SYB39" s="73"/>
      <c r="SYC39" s="73"/>
      <c r="SYD39" s="73"/>
      <c r="SYE39" s="73"/>
      <c r="SYF39" s="73"/>
      <c r="SYG39" s="73"/>
      <c r="SYH39" s="73"/>
      <c r="SYI39" s="73"/>
      <c r="SYJ39" s="73"/>
      <c r="SYK39" s="73"/>
      <c r="SYL39" s="73"/>
      <c r="SYM39" s="73"/>
      <c r="SYN39" s="73"/>
      <c r="SYO39" s="73"/>
      <c r="SYP39" s="73"/>
      <c r="SYQ39" s="73"/>
      <c r="SYR39" s="73"/>
      <c r="SYS39" s="73"/>
      <c r="SYT39" s="73"/>
      <c r="SYU39" s="73"/>
      <c r="SYV39" s="73"/>
      <c r="SYW39" s="73"/>
      <c r="SYX39" s="73"/>
      <c r="SYY39" s="73"/>
      <c r="SYZ39" s="73"/>
      <c r="SZA39" s="73"/>
      <c r="SZB39" s="73"/>
      <c r="SZC39" s="73"/>
      <c r="SZD39" s="73"/>
      <c r="SZE39" s="73"/>
      <c r="SZF39" s="73"/>
      <c r="SZG39" s="73"/>
      <c r="SZH39" s="73"/>
      <c r="SZI39" s="73"/>
      <c r="SZJ39" s="73"/>
      <c r="SZK39" s="73"/>
      <c r="SZL39" s="73"/>
      <c r="SZM39" s="73"/>
      <c r="SZN39" s="73"/>
      <c r="SZO39" s="73"/>
      <c r="SZP39" s="73"/>
      <c r="SZQ39" s="73"/>
      <c r="SZR39" s="73"/>
      <c r="SZS39" s="73"/>
      <c r="SZT39" s="73"/>
      <c r="SZU39" s="73"/>
      <c r="SZV39" s="73"/>
      <c r="SZW39" s="73"/>
      <c r="SZX39" s="73"/>
      <c r="SZY39" s="73"/>
      <c r="SZZ39" s="73"/>
      <c r="TAA39" s="73"/>
      <c r="TAB39" s="73"/>
      <c r="TAC39" s="73"/>
      <c r="TAD39" s="73"/>
      <c r="TAE39" s="73"/>
      <c r="TAF39" s="73"/>
      <c r="TAG39" s="73"/>
      <c r="TAH39" s="73"/>
      <c r="TAI39" s="73"/>
      <c r="TAJ39" s="73"/>
      <c r="TAK39" s="73"/>
      <c r="TAL39" s="73"/>
      <c r="TAM39" s="73"/>
      <c r="TAN39" s="73"/>
      <c r="TAO39" s="73"/>
      <c r="TAP39" s="73"/>
      <c r="TAQ39" s="73"/>
      <c r="TAR39" s="73"/>
      <c r="TAS39" s="73"/>
      <c r="TAT39" s="73"/>
      <c r="TAU39" s="73"/>
      <c r="TAV39" s="73"/>
      <c r="TAW39" s="73"/>
      <c r="TAX39" s="73"/>
      <c r="TAY39" s="73"/>
      <c r="TAZ39" s="73"/>
      <c r="TBA39" s="73"/>
      <c r="TBB39" s="73"/>
      <c r="TBC39" s="73"/>
      <c r="TBD39" s="73"/>
      <c r="TBE39" s="73"/>
      <c r="TBF39" s="73"/>
      <c r="TBG39" s="73"/>
      <c r="TBH39" s="73"/>
      <c r="TBI39" s="73"/>
      <c r="TBJ39" s="73"/>
      <c r="TBK39" s="73"/>
      <c r="TBL39" s="73"/>
      <c r="TBM39" s="73"/>
      <c r="TBN39" s="73"/>
      <c r="TBO39" s="73"/>
      <c r="TBP39" s="73"/>
      <c r="TBQ39" s="73"/>
      <c r="TBR39" s="73"/>
      <c r="TBS39" s="73"/>
      <c r="TBT39" s="73"/>
      <c r="TBU39" s="73"/>
      <c r="TBV39" s="73"/>
      <c r="TBW39" s="73"/>
      <c r="TBX39" s="73"/>
      <c r="TBY39" s="73"/>
      <c r="TBZ39" s="73"/>
      <c r="TCA39" s="73"/>
      <c r="TCB39" s="73"/>
      <c r="TCC39" s="73"/>
      <c r="TCD39" s="73"/>
      <c r="TCE39" s="73"/>
      <c r="TCF39" s="73"/>
      <c r="TCG39" s="73"/>
      <c r="TCH39" s="73"/>
      <c r="TCI39" s="73"/>
      <c r="TCJ39" s="73"/>
      <c r="TCK39" s="73"/>
      <c r="TCL39" s="73"/>
      <c r="TCM39" s="73"/>
      <c r="TCN39" s="73"/>
      <c r="TCO39" s="73"/>
      <c r="TCP39" s="73"/>
      <c r="TCQ39" s="73"/>
      <c r="TCR39" s="73"/>
      <c r="TCS39" s="73"/>
      <c r="TCT39" s="73"/>
      <c r="TCU39" s="73"/>
      <c r="TCV39" s="73"/>
      <c r="TCW39" s="73"/>
      <c r="TCX39" s="73"/>
      <c r="TCY39" s="73"/>
      <c r="TCZ39" s="73"/>
      <c r="TDA39" s="73"/>
      <c r="TDB39" s="73"/>
      <c r="TDC39" s="73"/>
      <c r="TDD39" s="73"/>
      <c r="TDE39" s="73"/>
      <c r="TDF39" s="73"/>
      <c r="TDG39" s="73"/>
      <c r="TDH39" s="73"/>
      <c r="TDI39" s="73"/>
      <c r="TDJ39" s="73"/>
      <c r="TDK39" s="73"/>
      <c r="TDL39" s="73"/>
      <c r="TDM39" s="73"/>
      <c r="TDN39" s="73"/>
      <c r="TDO39" s="73"/>
      <c r="TDP39" s="73"/>
      <c r="TDQ39" s="73"/>
      <c r="TDR39" s="73"/>
      <c r="TDS39" s="73"/>
      <c r="TDT39" s="73"/>
      <c r="TDU39" s="73"/>
      <c r="TDV39" s="73"/>
      <c r="TDW39" s="73"/>
      <c r="TDX39" s="73"/>
      <c r="TDY39" s="73"/>
      <c r="TDZ39" s="73"/>
      <c r="TEA39" s="73"/>
      <c r="TEB39" s="73"/>
      <c r="TEC39" s="73"/>
      <c r="TED39" s="73"/>
      <c r="TEE39" s="73"/>
      <c r="TEF39" s="73"/>
      <c r="TEG39" s="73"/>
      <c r="TEH39" s="73"/>
      <c r="TEI39" s="73"/>
      <c r="TEJ39" s="73"/>
      <c r="TEK39" s="73"/>
      <c r="TEL39" s="73"/>
      <c r="TEM39" s="73"/>
      <c r="TEN39" s="73"/>
      <c r="TEO39" s="73"/>
      <c r="TEP39" s="73"/>
      <c r="TEQ39" s="73"/>
      <c r="TER39" s="73"/>
      <c r="TES39" s="73"/>
      <c r="TET39" s="73"/>
      <c r="TEU39" s="73"/>
      <c r="TEV39" s="73"/>
      <c r="TEW39" s="73"/>
      <c r="TEX39" s="73"/>
      <c r="TEY39" s="73"/>
      <c r="TEZ39" s="73"/>
      <c r="TFA39" s="73"/>
      <c r="TFB39" s="73"/>
      <c r="TFC39" s="73"/>
      <c r="TFD39" s="73"/>
      <c r="TFE39" s="73"/>
      <c r="TFF39" s="73"/>
      <c r="TFG39" s="73"/>
      <c r="TFH39" s="73"/>
      <c r="TFI39" s="73"/>
      <c r="TFJ39" s="73"/>
      <c r="TFK39" s="73"/>
      <c r="TFL39" s="73"/>
      <c r="TFM39" s="73"/>
      <c r="TFN39" s="73"/>
      <c r="TFO39" s="73"/>
      <c r="TFP39" s="73"/>
      <c r="TFQ39" s="73"/>
      <c r="TFR39" s="73"/>
      <c r="TFS39" s="73"/>
      <c r="TFT39" s="73"/>
      <c r="TFU39" s="73"/>
      <c r="TFV39" s="73"/>
      <c r="TFW39" s="73"/>
      <c r="TFX39" s="73"/>
      <c r="TFY39" s="73"/>
      <c r="TFZ39" s="73"/>
      <c r="TGA39" s="73"/>
      <c r="TGB39" s="73"/>
      <c r="TGC39" s="73"/>
      <c r="TGD39" s="73"/>
      <c r="TGE39" s="73"/>
      <c r="TGF39" s="73"/>
      <c r="TGG39" s="73"/>
      <c r="TGH39" s="73"/>
      <c r="TGI39" s="73"/>
      <c r="TGJ39" s="73"/>
      <c r="TGK39" s="73"/>
      <c r="TGL39" s="73"/>
      <c r="TGM39" s="73"/>
      <c r="TGN39" s="73"/>
      <c r="TGO39" s="73"/>
      <c r="TGP39" s="73"/>
      <c r="TGQ39" s="73"/>
      <c r="TGR39" s="73"/>
      <c r="TGS39" s="73"/>
      <c r="TGT39" s="73"/>
      <c r="TGU39" s="73"/>
      <c r="TGV39" s="73"/>
      <c r="TGW39" s="73"/>
      <c r="TGX39" s="73"/>
      <c r="TGY39" s="73"/>
      <c r="TGZ39" s="73"/>
      <c r="THA39" s="73"/>
      <c r="THB39" s="73"/>
      <c r="THC39" s="73"/>
      <c r="THD39" s="73"/>
      <c r="THE39" s="73"/>
      <c r="THF39" s="73"/>
      <c r="THG39" s="73"/>
      <c r="THH39" s="73"/>
      <c r="THI39" s="73"/>
      <c r="THJ39" s="73"/>
      <c r="THK39" s="73"/>
      <c r="THL39" s="73"/>
      <c r="THM39" s="73"/>
      <c r="THN39" s="73"/>
      <c r="THO39" s="73"/>
      <c r="THP39" s="73"/>
      <c r="THQ39" s="73"/>
      <c r="THR39" s="73"/>
      <c r="THS39" s="73"/>
      <c r="THT39" s="73"/>
      <c r="THU39" s="73"/>
      <c r="THV39" s="73"/>
      <c r="THW39" s="73"/>
      <c r="THX39" s="73"/>
      <c r="THY39" s="73"/>
      <c r="THZ39" s="73"/>
      <c r="TIA39" s="73"/>
      <c r="TIB39" s="73"/>
      <c r="TIC39" s="73"/>
      <c r="TID39" s="73"/>
      <c r="TIE39" s="73"/>
      <c r="TIF39" s="73"/>
      <c r="TIG39" s="73"/>
      <c r="TIH39" s="73"/>
      <c r="TII39" s="73"/>
      <c r="TIJ39" s="73"/>
      <c r="TIK39" s="73"/>
      <c r="TIL39" s="73"/>
      <c r="TIM39" s="73"/>
      <c r="TIN39" s="73"/>
      <c r="TIO39" s="73"/>
      <c r="TIP39" s="73"/>
      <c r="TIQ39" s="73"/>
      <c r="TIR39" s="73"/>
      <c r="TIS39" s="73"/>
      <c r="TIT39" s="73"/>
      <c r="TIU39" s="73"/>
      <c r="TIV39" s="73"/>
      <c r="TIW39" s="73"/>
      <c r="TIX39" s="73"/>
      <c r="TIY39" s="73"/>
      <c r="TIZ39" s="73"/>
      <c r="TJA39" s="73"/>
      <c r="TJB39" s="73"/>
      <c r="TJC39" s="73"/>
      <c r="TJD39" s="73"/>
      <c r="TJE39" s="73"/>
      <c r="TJF39" s="73"/>
      <c r="TJG39" s="73"/>
      <c r="TJH39" s="73"/>
      <c r="TJI39" s="73"/>
      <c r="TJJ39" s="73"/>
      <c r="TJK39" s="73"/>
      <c r="TJL39" s="73"/>
      <c r="TJM39" s="73"/>
      <c r="TJN39" s="73"/>
      <c r="TJO39" s="73"/>
      <c r="TJP39" s="73"/>
      <c r="TJQ39" s="73"/>
      <c r="TJR39" s="73"/>
      <c r="TJS39" s="73"/>
      <c r="TJT39" s="73"/>
      <c r="TJU39" s="73"/>
      <c r="TJV39" s="73"/>
      <c r="TJW39" s="73"/>
      <c r="TJX39" s="73"/>
      <c r="TJY39" s="73"/>
      <c r="TJZ39" s="73"/>
      <c r="TKA39" s="73"/>
      <c r="TKB39" s="73"/>
      <c r="TKC39" s="73"/>
      <c r="TKD39" s="73"/>
      <c r="TKE39" s="73"/>
      <c r="TKF39" s="73"/>
      <c r="TKG39" s="73"/>
      <c r="TKH39" s="73"/>
      <c r="TKI39" s="73"/>
      <c r="TKJ39" s="73"/>
      <c r="TKK39" s="73"/>
      <c r="TKL39" s="73"/>
      <c r="TKM39" s="73"/>
      <c r="TKN39" s="73"/>
      <c r="TKO39" s="73"/>
      <c r="TKP39" s="73"/>
      <c r="TKQ39" s="73"/>
      <c r="TKR39" s="73"/>
      <c r="TKS39" s="73"/>
      <c r="TKT39" s="73"/>
      <c r="TKU39" s="73"/>
      <c r="TKV39" s="73"/>
      <c r="TKW39" s="73"/>
      <c r="TKX39" s="73"/>
      <c r="TKY39" s="73"/>
      <c r="TKZ39" s="73"/>
      <c r="TLA39" s="73"/>
      <c r="TLB39" s="73"/>
      <c r="TLC39" s="73"/>
      <c r="TLD39" s="73"/>
      <c r="TLE39" s="73"/>
      <c r="TLF39" s="73"/>
      <c r="TLG39" s="73"/>
      <c r="TLH39" s="73"/>
      <c r="TLI39" s="73"/>
      <c r="TLJ39" s="73"/>
      <c r="TLK39" s="73"/>
      <c r="TLL39" s="73"/>
      <c r="TLM39" s="73"/>
      <c r="TLN39" s="73"/>
      <c r="TLO39" s="73"/>
      <c r="TLP39" s="73"/>
      <c r="TLQ39" s="73"/>
      <c r="TLR39" s="73"/>
      <c r="TLS39" s="73"/>
      <c r="TLT39" s="73"/>
      <c r="TLU39" s="73"/>
      <c r="TLV39" s="73"/>
      <c r="TLW39" s="73"/>
      <c r="TLX39" s="73"/>
      <c r="TLY39" s="73"/>
      <c r="TLZ39" s="73"/>
      <c r="TMA39" s="73"/>
      <c r="TMB39" s="73"/>
      <c r="TMC39" s="73"/>
      <c r="TMD39" s="73"/>
      <c r="TME39" s="73"/>
      <c r="TMF39" s="73"/>
      <c r="TMG39" s="73"/>
      <c r="TMH39" s="73"/>
      <c r="TMI39" s="73"/>
      <c r="TMJ39" s="73"/>
      <c r="TMK39" s="73"/>
      <c r="TML39" s="73"/>
      <c r="TMM39" s="73"/>
      <c r="TMN39" s="73"/>
      <c r="TMO39" s="73"/>
      <c r="TMP39" s="73"/>
      <c r="TMQ39" s="73"/>
      <c r="TMR39" s="73"/>
      <c r="TMS39" s="73"/>
      <c r="TMT39" s="73"/>
      <c r="TMU39" s="73"/>
      <c r="TMV39" s="73"/>
      <c r="TMW39" s="73"/>
      <c r="TMX39" s="73"/>
      <c r="TMY39" s="73"/>
      <c r="TMZ39" s="73"/>
      <c r="TNA39" s="73"/>
      <c r="TNB39" s="73"/>
      <c r="TNC39" s="73"/>
      <c r="TND39" s="73"/>
      <c r="TNE39" s="73"/>
      <c r="TNF39" s="73"/>
      <c r="TNG39" s="73"/>
      <c r="TNH39" s="73"/>
      <c r="TNI39" s="73"/>
      <c r="TNJ39" s="73"/>
      <c r="TNK39" s="73"/>
      <c r="TNL39" s="73"/>
      <c r="TNM39" s="73"/>
      <c r="TNN39" s="73"/>
      <c r="TNO39" s="73"/>
      <c r="TNP39" s="73"/>
      <c r="TNQ39" s="73"/>
      <c r="TNR39" s="73"/>
      <c r="TNS39" s="73"/>
      <c r="TNT39" s="73"/>
      <c r="TNU39" s="73"/>
      <c r="TNV39" s="73"/>
      <c r="TNW39" s="73"/>
      <c r="TNX39" s="73"/>
      <c r="TNY39" s="73"/>
      <c r="TNZ39" s="73"/>
      <c r="TOA39" s="73"/>
      <c r="TOB39" s="73"/>
      <c r="TOC39" s="73"/>
      <c r="TOD39" s="73"/>
      <c r="TOE39" s="73"/>
      <c r="TOF39" s="73"/>
      <c r="TOG39" s="73"/>
      <c r="TOH39" s="73"/>
      <c r="TOI39" s="73"/>
      <c r="TOJ39" s="73"/>
      <c r="TOK39" s="73"/>
      <c r="TOL39" s="73"/>
      <c r="TOM39" s="73"/>
      <c r="TON39" s="73"/>
      <c r="TOO39" s="73"/>
      <c r="TOP39" s="73"/>
      <c r="TOQ39" s="73"/>
      <c r="TOR39" s="73"/>
      <c r="TOS39" s="73"/>
      <c r="TOT39" s="73"/>
      <c r="TOU39" s="73"/>
      <c r="TOV39" s="73"/>
      <c r="TOW39" s="73"/>
      <c r="TOX39" s="73"/>
      <c r="TOY39" s="73"/>
      <c r="TOZ39" s="73"/>
      <c r="TPA39" s="73"/>
      <c r="TPB39" s="73"/>
      <c r="TPC39" s="73"/>
      <c r="TPD39" s="73"/>
      <c r="TPE39" s="73"/>
      <c r="TPF39" s="73"/>
      <c r="TPG39" s="73"/>
      <c r="TPH39" s="73"/>
      <c r="TPI39" s="73"/>
      <c r="TPJ39" s="73"/>
      <c r="TPK39" s="73"/>
      <c r="TPL39" s="73"/>
      <c r="TPM39" s="73"/>
      <c r="TPN39" s="73"/>
      <c r="TPO39" s="73"/>
      <c r="TPP39" s="73"/>
      <c r="TPQ39" s="73"/>
      <c r="TPR39" s="73"/>
      <c r="TPS39" s="73"/>
      <c r="TPT39" s="73"/>
      <c r="TPU39" s="73"/>
      <c r="TPV39" s="73"/>
      <c r="TPW39" s="73"/>
      <c r="TPX39" s="73"/>
      <c r="TPY39" s="73"/>
      <c r="TPZ39" s="73"/>
      <c r="TQA39" s="73"/>
      <c r="TQB39" s="73"/>
      <c r="TQC39" s="73"/>
      <c r="TQD39" s="73"/>
      <c r="TQE39" s="73"/>
      <c r="TQF39" s="73"/>
      <c r="TQG39" s="73"/>
      <c r="TQH39" s="73"/>
      <c r="TQI39" s="73"/>
      <c r="TQJ39" s="73"/>
      <c r="TQK39" s="73"/>
      <c r="TQL39" s="73"/>
      <c r="TQM39" s="73"/>
      <c r="TQN39" s="73"/>
      <c r="TQO39" s="73"/>
      <c r="TQP39" s="73"/>
      <c r="TQQ39" s="73"/>
      <c r="TQR39" s="73"/>
      <c r="TQS39" s="73"/>
      <c r="TQT39" s="73"/>
      <c r="TQU39" s="73"/>
      <c r="TQV39" s="73"/>
      <c r="TQW39" s="73"/>
      <c r="TQX39" s="73"/>
      <c r="TQY39" s="73"/>
      <c r="TQZ39" s="73"/>
      <c r="TRA39" s="73"/>
      <c r="TRB39" s="73"/>
      <c r="TRC39" s="73"/>
      <c r="TRD39" s="73"/>
      <c r="TRE39" s="73"/>
      <c r="TRF39" s="73"/>
      <c r="TRG39" s="73"/>
      <c r="TRH39" s="73"/>
      <c r="TRI39" s="73"/>
      <c r="TRJ39" s="73"/>
      <c r="TRK39" s="73"/>
      <c r="TRL39" s="73"/>
      <c r="TRM39" s="73"/>
      <c r="TRN39" s="73"/>
      <c r="TRO39" s="73"/>
      <c r="TRP39" s="73"/>
      <c r="TRQ39" s="73"/>
      <c r="TRR39" s="73"/>
      <c r="TRS39" s="73"/>
      <c r="TRT39" s="73"/>
      <c r="TRU39" s="73"/>
      <c r="TRV39" s="73"/>
      <c r="TRW39" s="73"/>
      <c r="TRX39" s="73"/>
      <c r="TRY39" s="73"/>
      <c r="TRZ39" s="73"/>
      <c r="TSA39" s="73"/>
      <c r="TSB39" s="73"/>
      <c r="TSC39" s="73"/>
      <c r="TSD39" s="73"/>
      <c r="TSE39" s="73"/>
      <c r="TSF39" s="73"/>
      <c r="TSG39" s="73"/>
      <c r="TSH39" s="73"/>
      <c r="TSI39" s="73"/>
      <c r="TSJ39" s="73"/>
      <c r="TSK39" s="73"/>
      <c r="TSL39" s="73"/>
      <c r="TSM39" s="73"/>
      <c r="TSN39" s="73"/>
      <c r="TSO39" s="73"/>
      <c r="TSP39" s="73"/>
      <c r="TSQ39" s="73"/>
      <c r="TSR39" s="73"/>
      <c r="TSS39" s="73"/>
      <c r="TST39" s="73"/>
      <c r="TSU39" s="73"/>
      <c r="TSV39" s="73"/>
      <c r="TSW39" s="73"/>
      <c r="TSX39" s="73"/>
      <c r="TSY39" s="73"/>
      <c r="TSZ39" s="73"/>
      <c r="TTA39" s="73"/>
      <c r="TTB39" s="73"/>
      <c r="TTC39" s="73"/>
      <c r="TTD39" s="73"/>
      <c r="TTE39" s="73"/>
      <c r="TTF39" s="73"/>
      <c r="TTG39" s="73"/>
      <c r="TTH39" s="73"/>
      <c r="TTI39" s="73"/>
      <c r="TTJ39" s="73"/>
      <c r="TTK39" s="73"/>
      <c r="TTL39" s="73"/>
      <c r="TTM39" s="73"/>
      <c r="TTN39" s="73"/>
      <c r="TTO39" s="73"/>
      <c r="TTP39" s="73"/>
      <c r="TTQ39" s="73"/>
      <c r="TTR39" s="73"/>
      <c r="TTS39" s="73"/>
      <c r="TTT39" s="73"/>
      <c r="TTU39" s="73"/>
      <c r="TTV39" s="73"/>
      <c r="TTW39" s="73"/>
      <c r="TTX39" s="73"/>
      <c r="TTY39" s="73"/>
      <c r="TTZ39" s="73"/>
      <c r="TUA39" s="73"/>
      <c r="TUB39" s="73"/>
      <c r="TUC39" s="73"/>
      <c r="TUD39" s="73"/>
      <c r="TUE39" s="73"/>
      <c r="TUF39" s="73"/>
      <c r="TUG39" s="73"/>
      <c r="TUH39" s="73"/>
      <c r="TUI39" s="73"/>
      <c r="TUJ39" s="73"/>
      <c r="TUK39" s="73"/>
      <c r="TUL39" s="73"/>
      <c r="TUM39" s="73"/>
      <c r="TUN39" s="73"/>
      <c r="TUO39" s="73"/>
      <c r="TUP39" s="73"/>
      <c r="TUQ39" s="73"/>
      <c r="TUR39" s="73"/>
      <c r="TUS39" s="73"/>
      <c r="TUT39" s="73"/>
      <c r="TUU39" s="73"/>
      <c r="TUV39" s="73"/>
      <c r="TUW39" s="73"/>
      <c r="TUX39" s="73"/>
      <c r="TUY39" s="73"/>
      <c r="TUZ39" s="73"/>
      <c r="TVA39" s="73"/>
      <c r="TVB39" s="73"/>
      <c r="TVC39" s="73"/>
      <c r="TVD39" s="73"/>
      <c r="TVE39" s="73"/>
      <c r="TVF39" s="73"/>
      <c r="TVG39" s="73"/>
      <c r="TVH39" s="73"/>
      <c r="TVI39" s="73"/>
      <c r="TVJ39" s="73"/>
      <c r="TVK39" s="73"/>
      <c r="TVL39" s="73"/>
      <c r="TVM39" s="73"/>
      <c r="TVN39" s="73"/>
      <c r="TVO39" s="73"/>
      <c r="TVP39" s="73"/>
      <c r="TVQ39" s="73"/>
      <c r="TVR39" s="73"/>
      <c r="TVS39" s="73"/>
      <c r="TVT39" s="73"/>
      <c r="TVU39" s="73"/>
      <c r="TVV39" s="73"/>
      <c r="TVW39" s="73"/>
      <c r="TVX39" s="73"/>
      <c r="TVY39" s="73"/>
      <c r="TVZ39" s="73"/>
      <c r="TWA39" s="73"/>
      <c r="TWB39" s="73"/>
      <c r="TWC39" s="73"/>
      <c r="TWD39" s="73"/>
      <c r="TWE39" s="73"/>
      <c r="TWF39" s="73"/>
      <c r="TWG39" s="73"/>
      <c r="TWH39" s="73"/>
      <c r="TWI39" s="73"/>
      <c r="TWJ39" s="73"/>
      <c r="TWK39" s="73"/>
      <c r="TWL39" s="73"/>
      <c r="TWM39" s="73"/>
      <c r="TWN39" s="73"/>
      <c r="TWO39" s="73"/>
      <c r="TWP39" s="73"/>
      <c r="TWQ39" s="73"/>
      <c r="TWR39" s="73"/>
      <c r="TWS39" s="73"/>
      <c r="TWT39" s="73"/>
      <c r="TWU39" s="73"/>
      <c r="TWV39" s="73"/>
      <c r="TWW39" s="73"/>
      <c r="TWX39" s="73"/>
      <c r="TWY39" s="73"/>
      <c r="TWZ39" s="73"/>
      <c r="TXA39" s="73"/>
      <c r="TXB39" s="73"/>
      <c r="TXC39" s="73"/>
      <c r="TXD39" s="73"/>
      <c r="TXE39" s="73"/>
      <c r="TXF39" s="73"/>
      <c r="TXG39" s="73"/>
      <c r="TXH39" s="73"/>
      <c r="TXI39" s="73"/>
      <c r="TXJ39" s="73"/>
      <c r="TXK39" s="73"/>
      <c r="TXL39" s="73"/>
      <c r="TXM39" s="73"/>
      <c r="TXN39" s="73"/>
      <c r="TXO39" s="73"/>
      <c r="TXP39" s="73"/>
      <c r="TXQ39" s="73"/>
      <c r="TXR39" s="73"/>
      <c r="TXS39" s="73"/>
      <c r="TXT39" s="73"/>
      <c r="TXU39" s="73"/>
      <c r="TXV39" s="73"/>
      <c r="TXW39" s="73"/>
      <c r="TXX39" s="73"/>
      <c r="TXY39" s="73"/>
      <c r="TXZ39" s="73"/>
      <c r="TYA39" s="73"/>
      <c r="TYB39" s="73"/>
      <c r="TYC39" s="73"/>
      <c r="TYD39" s="73"/>
      <c r="TYE39" s="73"/>
      <c r="TYF39" s="73"/>
      <c r="TYG39" s="73"/>
      <c r="TYH39" s="73"/>
      <c r="TYI39" s="73"/>
      <c r="TYJ39" s="73"/>
      <c r="TYK39" s="73"/>
      <c r="TYL39" s="73"/>
      <c r="TYM39" s="73"/>
      <c r="TYN39" s="73"/>
      <c r="TYO39" s="73"/>
      <c r="TYP39" s="73"/>
      <c r="TYQ39" s="73"/>
      <c r="TYR39" s="73"/>
      <c r="TYS39" s="73"/>
      <c r="TYT39" s="73"/>
      <c r="TYU39" s="73"/>
      <c r="TYV39" s="73"/>
      <c r="TYW39" s="73"/>
      <c r="TYX39" s="73"/>
      <c r="TYY39" s="73"/>
      <c r="TYZ39" s="73"/>
      <c r="TZA39" s="73"/>
      <c r="TZB39" s="73"/>
      <c r="TZC39" s="73"/>
      <c r="TZD39" s="73"/>
      <c r="TZE39" s="73"/>
      <c r="TZF39" s="73"/>
      <c r="TZG39" s="73"/>
      <c r="TZH39" s="73"/>
      <c r="TZI39" s="73"/>
      <c r="TZJ39" s="73"/>
      <c r="TZK39" s="73"/>
      <c r="TZL39" s="73"/>
      <c r="TZM39" s="73"/>
      <c r="TZN39" s="73"/>
      <c r="TZO39" s="73"/>
      <c r="TZP39" s="73"/>
      <c r="TZQ39" s="73"/>
      <c r="TZR39" s="73"/>
      <c r="TZS39" s="73"/>
      <c r="TZT39" s="73"/>
      <c r="TZU39" s="73"/>
      <c r="TZV39" s="73"/>
      <c r="TZW39" s="73"/>
      <c r="TZX39" s="73"/>
      <c r="TZY39" s="73"/>
      <c r="TZZ39" s="73"/>
      <c r="UAA39" s="73"/>
      <c r="UAB39" s="73"/>
      <c r="UAC39" s="73"/>
      <c r="UAD39" s="73"/>
      <c r="UAE39" s="73"/>
      <c r="UAF39" s="73"/>
      <c r="UAG39" s="73"/>
      <c r="UAH39" s="73"/>
      <c r="UAI39" s="73"/>
      <c r="UAJ39" s="73"/>
      <c r="UAK39" s="73"/>
      <c r="UAL39" s="73"/>
      <c r="UAM39" s="73"/>
      <c r="UAN39" s="73"/>
      <c r="UAO39" s="73"/>
      <c r="UAP39" s="73"/>
      <c r="UAQ39" s="73"/>
      <c r="UAR39" s="73"/>
      <c r="UAS39" s="73"/>
      <c r="UAT39" s="73"/>
      <c r="UAU39" s="73"/>
      <c r="UAV39" s="73"/>
      <c r="UAW39" s="73"/>
      <c r="UAX39" s="73"/>
      <c r="UAY39" s="73"/>
      <c r="UAZ39" s="73"/>
      <c r="UBA39" s="73"/>
      <c r="UBB39" s="73"/>
      <c r="UBC39" s="73"/>
      <c r="UBD39" s="73"/>
      <c r="UBE39" s="73"/>
      <c r="UBF39" s="73"/>
      <c r="UBG39" s="73"/>
      <c r="UBH39" s="73"/>
      <c r="UBI39" s="73"/>
      <c r="UBJ39" s="73"/>
      <c r="UBK39" s="73"/>
      <c r="UBL39" s="73"/>
      <c r="UBM39" s="73"/>
      <c r="UBN39" s="73"/>
      <c r="UBO39" s="73"/>
      <c r="UBP39" s="73"/>
      <c r="UBQ39" s="73"/>
      <c r="UBR39" s="73"/>
      <c r="UBS39" s="73"/>
      <c r="UBT39" s="73"/>
      <c r="UBU39" s="73"/>
      <c r="UBV39" s="73"/>
      <c r="UBW39" s="73"/>
      <c r="UBX39" s="73"/>
      <c r="UBY39" s="73"/>
      <c r="UBZ39" s="73"/>
      <c r="UCA39" s="73"/>
      <c r="UCB39" s="73"/>
      <c r="UCC39" s="73"/>
      <c r="UCD39" s="73"/>
      <c r="UCE39" s="73"/>
      <c r="UCF39" s="73"/>
      <c r="UCG39" s="73"/>
      <c r="UCH39" s="73"/>
      <c r="UCI39" s="73"/>
      <c r="UCJ39" s="73"/>
      <c r="UCK39" s="73"/>
      <c r="UCL39" s="73"/>
      <c r="UCM39" s="73"/>
      <c r="UCN39" s="73"/>
      <c r="UCO39" s="73"/>
      <c r="UCP39" s="73"/>
      <c r="UCQ39" s="73"/>
      <c r="UCR39" s="73"/>
      <c r="UCS39" s="73"/>
      <c r="UCT39" s="73"/>
      <c r="UCU39" s="73"/>
      <c r="UCV39" s="73"/>
      <c r="UCW39" s="73"/>
      <c r="UCX39" s="73"/>
      <c r="UCY39" s="73"/>
      <c r="UCZ39" s="73"/>
      <c r="UDA39" s="73"/>
      <c r="UDB39" s="73"/>
      <c r="UDC39" s="73"/>
      <c r="UDD39" s="73"/>
      <c r="UDE39" s="73"/>
      <c r="UDF39" s="73"/>
      <c r="UDG39" s="73"/>
      <c r="UDH39" s="73"/>
      <c r="UDI39" s="73"/>
      <c r="UDJ39" s="73"/>
      <c r="UDK39" s="73"/>
      <c r="UDL39" s="73"/>
      <c r="UDM39" s="73"/>
      <c r="UDN39" s="73"/>
      <c r="UDO39" s="73"/>
      <c r="UDP39" s="73"/>
      <c r="UDQ39" s="73"/>
      <c r="UDR39" s="73"/>
      <c r="UDS39" s="73"/>
      <c r="UDT39" s="73"/>
      <c r="UDU39" s="73"/>
      <c r="UDV39" s="73"/>
      <c r="UDW39" s="73"/>
      <c r="UDX39" s="73"/>
      <c r="UDY39" s="73"/>
      <c r="UDZ39" s="73"/>
      <c r="UEA39" s="73"/>
      <c r="UEB39" s="73"/>
      <c r="UEC39" s="73"/>
      <c r="UED39" s="73"/>
      <c r="UEE39" s="73"/>
      <c r="UEF39" s="73"/>
      <c r="UEG39" s="73"/>
      <c r="UEH39" s="73"/>
      <c r="UEI39" s="73"/>
      <c r="UEJ39" s="73"/>
      <c r="UEK39" s="73"/>
      <c r="UEL39" s="73"/>
      <c r="UEM39" s="73"/>
      <c r="UEN39" s="73"/>
      <c r="UEO39" s="73"/>
      <c r="UEP39" s="73"/>
      <c r="UEQ39" s="73"/>
      <c r="UER39" s="73"/>
      <c r="UES39" s="73"/>
      <c r="UET39" s="73"/>
      <c r="UEU39" s="73"/>
      <c r="UEV39" s="73"/>
      <c r="UEW39" s="73"/>
      <c r="UEX39" s="73"/>
      <c r="UEY39" s="73"/>
      <c r="UEZ39" s="73"/>
      <c r="UFA39" s="73"/>
      <c r="UFB39" s="73"/>
      <c r="UFC39" s="73"/>
      <c r="UFD39" s="73"/>
      <c r="UFE39" s="73"/>
      <c r="UFF39" s="73"/>
      <c r="UFG39" s="73"/>
      <c r="UFH39" s="73"/>
      <c r="UFI39" s="73"/>
      <c r="UFJ39" s="73"/>
      <c r="UFK39" s="73"/>
      <c r="UFL39" s="73"/>
      <c r="UFM39" s="73"/>
      <c r="UFN39" s="73"/>
      <c r="UFO39" s="73"/>
      <c r="UFP39" s="73"/>
      <c r="UFQ39" s="73"/>
      <c r="UFR39" s="73"/>
      <c r="UFS39" s="73"/>
      <c r="UFT39" s="73"/>
      <c r="UFU39" s="73"/>
      <c r="UFV39" s="73"/>
      <c r="UFW39" s="73"/>
      <c r="UFX39" s="73"/>
      <c r="UFY39" s="73"/>
      <c r="UFZ39" s="73"/>
      <c r="UGA39" s="73"/>
      <c r="UGB39" s="73"/>
      <c r="UGC39" s="73"/>
      <c r="UGD39" s="73"/>
      <c r="UGE39" s="73"/>
      <c r="UGF39" s="73"/>
      <c r="UGG39" s="73"/>
      <c r="UGH39" s="73"/>
      <c r="UGI39" s="73"/>
      <c r="UGJ39" s="73"/>
      <c r="UGK39" s="73"/>
      <c r="UGL39" s="73"/>
      <c r="UGM39" s="73"/>
      <c r="UGN39" s="73"/>
      <c r="UGO39" s="73"/>
      <c r="UGP39" s="73"/>
      <c r="UGQ39" s="73"/>
      <c r="UGR39" s="73"/>
      <c r="UGS39" s="73"/>
      <c r="UGT39" s="73"/>
      <c r="UGU39" s="73"/>
      <c r="UGV39" s="73"/>
      <c r="UGW39" s="73"/>
      <c r="UGX39" s="73"/>
      <c r="UGY39" s="73"/>
      <c r="UGZ39" s="73"/>
      <c r="UHA39" s="73"/>
      <c r="UHB39" s="73"/>
      <c r="UHC39" s="73"/>
      <c r="UHD39" s="73"/>
      <c r="UHE39" s="73"/>
      <c r="UHF39" s="73"/>
      <c r="UHG39" s="73"/>
      <c r="UHH39" s="73"/>
      <c r="UHI39" s="73"/>
      <c r="UHJ39" s="73"/>
      <c r="UHK39" s="73"/>
      <c r="UHL39" s="73"/>
      <c r="UHM39" s="73"/>
      <c r="UHN39" s="73"/>
      <c r="UHO39" s="73"/>
      <c r="UHP39" s="73"/>
      <c r="UHQ39" s="73"/>
      <c r="UHR39" s="73"/>
      <c r="UHS39" s="73"/>
      <c r="UHT39" s="73"/>
      <c r="UHU39" s="73"/>
      <c r="UHV39" s="73"/>
      <c r="UHW39" s="73"/>
      <c r="UHX39" s="73"/>
      <c r="UHY39" s="73"/>
      <c r="UHZ39" s="73"/>
      <c r="UIA39" s="73"/>
      <c r="UIB39" s="73"/>
      <c r="UIC39" s="73"/>
      <c r="UID39" s="73"/>
      <c r="UIE39" s="73"/>
      <c r="UIF39" s="73"/>
      <c r="UIG39" s="73"/>
      <c r="UIH39" s="73"/>
      <c r="UII39" s="73"/>
      <c r="UIJ39" s="73"/>
      <c r="UIK39" s="73"/>
      <c r="UIL39" s="73"/>
      <c r="UIM39" s="73"/>
      <c r="UIN39" s="73"/>
      <c r="UIO39" s="73"/>
      <c r="UIP39" s="73"/>
      <c r="UIQ39" s="73"/>
      <c r="UIR39" s="73"/>
      <c r="UIS39" s="73"/>
      <c r="UIT39" s="73"/>
      <c r="UIU39" s="73"/>
      <c r="UIV39" s="73"/>
      <c r="UIW39" s="73"/>
      <c r="UIX39" s="73"/>
      <c r="UIY39" s="73"/>
      <c r="UIZ39" s="73"/>
      <c r="UJA39" s="73"/>
      <c r="UJB39" s="73"/>
      <c r="UJC39" s="73"/>
      <c r="UJD39" s="73"/>
      <c r="UJE39" s="73"/>
      <c r="UJF39" s="73"/>
      <c r="UJG39" s="73"/>
      <c r="UJH39" s="73"/>
      <c r="UJI39" s="73"/>
      <c r="UJJ39" s="73"/>
      <c r="UJK39" s="73"/>
      <c r="UJL39" s="73"/>
      <c r="UJM39" s="73"/>
      <c r="UJN39" s="73"/>
      <c r="UJO39" s="73"/>
      <c r="UJP39" s="73"/>
      <c r="UJQ39" s="73"/>
      <c r="UJR39" s="73"/>
      <c r="UJS39" s="73"/>
      <c r="UJT39" s="73"/>
      <c r="UJU39" s="73"/>
      <c r="UJV39" s="73"/>
      <c r="UJW39" s="73"/>
      <c r="UJX39" s="73"/>
      <c r="UJY39" s="73"/>
      <c r="UJZ39" s="73"/>
      <c r="UKA39" s="73"/>
      <c r="UKB39" s="73"/>
      <c r="UKC39" s="73"/>
      <c r="UKD39" s="73"/>
      <c r="UKE39" s="73"/>
      <c r="UKF39" s="73"/>
      <c r="UKG39" s="73"/>
      <c r="UKH39" s="73"/>
      <c r="UKI39" s="73"/>
      <c r="UKJ39" s="73"/>
      <c r="UKK39" s="73"/>
      <c r="UKL39" s="73"/>
      <c r="UKM39" s="73"/>
      <c r="UKN39" s="73"/>
      <c r="UKO39" s="73"/>
      <c r="UKP39" s="73"/>
      <c r="UKQ39" s="73"/>
      <c r="UKR39" s="73"/>
      <c r="UKS39" s="73"/>
      <c r="UKT39" s="73"/>
      <c r="UKU39" s="73"/>
      <c r="UKV39" s="73"/>
      <c r="UKW39" s="73"/>
      <c r="UKX39" s="73"/>
      <c r="UKY39" s="73"/>
      <c r="UKZ39" s="73"/>
      <c r="ULA39" s="73"/>
      <c r="ULB39" s="73"/>
      <c r="ULC39" s="73"/>
      <c r="ULD39" s="73"/>
      <c r="ULE39" s="73"/>
      <c r="ULF39" s="73"/>
      <c r="ULG39" s="73"/>
      <c r="ULH39" s="73"/>
      <c r="ULI39" s="73"/>
      <c r="ULJ39" s="73"/>
      <c r="ULK39" s="73"/>
      <c r="ULL39" s="73"/>
      <c r="ULM39" s="73"/>
      <c r="ULN39" s="73"/>
      <c r="ULO39" s="73"/>
      <c r="ULP39" s="73"/>
      <c r="ULQ39" s="73"/>
      <c r="ULR39" s="73"/>
      <c r="ULS39" s="73"/>
      <c r="ULT39" s="73"/>
      <c r="ULU39" s="73"/>
      <c r="ULV39" s="73"/>
      <c r="ULW39" s="73"/>
      <c r="ULX39" s="73"/>
      <c r="ULY39" s="73"/>
      <c r="ULZ39" s="73"/>
      <c r="UMA39" s="73"/>
      <c r="UMB39" s="73"/>
      <c r="UMC39" s="73"/>
      <c r="UMD39" s="73"/>
      <c r="UME39" s="73"/>
      <c r="UMF39" s="73"/>
      <c r="UMG39" s="73"/>
      <c r="UMH39" s="73"/>
      <c r="UMI39" s="73"/>
      <c r="UMJ39" s="73"/>
      <c r="UMK39" s="73"/>
      <c r="UML39" s="73"/>
      <c r="UMM39" s="73"/>
      <c r="UMN39" s="73"/>
      <c r="UMO39" s="73"/>
      <c r="UMP39" s="73"/>
      <c r="UMQ39" s="73"/>
      <c r="UMR39" s="73"/>
      <c r="UMS39" s="73"/>
      <c r="UMT39" s="73"/>
      <c r="UMU39" s="73"/>
      <c r="UMV39" s="73"/>
      <c r="UMW39" s="73"/>
      <c r="UMX39" s="73"/>
      <c r="UMY39" s="73"/>
      <c r="UMZ39" s="73"/>
      <c r="UNA39" s="73"/>
      <c r="UNB39" s="73"/>
      <c r="UNC39" s="73"/>
      <c r="UND39" s="73"/>
      <c r="UNE39" s="73"/>
      <c r="UNF39" s="73"/>
      <c r="UNG39" s="73"/>
      <c r="UNH39" s="73"/>
      <c r="UNI39" s="73"/>
      <c r="UNJ39" s="73"/>
      <c r="UNK39" s="73"/>
      <c r="UNL39" s="73"/>
      <c r="UNM39" s="73"/>
      <c r="UNN39" s="73"/>
      <c r="UNO39" s="73"/>
      <c r="UNP39" s="73"/>
      <c r="UNQ39" s="73"/>
      <c r="UNR39" s="73"/>
      <c r="UNS39" s="73"/>
      <c r="UNT39" s="73"/>
      <c r="UNU39" s="73"/>
      <c r="UNV39" s="73"/>
      <c r="UNW39" s="73"/>
      <c r="UNX39" s="73"/>
      <c r="UNY39" s="73"/>
      <c r="UNZ39" s="73"/>
      <c r="UOA39" s="73"/>
      <c r="UOB39" s="73"/>
      <c r="UOC39" s="73"/>
      <c r="UOD39" s="73"/>
      <c r="UOE39" s="73"/>
      <c r="UOF39" s="73"/>
      <c r="UOG39" s="73"/>
      <c r="UOH39" s="73"/>
      <c r="UOI39" s="73"/>
      <c r="UOJ39" s="73"/>
      <c r="UOK39" s="73"/>
      <c r="UOL39" s="73"/>
      <c r="UOM39" s="73"/>
      <c r="UON39" s="73"/>
      <c r="UOO39" s="73"/>
      <c r="UOP39" s="73"/>
      <c r="UOQ39" s="73"/>
      <c r="UOR39" s="73"/>
      <c r="UOS39" s="73"/>
      <c r="UOT39" s="73"/>
      <c r="UOU39" s="73"/>
      <c r="UOV39" s="73"/>
      <c r="UOW39" s="73"/>
      <c r="UOX39" s="73"/>
      <c r="UOY39" s="73"/>
      <c r="UOZ39" s="73"/>
      <c r="UPA39" s="73"/>
      <c r="UPB39" s="73"/>
      <c r="UPC39" s="73"/>
      <c r="UPD39" s="73"/>
      <c r="UPE39" s="73"/>
      <c r="UPF39" s="73"/>
      <c r="UPG39" s="73"/>
      <c r="UPH39" s="73"/>
      <c r="UPI39" s="73"/>
      <c r="UPJ39" s="73"/>
      <c r="UPK39" s="73"/>
      <c r="UPL39" s="73"/>
      <c r="UPM39" s="73"/>
      <c r="UPN39" s="73"/>
      <c r="UPO39" s="73"/>
      <c r="UPP39" s="73"/>
      <c r="UPQ39" s="73"/>
      <c r="UPR39" s="73"/>
      <c r="UPS39" s="73"/>
      <c r="UPT39" s="73"/>
      <c r="UPU39" s="73"/>
      <c r="UPV39" s="73"/>
      <c r="UPW39" s="73"/>
      <c r="UPX39" s="73"/>
      <c r="UPY39" s="73"/>
      <c r="UPZ39" s="73"/>
      <c r="UQA39" s="73"/>
      <c r="UQB39" s="73"/>
      <c r="UQC39" s="73"/>
      <c r="UQD39" s="73"/>
      <c r="UQE39" s="73"/>
      <c r="UQF39" s="73"/>
      <c r="UQG39" s="73"/>
      <c r="UQH39" s="73"/>
      <c r="UQI39" s="73"/>
      <c r="UQJ39" s="73"/>
      <c r="UQK39" s="73"/>
      <c r="UQL39" s="73"/>
      <c r="UQM39" s="73"/>
      <c r="UQN39" s="73"/>
      <c r="UQO39" s="73"/>
      <c r="UQP39" s="73"/>
      <c r="UQQ39" s="73"/>
      <c r="UQR39" s="73"/>
      <c r="UQS39" s="73"/>
      <c r="UQT39" s="73"/>
      <c r="UQU39" s="73"/>
      <c r="UQV39" s="73"/>
      <c r="UQW39" s="73"/>
      <c r="UQX39" s="73"/>
      <c r="UQY39" s="73"/>
      <c r="UQZ39" s="73"/>
      <c r="URA39" s="73"/>
      <c r="URB39" s="73"/>
      <c r="URC39" s="73"/>
      <c r="URD39" s="73"/>
      <c r="URE39" s="73"/>
      <c r="URF39" s="73"/>
      <c r="URG39" s="73"/>
      <c r="URH39" s="73"/>
      <c r="URI39" s="73"/>
      <c r="URJ39" s="73"/>
      <c r="URK39" s="73"/>
      <c r="URL39" s="73"/>
      <c r="URM39" s="73"/>
      <c r="URN39" s="73"/>
      <c r="URO39" s="73"/>
      <c r="URP39" s="73"/>
      <c r="URQ39" s="73"/>
      <c r="URR39" s="73"/>
      <c r="URS39" s="73"/>
      <c r="URT39" s="73"/>
      <c r="URU39" s="73"/>
      <c r="URV39" s="73"/>
      <c r="URW39" s="73"/>
      <c r="URX39" s="73"/>
      <c r="URY39" s="73"/>
      <c r="URZ39" s="73"/>
      <c r="USA39" s="73"/>
      <c r="USB39" s="73"/>
      <c r="USC39" s="73"/>
      <c r="USD39" s="73"/>
      <c r="USE39" s="73"/>
      <c r="USF39" s="73"/>
      <c r="USG39" s="73"/>
      <c r="USH39" s="73"/>
      <c r="USI39" s="73"/>
      <c r="USJ39" s="73"/>
      <c r="USK39" s="73"/>
      <c r="USL39" s="73"/>
      <c r="USM39" s="73"/>
      <c r="USN39" s="73"/>
      <c r="USO39" s="73"/>
      <c r="USP39" s="73"/>
      <c r="USQ39" s="73"/>
      <c r="USR39" s="73"/>
      <c r="USS39" s="73"/>
      <c r="UST39" s="73"/>
      <c r="USU39" s="73"/>
      <c r="USV39" s="73"/>
      <c r="USW39" s="73"/>
      <c r="USX39" s="73"/>
      <c r="USY39" s="73"/>
      <c r="USZ39" s="73"/>
      <c r="UTA39" s="73"/>
      <c r="UTB39" s="73"/>
      <c r="UTC39" s="73"/>
      <c r="UTD39" s="73"/>
      <c r="UTE39" s="73"/>
      <c r="UTF39" s="73"/>
      <c r="UTG39" s="73"/>
      <c r="UTH39" s="73"/>
      <c r="UTI39" s="73"/>
      <c r="UTJ39" s="73"/>
      <c r="UTK39" s="73"/>
      <c r="UTL39" s="73"/>
      <c r="UTM39" s="73"/>
      <c r="UTN39" s="73"/>
      <c r="UTO39" s="73"/>
      <c r="UTP39" s="73"/>
      <c r="UTQ39" s="73"/>
      <c r="UTR39" s="73"/>
      <c r="UTS39" s="73"/>
      <c r="UTT39" s="73"/>
      <c r="UTU39" s="73"/>
      <c r="UTV39" s="73"/>
      <c r="UTW39" s="73"/>
      <c r="UTX39" s="73"/>
      <c r="UTY39" s="73"/>
      <c r="UTZ39" s="73"/>
      <c r="UUA39" s="73"/>
      <c r="UUB39" s="73"/>
      <c r="UUC39" s="73"/>
      <c r="UUD39" s="73"/>
      <c r="UUE39" s="73"/>
      <c r="UUF39" s="73"/>
      <c r="UUG39" s="73"/>
      <c r="UUH39" s="73"/>
      <c r="UUI39" s="73"/>
      <c r="UUJ39" s="73"/>
      <c r="UUK39" s="73"/>
      <c r="UUL39" s="73"/>
      <c r="UUM39" s="73"/>
      <c r="UUN39" s="73"/>
      <c r="UUO39" s="73"/>
      <c r="UUP39" s="73"/>
      <c r="UUQ39" s="73"/>
      <c r="UUR39" s="73"/>
      <c r="UUS39" s="73"/>
      <c r="UUT39" s="73"/>
      <c r="UUU39" s="73"/>
      <c r="UUV39" s="73"/>
      <c r="UUW39" s="73"/>
      <c r="UUX39" s="73"/>
      <c r="UUY39" s="73"/>
      <c r="UUZ39" s="73"/>
      <c r="UVA39" s="73"/>
      <c r="UVB39" s="73"/>
      <c r="UVC39" s="73"/>
      <c r="UVD39" s="73"/>
      <c r="UVE39" s="73"/>
      <c r="UVF39" s="73"/>
      <c r="UVG39" s="73"/>
      <c r="UVH39" s="73"/>
      <c r="UVI39" s="73"/>
      <c r="UVJ39" s="73"/>
      <c r="UVK39" s="73"/>
      <c r="UVL39" s="73"/>
      <c r="UVM39" s="73"/>
      <c r="UVN39" s="73"/>
      <c r="UVO39" s="73"/>
      <c r="UVP39" s="73"/>
      <c r="UVQ39" s="73"/>
      <c r="UVR39" s="73"/>
      <c r="UVS39" s="73"/>
      <c r="UVT39" s="73"/>
      <c r="UVU39" s="73"/>
      <c r="UVV39" s="73"/>
      <c r="UVW39" s="73"/>
      <c r="UVX39" s="73"/>
      <c r="UVY39" s="73"/>
      <c r="UVZ39" s="73"/>
      <c r="UWA39" s="73"/>
      <c r="UWB39" s="73"/>
      <c r="UWC39" s="73"/>
      <c r="UWD39" s="73"/>
      <c r="UWE39" s="73"/>
      <c r="UWF39" s="73"/>
      <c r="UWG39" s="73"/>
      <c r="UWH39" s="73"/>
      <c r="UWI39" s="73"/>
      <c r="UWJ39" s="73"/>
      <c r="UWK39" s="73"/>
      <c r="UWL39" s="73"/>
      <c r="UWM39" s="73"/>
      <c r="UWN39" s="73"/>
      <c r="UWO39" s="73"/>
      <c r="UWP39" s="73"/>
      <c r="UWQ39" s="73"/>
      <c r="UWR39" s="73"/>
      <c r="UWS39" s="73"/>
      <c r="UWT39" s="73"/>
      <c r="UWU39" s="73"/>
      <c r="UWV39" s="73"/>
      <c r="UWW39" s="73"/>
      <c r="UWX39" s="73"/>
      <c r="UWY39" s="73"/>
      <c r="UWZ39" s="73"/>
      <c r="UXA39" s="73"/>
      <c r="UXB39" s="73"/>
      <c r="UXC39" s="73"/>
      <c r="UXD39" s="73"/>
      <c r="UXE39" s="73"/>
      <c r="UXF39" s="73"/>
      <c r="UXG39" s="73"/>
      <c r="UXH39" s="73"/>
      <c r="UXI39" s="73"/>
      <c r="UXJ39" s="73"/>
      <c r="UXK39" s="73"/>
      <c r="UXL39" s="73"/>
      <c r="UXM39" s="73"/>
      <c r="UXN39" s="73"/>
      <c r="UXO39" s="73"/>
      <c r="UXP39" s="73"/>
      <c r="UXQ39" s="73"/>
      <c r="UXR39" s="73"/>
      <c r="UXS39" s="73"/>
      <c r="UXT39" s="73"/>
      <c r="UXU39" s="73"/>
      <c r="UXV39" s="73"/>
      <c r="UXW39" s="73"/>
      <c r="UXX39" s="73"/>
      <c r="UXY39" s="73"/>
      <c r="UXZ39" s="73"/>
      <c r="UYA39" s="73"/>
      <c r="UYB39" s="73"/>
      <c r="UYC39" s="73"/>
      <c r="UYD39" s="73"/>
      <c r="UYE39" s="73"/>
      <c r="UYF39" s="73"/>
      <c r="UYG39" s="73"/>
      <c r="UYH39" s="73"/>
      <c r="UYI39" s="73"/>
      <c r="UYJ39" s="73"/>
      <c r="UYK39" s="73"/>
      <c r="UYL39" s="73"/>
      <c r="UYM39" s="73"/>
      <c r="UYN39" s="73"/>
      <c r="UYO39" s="73"/>
      <c r="UYP39" s="73"/>
      <c r="UYQ39" s="73"/>
      <c r="UYR39" s="73"/>
      <c r="UYS39" s="73"/>
      <c r="UYT39" s="73"/>
      <c r="UYU39" s="73"/>
      <c r="UYV39" s="73"/>
      <c r="UYW39" s="73"/>
      <c r="UYX39" s="73"/>
      <c r="UYY39" s="73"/>
      <c r="UYZ39" s="73"/>
      <c r="UZA39" s="73"/>
      <c r="UZB39" s="73"/>
      <c r="UZC39" s="73"/>
      <c r="UZD39" s="73"/>
      <c r="UZE39" s="73"/>
      <c r="UZF39" s="73"/>
      <c r="UZG39" s="73"/>
      <c r="UZH39" s="73"/>
      <c r="UZI39" s="73"/>
      <c r="UZJ39" s="73"/>
      <c r="UZK39" s="73"/>
      <c r="UZL39" s="73"/>
      <c r="UZM39" s="73"/>
      <c r="UZN39" s="73"/>
      <c r="UZO39" s="73"/>
      <c r="UZP39" s="73"/>
      <c r="UZQ39" s="73"/>
      <c r="UZR39" s="73"/>
      <c r="UZS39" s="73"/>
      <c r="UZT39" s="73"/>
      <c r="UZU39" s="73"/>
      <c r="UZV39" s="73"/>
      <c r="UZW39" s="73"/>
      <c r="UZX39" s="73"/>
      <c r="UZY39" s="73"/>
      <c r="UZZ39" s="73"/>
      <c r="VAA39" s="73"/>
      <c r="VAB39" s="73"/>
      <c r="VAC39" s="73"/>
      <c r="VAD39" s="73"/>
      <c r="VAE39" s="73"/>
      <c r="VAF39" s="73"/>
      <c r="VAG39" s="73"/>
      <c r="VAH39" s="73"/>
      <c r="VAI39" s="73"/>
      <c r="VAJ39" s="73"/>
      <c r="VAK39" s="73"/>
      <c r="VAL39" s="73"/>
      <c r="VAM39" s="73"/>
      <c r="VAN39" s="73"/>
      <c r="VAO39" s="73"/>
      <c r="VAP39" s="73"/>
      <c r="VAQ39" s="73"/>
      <c r="VAR39" s="73"/>
      <c r="VAS39" s="73"/>
      <c r="VAT39" s="73"/>
      <c r="VAU39" s="73"/>
      <c r="VAV39" s="73"/>
      <c r="VAW39" s="73"/>
      <c r="VAX39" s="73"/>
      <c r="VAY39" s="73"/>
      <c r="VAZ39" s="73"/>
      <c r="VBA39" s="73"/>
      <c r="VBB39" s="73"/>
      <c r="VBC39" s="73"/>
      <c r="VBD39" s="73"/>
      <c r="VBE39" s="73"/>
      <c r="VBF39" s="73"/>
      <c r="VBG39" s="73"/>
      <c r="VBH39" s="73"/>
      <c r="VBI39" s="73"/>
      <c r="VBJ39" s="73"/>
      <c r="VBK39" s="73"/>
      <c r="VBL39" s="73"/>
      <c r="VBM39" s="73"/>
      <c r="VBN39" s="73"/>
      <c r="VBO39" s="73"/>
      <c r="VBP39" s="73"/>
      <c r="VBQ39" s="73"/>
      <c r="VBR39" s="73"/>
      <c r="VBS39" s="73"/>
      <c r="VBT39" s="73"/>
      <c r="VBU39" s="73"/>
      <c r="VBV39" s="73"/>
      <c r="VBW39" s="73"/>
      <c r="VBX39" s="73"/>
      <c r="VBY39" s="73"/>
      <c r="VBZ39" s="73"/>
      <c r="VCA39" s="73"/>
      <c r="VCB39" s="73"/>
      <c r="VCC39" s="73"/>
      <c r="VCD39" s="73"/>
      <c r="VCE39" s="73"/>
      <c r="VCF39" s="73"/>
      <c r="VCG39" s="73"/>
      <c r="VCH39" s="73"/>
      <c r="VCI39" s="73"/>
      <c r="VCJ39" s="73"/>
      <c r="VCK39" s="73"/>
      <c r="VCL39" s="73"/>
      <c r="VCM39" s="73"/>
      <c r="VCN39" s="73"/>
      <c r="VCO39" s="73"/>
      <c r="VCP39" s="73"/>
      <c r="VCQ39" s="73"/>
      <c r="VCR39" s="73"/>
      <c r="VCS39" s="73"/>
      <c r="VCT39" s="73"/>
      <c r="VCU39" s="73"/>
      <c r="VCV39" s="73"/>
      <c r="VCW39" s="73"/>
      <c r="VCX39" s="73"/>
      <c r="VCY39" s="73"/>
      <c r="VCZ39" s="73"/>
      <c r="VDA39" s="73"/>
      <c r="VDB39" s="73"/>
      <c r="VDC39" s="73"/>
      <c r="VDD39" s="73"/>
      <c r="VDE39" s="73"/>
      <c r="VDF39" s="73"/>
      <c r="VDG39" s="73"/>
      <c r="VDH39" s="73"/>
      <c r="VDI39" s="73"/>
      <c r="VDJ39" s="73"/>
      <c r="VDK39" s="73"/>
      <c r="VDL39" s="73"/>
      <c r="VDM39" s="73"/>
      <c r="VDN39" s="73"/>
      <c r="VDO39" s="73"/>
      <c r="VDP39" s="73"/>
      <c r="VDQ39" s="73"/>
      <c r="VDR39" s="73"/>
      <c r="VDS39" s="73"/>
      <c r="VDT39" s="73"/>
      <c r="VDU39" s="73"/>
      <c r="VDV39" s="73"/>
      <c r="VDW39" s="73"/>
      <c r="VDX39" s="73"/>
      <c r="VDY39" s="73"/>
      <c r="VDZ39" s="73"/>
      <c r="VEA39" s="73"/>
      <c r="VEB39" s="73"/>
      <c r="VEC39" s="73"/>
      <c r="VED39" s="73"/>
      <c r="VEE39" s="73"/>
      <c r="VEF39" s="73"/>
      <c r="VEG39" s="73"/>
      <c r="VEH39" s="73"/>
      <c r="VEI39" s="73"/>
      <c r="VEJ39" s="73"/>
      <c r="VEK39" s="73"/>
      <c r="VEL39" s="73"/>
      <c r="VEM39" s="73"/>
      <c r="VEN39" s="73"/>
      <c r="VEO39" s="73"/>
      <c r="VEP39" s="73"/>
      <c r="VEQ39" s="73"/>
      <c r="VER39" s="73"/>
      <c r="VES39" s="73"/>
      <c r="VET39" s="73"/>
      <c r="VEU39" s="73"/>
      <c r="VEV39" s="73"/>
      <c r="VEW39" s="73"/>
      <c r="VEX39" s="73"/>
      <c r="VEY39" s="73"/>
      <c r="VEZ39" s="73"/>
      <c r="VFA39" s="73"/>
      <c r="VFB39" s="73"/>
      <c r="VFC39" s="73"/>
      <c r="VFD39" s="73"/>
      <c r="VFE39" s="73"/>
      <c r="VFF39" s="73"/>
      <c r="VFG39" s="73"/>
      <c r="VFH39" s="73"/>
      <c r="VFI39" s="73"/>
      <c r="VFJ39" s="73"/>
      <c r="VFK39" s="73"/>
      <c r="VFL39" s="73"/>
      <c r="VFM39" s="73"/>
      <c r="VFN39" s="73"/>
      <c r="VFO39" s="73"/>
      <c r="VFP39" s="73"/>
      <c r="VFQ39" s="73"/>
      <c r="VFR39" s="73"/>
      <c r="VFS39" s="73"/>
      <c r="VFT39" s="73"/>
      <c r="VFU39" s="73"/>
      <c r="VFV39" s="73"/>
      <c r="VFW39" s="73"/>
      <c r="VFX39" s="73"/>
      <c r="VFY39" s="73"/>
      <c r="VFZ39" s="73"/>
      <c r="VGA39" s="73"/>
      <c r="VGB39" s="73"/>
      <c r="VGC39" s="73"/>
      <c r="VGD39" s="73"/>
      <c r="VGE39" s="73"/>
      <c r="VGF39" s="73"/>
      <c r="VGG39" s="73"/>
      <c r="VGH39" s="73"/>
      <c r="VGI39" s="73"/>
      <c r="VGJ39" s="73"/>
      <c r="VGK39" s="73"/>
      <c r="VGL39" s="73"/>
      <c r="VGM39" s="73"/>
      <c r="VGN39" s="73"/>
      <c r="VGO39" s="73"/>
      <c r="VGP39" s="73"/>
      <c r="VGQ39" s="73"/>
      <c r="VGR39" s="73"/>
      <c r="VGS39" s="73"/>
      <c r="VGT39" s="73"/>
      <c r="VGU39" s="73"/>
      <c r="VGV39" s="73"/>
      <c r="VGW39" s="73"/>
      <c r="VGX39" s="73"/>
      <c r="VGY39" s="73"/>
      <c r="VGZ39" s="73"/>
      <c r="VHA39" s="73"/>
      <c r="VHB39" s="73"/>
      <c r="VHC39" s="73"/>
      <c r="VHD39" s="73"/>
      <c r="VHE39" s="73"/>
      <c r="VHF39" s="73"/>
      <c r="VHG39" s="73"/>
      <c r="VHH39" s="73"/>
      <c r="VHI39" s="73"/>
      <c r="VHJ39" s="73"/>
      <c r="VHK39" s="73"/>
      <c r="VHL39" s="73"/>
      <c r="VHM39" s="73"/>
      <c r="VHN39" s="73"/>
      <c r="VHO39" s="73"/>
      <c r="VHP39" s="73"/>
      <c r="VHQ39" s="73"/>
      <c r="VHR39" s="73"/>
      <c r="VHS39" s="73"/>
      <c r="VHT39" s="73"/>
      <c r="VHU39" s="73"/>
      <c r="VHV39" s="73"/>
      <c r="VHW39" s="73"/>
      <c r="VHX39" s="73"/>
      <c r="VHY39" s="73"/>
      <c r="VHZ39" s="73"/>
      <c r="VIA39" s="73"/>
      <c r="VIB39" s="73"/>
      <c r="VIC39" s="73"/>
      <c r="VID39" s="73"/>
      <c r="VIE39" s="73"/>
      <c r="VIF39" s="73"/>
      <c r="VIG39" s="73"/>
      <c r="VIH39" s="73"/>
      <c r="VII39" s="73"/>
      <c r="VIJ39" s="73"/>
      <c r="VIK39" s="73"/>
      <c r="VIL39" s="73"/>
      <c r="VIM39" s="73"/>
      <c r="VIN39" s="73"/>
      <c r="VIO39" s="73"/>
      <c r="VIP39" s="73"/>
      <c r="VIQ39" s="73"/>
      <c r="VIR39" s="73"/>
      <c r="VIS39" s="73"/>
      <c r="VIT39" s="73"/>
      <c r="VIU39" s="73"/>
      <c r="VIV39" s="73"/>
      <c r="VIW39" s="73"/>
      <c r="VIX39" s="73"/>
      <c r="VIY39" s="73"/>
      <c r="VIZ39" s="73"/>
      <c r="VJA39" s="73"/>
      <c r="VJB39" s="73"/>
      <c r="VJC39" s="73"/>
      <c r="VJD39" s="73"/>
      <c r="VJE39" s="73"/>
      <c r="VJF39" s="73"/>
      <c r="VJG39" s="73"/>
      <c r="VJH39" s="73"/>
      <c r="VJI39" s="73"/>
      <c r="VJJ39" s="73"/>
      <c r="VJK39" s="73"/>
      <c r="VJL39" s="73"/>
      <c r="VJM39" s="73"/>
      <c r="VJN39" s="73"/>
      <c r="VJO39" s="73"/>
      <c r="VJP39" s="73"/>
      <c r="VJQ39" s="73"/>
      <c r="VJR39" s="73"/>
      <c r="VJS39" s="73"/>
      <c r="VJT39" s="73"/>
      <c r="VJU39" s="73"/>
      <c r="VJV39" s="73"/>
      <c r="VJW39" s="73"/>
      <c r="VJX39" s="73"/>
      <c r="VJY39" s="73"/>
      <c r="VJZ39" s="73"/>
      <c r="VKA39" s="73"/>
      <c r="VKB39" s="73"/>
      <c r="VKC39" s="73"/>
      <c r="VKD39" s="73"/>
      <c r="VKE39" s="73"/>
      <c r="VKF39" s="73"/>
      <c r="VKG39" s="73"/>
      <c r="VKH39" s="73"/>
      <c r="VKI39" s="73"/>
      <c r="VKJ39" s="73"/>
      <c r="VKK39" s="73"/>
      <c r="VKL39" s="73"/>
      <c r="VKM39" s="73"/>
      <c r="VKN39" s="73"/>
      <c r="VKO39" s="73"/>
      <c r="VKP39" s="73"/>
      <c r="VKQ39" s="73"/>
      <c r="VKR39" s="73"/>
      <c r="VKS39" s="73"/>
      <c r="VKT39" s="73"/>
      <c r="VKU39" s="73"/>
      <c r="VKV39" s="73"/>
      <c r="VKW39" s="73"/>
      <c r="VKX39" s="73"/>
      <c r="VKY39" s="73"/>
      <c r="VKZ39" s="73"/>
      <c r="VLA39" s="73"/>
      <c r="VLB39" s="73"/>
      <c r="VLC39" s="73"/>
      <c r="VLD39" s="73"/>
      <c r="VLE39" s="73"/>
      <c r="VLF39" s="73"/>
      <c r="VLG39" s="73"/>
      <c r="VLH39" s="73"/>
      <c r="VLI39" s="73"/>
      <c r="VLJ39" s="73"/>
      <c r="VLK39" s="73"/>
      <c r="VLL39" s="73"/>
      <c r="VLM39" s="73"/>
      <c r="VLN39" s="73"/>
      <c r="VLO39" s="73"/>
      <c r="VLP39" s="73"/>
      <c r="VLQ39" s="73"/>
      <c r="VLR39" s="73"/>
      <c r="VLS39" s="73"/>
      <c r="VLT39" s="73"/>
      <c r="VLU39" s="73"/>
      <c r="VLV39" s="73"/>
      <c r="VLW39" s="73"/>
      <c r="VLX39" s="73"/>
      <c r="VLY39" s="73"/>
      <c r="VLZ39" s="73"/>
      <c r="VMA39" s="73"/>
      <c r="VMB39" s="73"/>
      <c r="VMC39" s="73"/>
      <c r="VMD39" s="73"/>
      <c r="VME39" s="73"/>
      <c r="VMF39" s="73"/>
      <c r="VMG39" s="73"/>
      <c r="VMH39" s="73"/>
      <c r="VMI39" s="73"/>
      <c r="VMJ39" s="73"/>
      <c r="VMK39" s="73"/>
      <c r="VML39" s="73"/>
      <c r="VMM39" s="73"/>
      <c r="VMN39" s="73"/>
      <c r="VMO39" s="73"/>
      <c r="VMP39" s="73"/>
      <c r="VMQ39" s="73"/>
      <c r="VMR39" s="73"/>
      <c r="VMS39" s="73"/>
      <c r="VMT39" s="73"/>
      <c r="VMU39" s="73"/>
      <c r="VMV39" s="73"/>
      <c r="VMW39" s="73"/>
      <c r="VMX39" s="73"/>
      <c r="VMY39" s="73"/>
      <c r="VMZ39" s="73"/>
      <c r="VNA39" s="73"/>
      <c r="VNB39" s="73"/>
      <c r="VNC39" s="73"/>
      <c r="VND39" s="73"/>
      <c r="VNE39" s="73"/>
      <c r="VNF39" s="73"/>
      <c r="VNG39" s="73"/>
      <c r="VNH39" s="73"/>
      <c r="VNI39" s="73"/>
      <c r="VNJ39" s="73"/>
      <c r="VNK39" s="73"/>
      <c r="VNL39" s="73"/>
      <c r="VNM39" s="73"/>
      <c r="VNN39" s="73"/>
      <c r="VNO39" s="73"/>
      <c r="VNP39" s="73"/>
      <c r="VNQ39" s="73"/>
      <c r="VNR39" s="73"/>
      <c r="VNS39" s="73"/>
      <c r="VNT39" s="73"/>
      <c r="VNU39" s="73"/>
      <c r="VNV39" s="73"/>
      <c r="VNW39" s="73"/>
      <c r="VNX39" s="73"/>
      <c r="VNY39" s="73"/>
      <c r="VNZ39" s="73"/>
      <c r="VOA39" s="73"/>
      <c r="VOB39" s="73"/>
      <c r="VOC39" s="73"/>
      <c r="VOD39" s="73"/>
      <c r="VOE39" s="73"/>
      <c r="VOF39" s="73"/>
      <c r="VOG39" s="73"/>
      <c r="VOH39" s="73"/>
      <c r="VOI39" s="73"/>
      <c r="VOJ39" s="73"/>
      <c r="VOK39" s="73"/>
      <c r="VOL39" s="73"/>
      <c r="VOM39" s="73"/>
      <c r="VON39" s="73"/>
      <c r="VOO39" s="73"/>
      <c r="VOP39" s="73"/>
      <c r="VOQ39" s="73"/>
      <c r="VOR39" s="73"/>
      <c r="VOS39" s="73"/>
      <c r="VOT39" s="73"/>
      <c r="VOU39" s="73"/>
      <c r="VOV39" s="73"/>
      <c r="VOW39" s="73"/>
      <c r="VOX39" s="73"/>
      <c r="VOY39" s="73"/>
      <c r="VOZ39" s="73"/>
      <c r="VPA39" s="73"/>
      <c r="VPB39" s="73"/>
      <c r="VPC39" s="73"/>
      <c r="VPD39" s="73"/>
      <c r="VPE39" s="73"/>
      <c r="VPF39" s="73"/>
      <c r="VPG39" s="73"/>
      <c r="VPH39" s="73"/>
      <c r="VPI39" s="73"/>
      <c r="VPJ39" s="73"/>
      <c r="VPK39" s="73"/>
      <c r="VPL39" s="73"/>
      <c r="VPM39" s="73"/>
      <c r="VPN39" s="73"/>
      <c r="VPO39" s="73"/>
      <c r="VPP39" s="73"/>
      <c r="VPQ39" s="73"/>
      <c r="VPR39" s="73"/>
      <c r="VPS39" s="73"/>
      <c r="VPT39" s="73"/>
      <c r="VPU39" s="73"/>
      <c r="VPV39" s="73"/>
      <c r="VPW39" s="73"/>
      <c r="VPX39" s="73"/>
      <c r="VPY39" s="73"/>
      <c r="VPZ39" s="73"/>
      <c r="VQA39" s="73"/>
      <c r="VQB39" s="73"/>
      <c r="VQC39" s="73"/>
      <c r="VQD39" s="73"/>
      <c r="VQE39" s="73"/>
      <c r="VQF39" s="73"/>
      <c r="VQG39" s="73"/>
      <c r="VQH39" s="73"/>
      <c r="VQI39" s="73"/>
      <c r="VQJ39" s="73"/>
      <c r="VQK39" s="73"/>
      <c r="VQL39" s="73"/>
      <c r="VQM39" s="73"/>
      <c r="VQN39" s="73"/>
      <c r="VQO39" s="73"/>
      <c r="VQP39" s="73"/>
      <c r="VQQ39" s="73"/>
      <c r="VQR39" s="73"/>
      <c r="VQS39" s="73"/>
      <c r="VQT39" s="73"/>
      <c r="VQU39" s="73"/>
      <c r="VQV39" s="73"/>
      <c r="VQW39" s="73"/>
      <c r="VQX39" s="73"/>
      <c r="VQY39" s="73"/>
      <c r="VQZ39" s="73"/>
      <c r="VRA39" s="73"/>
      <c r="VRB39" s="73"/>
      <c r="VRC39" s="73"/>
      <c r="VRD39" s="73"/>
      <c r="VRE39" s="73"/>
      <c r="VRF39" s="73"/>
      <c r="VRG39" s="73"/>
      <c r="VRH39" s="73"/>
      <c r="VRI39" s="73"/>
      <c r="VRJ39" s="73"/>
      <c r="VRK39" s="73"/>
      <c r="VRL39" s="73"/>
      <c r="VRM39" s="73"/>
      <c r="VRN39" s="73"/>
      <c r="VRO39" s="73"/>
      <c r="VRP39" s="73"/>
      <c r="VRQ39" s="73"/>
      <c r="VRR39" s="73"/>
      <c r="VRS39" s="73"/>
      <c r="VRT39" s="73"/>
      <c r="VRU39" s="73"/>
      <c r="VRV39" s="73"/>
      <c r="VRW39" s="73"/>
      <c r="VRX39" s="73"/>
      <c r="VRY39" s="73"/>
      <c r="VRZ39" s="73"/>
      <c r="VSA39" s="73"/>
      <c r="VSB39" s="73"/>
      <c r="VSC39" s="73"/>
      <c r="VSD39" s="73"/>
      <c r="VSE39" s="73"/>
      <c r="VSF39" s="73"/>
      <c r="VSG39" s="73"/>
      <c r="VSH39" s="73"/>
      <c r="VSI39" s="73"/>
      <c r="VSJ39" s="73"/>
      <c r="VSK39" s="73"/>
      <c r="VSL39" s="73"/>
      <c r="VSM39" s="73"/>
      <c r="VSN39" s="73"/>
      <c r="VSO39" s="73"/>
      <c r="VSP39" s="73"/>
      <c r="VSQ39" s="73"/>
      <c r="VSR39" s="73"/>
      <c r="VSS39" s="73"/>
      <c r="VST39" s="73"/>
      <c r="VSU39" s="73"/>
      <c r="VSV39" s="73"/>
      <c r="VSW39" s="73"/>
      <c r="VSX39" s="73"/>
      <c r="VSY39" s="73"/>
      <c r="VSZ39" s="73"/>
      <c r="VTA39" s="73"/>
      <c r="VTB39" s="73"/>
      <c r="VTC39" s="73"/>
      <c r="VTD39" s="73"/>
      <c r="VTE39" s="73"/>
      <c r="VTF39" s="73"/>
      <c r="VTG39" s="73"/>
      <c r="VTH39" s="73"/>
      <c r="VTI39" s="73"/>
      <c r="VTJ39" s="73"/>
      <c r="VTK39" s="73"/>
      <c r="VTL39" s="73"/>
      <c r="VTM39" s="73"/>
      <c r="VTN39" s="73"/>
      <c r="VTO39" s="73"/>
      <c r="VTP39" s="73"/>
      <c r="VTQ39" s="73"/>
      <c r="VTR39" s="73"/>
      <c r="VTS39" s="73"/>
      <c r="VTT39" s="73"/>
      <c r="VTU39" s="73"/>
      <c r="VTV39" s="73"/>
      <c r="VTW39" s="73"/>
      <c r="VTX39" s="73"/>
      <c r="VTY39" s="73"/>
      <c r="VTZ39" s="73"/>
      <c r="VUA39" s="73"/>
      <c r="VUB39" s="73"/>
      <c r="VUC39" s="73"/>
      <c r="VUD39" s="73"/>
      <c r="VUE39" s="73"/>
      <c r="VUF39" s="73"/>
      <c r="VUG39" s="73"/>
      <c r="VUH39" s="73"/>
      <c r="VUI39" s="73"/>
      <c r="VUJ39" s="73"/>
      <c r="VUK39" s="73"/>
      <c r="VUL39" s="73"/>
      <c r="VUM39" s="73"/>
      <c r="VUN39" s="73"/>
      <c r="VUO39" s="73"/>
      <c r="VUP39" s="73"/>
      <c r="VUQ39" s="73"/>
      <c r="VUR39" s="73"/>
      <c r="VUS39" s="73"/>
      <c r="VUT39" s="73"/>
      <c r="VUU39" s="73"/>
      <c r="VUV39" s="73"/>
      <c r="VUW39" s="73"/>
      <c r="VUX39" s="73"/>
      <c r="VUY39" s="73"/>
      <c r="VUZ39" s="73"/>
      <c r="VVA39" s="73"/>
      <c r="VVB39" s="73"/>
      <c r="VVC39" s="73"/>
      <c r="VVD39" s="73"/>
      <c r="VVE39" s="73"/>
      <c r="VVF39" s="73"/>
      <c r="VVG39" s="73"/>
      <c r="VVH39" s="73"/>
      <c r="VVI39" s="73"/>
      <c r="VVJ39" s="73"/>
      <c r="VVK39" s="73"/>
      <c r="VVL39" s="73"/>
      <c r="VVM39" s="73"/>
      <c r="VVN39" s="73"/>
      <c r="VVO39" s="73"/>
      <c r="VVP39" s="73"/>
      <c r="VVQ39" s="73"/>
      <c r="VVR39" s="73"/>
      <c r="VVS39" s="73"/>
      <c r="VVT39" s="73"/>
      <c r="VVU39" s="73"/>
      <c r="VVV39" s="73"/>
      <c r="VVW39" s="73"/>
      <c r="VVX39" s="73"/>
      <c r="VVY39" s="73"/>
      <c r="VVZ39" s="73"/>
      <c r="VWA39" s="73"/>
      <c r="VWB39" s="73"/>
      <c r="VWC39" s="73"/>
      <c r="VWD39" s="73"/>
      <c r="VWE39" s="73"/>
      <c r="VWF39" s="73"/>
      <c r="VWG39" s="73"/>
      <c r="VWH39" s="73"/>
      <c r="VWI39" s="73"/>
      <c r="VWJ39" s="73"/>
      <c r="VWK39" s="73"/>
      <c r="VWL39" s="73"/>
      <c r="VWM39" s="73"/>
      <c r="VWN39" s="73"/>
      <c r="VWO39" s="73"/>
      <c r="VWP39" s="73"/>
      <c r="VWQ39" s="73"/>
      <c r="VWR39" s="73"/>
      <c r="VWS39" s="73"/>
      <c r="VWT39" s="73"/>
      <c r="VWU39" s="73"/>
      <c r="VWV39" s="73"/>
      <c r="VWW39" s="73"/>
      <c r="VWX39" s="73"/>
      <c r="VWY39" s="73"/>
      <c r="VWZ39" s="73"/>
      <c r="VXA39" s="73"/>
      <c r="VXB39" s="73"/>
      <c r="VXC39" s="73"/>
      <c r="VXD39" s="73"/>
      <c r="VXE39" s="73"/>
      <c r="VXF39" s="73"/>
      <c r="VXG39" s="73"/>
      <c r="VXH39" s="73"/>
      <c r="VXI39" s="73"/>
      <c r="VXJ39" s="73"/>
      <c r="VXK39" s="73"/>
      <c r="VXL39" s="73"/>
      <c r="VXM39" s="73"/>
      <c r="VXN39" s="73"/>
      <c r="VXO39" s="73"/>
      <c r="VXP39" s="73"/>
      <c r="VXQ39" s="73"/>
      <c r="VXR39" s="73"/>
      <c r="VXS39" s="73"/>
      <c r="VXT39" s="73"/>
      <c r="VXU39" s="73"/>
      <c r="VXV39" s="73"/>
      <c r="VXW39" s="73"/>
      <c r="VXX39" s="73"/>
      <c r="VXY39" s="73"/>
      <c r="VXZ39" s="73"/>
      <c r="VYA39" s="73"/>
      <c r="VYB39" s="73"/>
      <c r="VYC39" s="73"/>
      <c r="VYD39" s="73"/>
      <c r="VYE39" s="73"/>
      <c r="VYF39" s="73"/>
      <c r="VYG39" s="73"/>
      <c r="VYH39" s="73"/>
      <c r="VYI39" s="73"/>
      <c r="VYJ39" s="73"/>
      <c r="VYK39" s="73"/>
      <c r="VYL39" s="73"/>
      <c r="VYM39" s="73"/>
      <c r="VYN39" s="73"/>
      <c r="VYO39" s="73"/>
      <c r="VYP39" s="73"/>
      <c r="VYQ39" s="73"/>
      <c r="VYR39" s="73"/>
      <c r="VYS39" s="73"/>
      <c r="VYT39" s="73"/>
      <c r="VYU39" s="73"/>
      <c r="VYV39" s="73"/>
      <c r="VYW39" s="73"/>
      <c r="VYX39" s="73"/>
      <c r="VYY39" s="73"/>
      <c r="VYZ39" s="73"/>
      <c r="VZA39" s="73"/>
      <c r="VZB39" s="73"/>
      <c r="VZC39" s="73"/>
      <c r="VZD39" s="73"/>
      <c r="VZE39" s="73"/>
      <c r="VZF39" s="73"/>
      <c r="VZG39" s="73"/>
      <c r="VZH39" s="73"/>
      <c r="VZI39" s="73"/>
      <c r="VZJ39" s="73"/>
      <c r="VZK39" s="73"/>
      <c r="VZL39" s="73"/>
      <c r="VZM39" s="73"/>
      <c r="VZN39" s="73"/>
      <c r="VZO39" s="73"/>
      <c r="VZP39" s="73"/>
      <c r="VZQ39" s="73"/>
      <c r="VZR39" s="73"/>
      <c r="VZS39" s="73"/>
      <c r="VZT39" s="73"/>
      <c r="VZU39" s="73"/>
      <c r="VZV39" s="73"/>
      <c r="VZW39" s="73"/>
      <c r="VZX39" s="73"/>
      <c r="VZY39" s="73"/>
      <c r="VZZ39" s="73"/>
      <c r="WAA39" s="73"/>
      <c r="WAB39" s="73"/>
      <c r="WAC39" s="73"/>
      <c r="WAD39" s="73"/>
      <c r="WAE39" s="73"/>
      <c r="WAF39" s="73"/>
      <c r="WAG39" s="73"/>
      <c r="WAH39" s="73"/>
      <c r="WAI39" s="73"/>
      <c r="WAJ39" s="73"/>
      <c r="WAK39" s="73"/>
      <c r="WAL39" s="73"/>
      <c r="WAM39" s="73"/>
      <c r="WAN39" s="73"/>
      <c r="WAO39" s="73"/>
      <c r="WAP39" s="73"/>
      <c r="WAQ39" s="73"/>
      <c r="WAR39" s="73"/>
      <c r="WAS39" s="73"/>
      <c r="WAT39" s="73"/>
      <c r="WAU39" s="73"/>
      <c r="WAV39" s="73"/>
      <c r="WAW39" s="73"/>
      <c r="WAX39" s="73"/>
      <c r="WAY39" s="73"/>
      <c r="WAZ39" s="73"/>
      <c r="WBA39" s="73"/>
      <c r="WBB39" s="73"/>
      <c r="WBC39" s="73"/>
      <c r="WBD39" s="73"/>
      <c r="WBE39" s="73"/>
      <c r="WBF39" s="73"/>
      <c r="WBG39" s="73"/>
      <c r="WBH39" s="73"/>
      <c r="WBI39" s="73"/>
      <c r="WBJ39" s="73"/>
      <c r="WBK39" s="73"/>
      <c r="WBL39" s="73"/>
      <c r="WBM39" s="73"/>
      <c r="WBN39" s="73"/>
      <c r="WBO39" s="73"/>
      <c r="WBP39" s="73"/>
      <c r="WBQ39" s="73"/>
      <c r="WBR39" s="73"/>
      <c r="WBS39" s="73"/>
      <c r="WBT39" s="73"/>
      <c r="WBU39" s="73"/>
      <c r="WBV39" s="73"/>
      <c r="WBW39" s="73"/>
      <c r="WBX39" s="73"/>
      <c r="WBY39" s="73"/>
      <c r="WBZ39" s="73"/>
      <c r="WCA39" s="73"/>
      <c r="WCB39" s="73"/>
      <c r="WCC39" s="73"/>
      <c r="WCD39" s="73"/>
      <c r="WCE39" s="73"/>
      <c r="WCF39" s="73"/>
      <c r="WCG39" s="73"/>
      <c r="WCH39" s="73"/>
      <c r="WCI39" s="73"/>
      <c r="WCJ39" s="73"/>
      <c r="WCK39" s="73"/>
      <c r="WCL39" s="73"/>
      <c r="WCM39" s="73"/>
      <c r="WCN39" s="73"/>
      <c r="WCO39" s="73"/>
      <c r="WCP39" s="73"/>
      <c r="WCQ39" s="73"/>
      <c r="WCR39" s="73"/>
      <c r="WCS39" s="73"/>
      <c r="WCT39" s="73"/>
      <c r="WCU39" s="73"/>
      <c r="WCV39" s="73"/>
      <c r="WCW39" s="73"/>
      <c r="WCX39" s="73"/>
      <c r="WCY39" s="73"/>
      <c r="WCZ39" s="73"/>
      <c r="WDA39" s="73"/>
      <c r="WDB39" s="73"/>
      <c r="WDC39" s="73"/>
      <c r="WDD39" s="73"/>
      <c r="WDE39" s="73"/>
      <c r="WDF39" s="73"/>
      <c r="WDG39" s="73"/>
      <c r="WDH39" s="73"/>
      <c r="WDI39" s="73"/>
      <c r="WDJ39" s="73"/>
      <c r="WDK39" s="73"/>
      <c r="WDL39" s="73"/>
      <c r="WDM39" s="73"/>
      <c r="WDN39" s="73"/>
      <c r="WDO39" s="73"/>
      <c r="WDP39" s="73"/>
      <c r="WDQ39" s="73"/>
      <c r="WDR39" s="73"/>
      <c r="WDS39" s="73"/>
      <c r="WDT39" s="73"/>
      <c r="WDU39" s="73"/>
      <c r="WDV39" s="73"/>
      <c r="WDW39" s="73"/>
      <c r="WDX39" s="73"/>
      <c r="WDY39" s="73"/>
      <c r="WDZ39" s="73"/>
      <c r="WEA39" s="73"/>
      <c r="WEB39" s="73"/>
      <c r="WEC39" s="73"/>
      <c r="WED39" s="73"/>
      <c r="WEE39" s="73"/>
      <c r="WEF39" s="73"/>
      <c r="WEG39" s="73"/>
      <c r="WEH39" s="73"/>
      <c r="WEI39" s="73"/>
      <c r="WEJ39" s="73"/>
      <c r="WEK39" s="73"/>
      <c r="WEL39" s="73"/>
      <c r="WEM39" s="73"/>
      <c r="WEN39" s="73"/>
      <c r="WEO39" s="73"/>
      <c r="WEP39" s="73"/>
      <c r="WEQ39" s="73"/>
      <c r="WER39" s="73"/>
      <c r="WES39" s="73"/>
      <c r="WET39" s="73"/>
      <c r="WEU39" s="73"/>
      <c r="WEV39" s="73"/>
      <c r="WEW39" s="73"/>
      <c r="WEX39" s="73"/>
      <c r="WEY39" s="73"/>
      <c r="WEZ39" s="73"/>
      <c r="WFA39" s="73"/>
      <c r="WFB39" s="73"/>
      <c r="WFC39" s="73"/>
      <c r="WFD39" s="73"/>
      <c r="WFE39" s="73"/>
      <c r="WFF39" s="73"/>
      <c r="WFG39" s="73"/>
      <c r="WFH39" s="73"/>
      <c r="WFI39" s="73"/>
      <c r="WFJ39" s="73"/>
      <c r="WFK39" s="73"/>
      <c r="WFL39" s="73"/>
      <c r="WFM39" s="73"/>
      <c r="WFN39" s="73"/>
      <c r="WFO39" s="73"/>
      <c r="WFP39" s="73"/>
      <c r="WFQ39" s="73"/>
      <c r="WFR39" s="73"/>
      <c r="WFS39" s="73"/>
      <c r="WFT39" s="73"/>
      <c r="WFU39" s="73"/>
      <c r="WFV39" s="73"/>
      <c r="WFW39" s="73"/>
      <c r="WFX39" s="73"/>
      <c r="WFY39" s="73"/>
      <c r="WFZ39" s="73"/>
      <c r="WGA39" s="73"/>
      <c r="WGB39" s="73"/>
      <c r="WGC39" s="73"/>
      <c r="WGD39" s="73"/>
      <c r="WGE39" s="73"/>
      <c r="WGF39" s="73"/>
      <c r="WGG39" s="73"/>
      <c r="WGH39" s="73"/>
      <c r="WGI39" s="73"/>
      <c r="WGJ39" s="73"/>
      <c r="WGK39" s="73"/>
      <c r="WGL39" s="73"/>
      <c r="WGM39" s="73"/>
      <c r="WGN39" s="73"/>
      <c r="WGO39" s="73"/>
      <c r="WGP39" s="73"/>
      <c r="WGQ39" s="73"/>
      <c r="WGR39" s="73"/>
      <c r="WGS39" s="73"/>
      <c r="WGT39" s="73"/>
      <c r="WGU39" s="73"/>
      <c r="WGV39" s="73"/>
      <c r="WGW39" s="73"/>
      <c r="WGX39" s="73"/>
      <c r="WGY39" s="73"/>
      <c r="WGZ39" s="73"/>
      <c r="WHA39" s="73"/>
      <c r="WHB39" s="73"/>
      <c r="WHC39" s="73"/>
      <c r="WHD39" s="73"/>
      <c r="WHE39" s="73"/>
      <c r="WHF39" s="73"/>
      <c r="WHG39" s="73"/>
      <c r="WHH39" s="73"/>
      <c r="WHI39" s="73"/>
      <c r="WHJ39" s="73"/>
      <c r="WHK39" s="73"/>
      <c r="WHL39" s="73"/>
      <c r="WHM39" s="73"/>
      <c r="WHN39" s="73"/>
      <c r="WHO39" s="73"/>
      <c r="WHP39" s="73"/>
      <c r="WHQ39" s="73"/>
      <c r="WHR39" s="73"/>
      <c r="WHS39" s="73"/>
      <c r="WHT39" s="73"/>
      <c r="WHU39" s="73"/>
      <c r="WHV39" s="73"/>
      <c r="WHW39" s="73"/>
      <c r="WHX39" s="73"/>
      <c r="WHY39" s="73"/>
      <c r="WHZ39" s="73"/>
      <c r="WIA39" s="73"/>
      <c r="WIB39" s="73"/>
      <c r="WIC39" s="73"/>
      <c r="WID39" s="73"/>
      <c r="WIE39" s="73"/>
      <c r="WIF39" s="73"/>
      <c r="WIG39" s="73"/>
      <c r="WIH39" s="73"/>
      <c r="WII39" s="73"/>
      <c r="WIJ39" s="73"/>
      <c r="WIK39" s="73"/>
      <c r="WIL39" s="73"/>
      <c r="WIM39" s="73"/>
      <c r="WIN39" s="73"/>
      <c r="WIO39" s="73"/>
      <c r="WIP39" s="73"/>
      <c r="WIQ39" s="73"/>
      <c r="WIR39" s="73"/>
      <c r="WIS39" s="73"/>
      <c r="WIT39" s="73"/>
      <c r="WIU39" s="73"/>
      <c r="WIV39" s="73"/>
      <c r="WIW39" s="73"/>
      <c r="WIX39" s="73"/>
      <c r="WIY39" s="73"/>
      <c r="WIZ39" s="73"/>
      <c r="WJA39" s="73"/>
      <c r="WJB39" s="73"/>
      <c r="WJC39" s="73"/>
      <c r="WJD39" s="73"/>
      <c r="WJE39" s="73"/>
      <c r="WJF39" s="73"/>
      <c r="WJG39" s="73"/>
      <c r="WJH39" s="73"/>
      <c r="WJI39" s="73"/>
      <c r="WJJ39" s="73"/>
      <c r="WJK39" s="73"/>
      <c r="WJL39" s="73"/>
      <c r="WJM39" s="73"/>
      <c r="WJN39" s="73"/>
      <c r="WJO39" s="73"/>
      <c r="WJP39" s="73"/>
      <c r="WJQ39" s="73"/>
      <c r="WJR39" s="73"/>
      <c r="WJS39" s="73"/>
      <c r="WJT39" s="73"/>
      <c r="WJU39" s="73"/>
      <c r="WJV39" s="73"/>
      <c r="WJW39" s="73"/>
      <c r="WJX39" s="73"/>
      <c r="WJY39" s="73"/>
      <c r="WJZ39" s="73"/>
      <c r="WKA39" s="73"/>
      <c r="WKB39" s="73"/>
      <c r="WKC39" s="73"/>
      <c r="WKD39" s="73"/>
      <c r="WKE39" s="73"/>
      <c r="WKF39" s="73"/>
      <c r="WKG39" s="73"/>
      <c r="WKH39" s="73"/>
      <c r="WKI39" s="73"/>
      <c r="WKJ39" s="73"/>
      <c r="WKK39" s="73"/>
      <c r="WKL39" s="73"/>
      <c r="WKM39" s="73"/>
      <c r="WKN39" s="73"/>
      <c r="WKO39" s="73"/>
      <c r="WKP39" s="73"/>
      <c r="WKQ39" s="73"/>
      <c r="WKR39" s="73"/>
      <c r="WKS39" s="73"/>
      <c r="WKT39" s="73"/>
      <c r="WKU39" s="73"/>
      <c r="WKV39" s="73"/>
      <c r="WKW39" s="73"/>
      <c r="WKX39" s="73"/>
      <c r="WKY39" s="73"/>
      <c r="WKZ39" s="73"/>
      <c r="WLA39" s="73"/>
      <c r="WLB39" s="73"/>
      <c r="WLC39" s="73"/>
      <c r="WLD39" s="73"/>
      <c r="WLE39" s="73"/>
      <c r="WLF39" s="73"/>
      <c r="WLG39" s="73"/>
      <c r="WLH39" s="73"/>
      <c r="WLI39" s="73"/>
      <c r="WLJ39" s="73"/>
      <c r="WLK39" s="73"/>
      <c r="WLL39" s="73"/>
      <c r="WLM39" s="73"/>
      <c r="WLN39" s="73"/>
      <c r="WLO39" s="73"/>
      <c r="WLP39" s="73"/>
      <c r="WLQ39" s="73"/>
      <c r="WLR39" s="73"/>
      <c r="WLS39" s="73"/>
      <c r="WLT39" s="73"/>
      <c r="WLU39" s="73"/>
      <c r="WLV39" s="73"/>
      <c r="WLW39" s="73"/>
      <c r="WLX39" s="73"/>
      <c r="WLY39" s="73"/>
      <c r="WLZ39" s="73"/>
      <c r="WMA39" s="73"/>
      <c r="WMB39" s="73"/>
      <c r="WMC39" s="73"/>
      <c r="WMD39" s="73"/>
      <c r="WME39" s="73"/>
      <c r="WMF39" s="73"/>
      <c r="WMG39" s="73"/>
      <c r="WMH39" s="73"/>
      <c r="WMI39" s="73"/>
      <c r="WMJ39" s="73"/>
      <c r="WMK39" s="73"/>
      <c r="WML39" s="73"/>
      <c r="WMM39" s="73"/>
      <c r="WMN39" s="73"/>
      <c r="WMO39" s="73"/>
      <c r="WMP39" s="73"/>
      <c r="WMQ39" s="73"/>
      <c r="WMR39" s="73"/>
      <c r="WMS39" s="73"/>
      <c r="WMT39" s="73"/>
      <c r="WMU39" s="73"/>
      <c r="WMV39" s="73"/>
      <c r="WMW39" s="73"/>
      <c r="WMX39" s="73"/>
      <c r="WMY39" s="73"/>
      <c r="WMZ39" s="73"/>
      <c r="WNA39" s="73"/>
      <c r="WNB39" s="73"/>
      <c r="WNC39" s="73"/>
      <c r="WND39" s="73"/>
      <c r="WNE39" s="73"/>
      <c r="WNF39" s="73"/>
      <c r="WNG39" s="73"/>
      <c r="WNH39" s="73"/>
      <c r="WNI39" s="73"/>
      <c r="WNJ39" s="73"/>
      <c r="WNK39" s="73"/>
      <c r="WNL39" s="73"/>
      <c r="WNM39" s="73"/>
      <c r="WNN39" s="73"/>
      <c r="WNO39" s="73"/>
      <c r="WNP39" s="73"/>
      <c r="WNQ39" s="73"/>
      <c r="WNR39" s="73"/>
      <c r="WNS39" s="73"/>
      <c r="WNT39" s="73"/>
      <c r="WNU39" s="73"/>
      <c r="WNV39" s="73"/>
      <c r="WNW39" s="73"/>
      <c r="WNX39" s="73"/>
      <c r="WNY39" s="73"/>
      <c r="WNZ39" s="73"/>
      <c r="WOA39" s="73"/>
      <c r="WOB39" s="73"/>
      <c r="WOC39" s="73"/>
      <c r="WOD39" s="73"/>
      <c r="WOE39" s="73"/>
      <c r="WOF39" s="73"/>
      <c r="WOG39" s="73"/>
      <c r="WOH39" s="73"/>
      <c r="WOI39" s="73"/>
      <c r="WOJ39" s="73"/>
      <c r="WOK39" s="73"/>
      <c r="WOL39" s="73"/>
      <c r="WOM39" s="73"/>
      <c r="WON39" s="73"/>
      <c r="WOO39" s="73"/>
      <c r="WOP39" s="73"/>
      <c r="WOQ39" s="73"/>
      <c r="WOR39" s="73"/>
      <c r="WOS39" s="73"/>
      <c r="WOT39" s="73"/>
      <c r="WOU39" s="73"/>
      <c r="WOV39" s="73"/>
      <c r="WOW39" s="73"/>
      <c r="WOX39" s="73"/>
      <c r="WOY39" s="73"/>
      <c r="WOZ39" s="73"/>
      <c r="WPA39" s="73"/>
      <c r="WPB39" s="73"/>
      <c r="WPC39" s="73"/>
      <c r="WPD39" s="73"/>
      <c r="WPE39" s="73"/>
      <c r="WPF39" s="73"/>
      <c r="WPG39" s="73"/>
      <c r="WPH39" s="73"/>
      <c r="WPI39" s="73"/>
      <c r="WPJ39" s="73"/>
      <c r="WPK39" s="73"/>
      <c r="WPL39" s="73"/>
      <c r="WPM39" s="73"/>
      <c r="WPN39" s="73"/>
      <c r="WPO39" s="73"/>
      <c r="WPP39" s="73"/>
      <c r="WPQ39" s="73"/>
      <c r="WPR39" s="73"/>
      <c r="WPS39" s="73"/>
      <c r="WPT39" s="73"/>
      <c r="WPU39" s="73"/>
      <c r="WPV39" s="73"/>
      <c r="WPW39" s="73"/>
      <c r="WPX39" s="73"/>
      <c r="WPY39" s="73"/>
      <c r="WPZ39" s="73"/>
      <c r="WQA39" s="73"/>
      <c r="WQB39" s="73"/>
      <c r="WQC39" s="73"/>
      <c r="WQD39" s="73"/>
      <c r="WQE39" s="73"/>
      <c r="WQF39" s="73"/>
      <c r="WQG39" s="73"/>
      <c r="WQH39" s="73"/>
      <c r="WQI39" s="73"/>
      <c r="WQJ39" s="73"/>
      <c r="WQK39" s="73"/>
      <c r="WQL39" s="73"/>
      <c r="WQM39" s="73"/>
      <c r="WQN39" s="73"/>
      <c r="WQO39" s="73"/>
      <c r="WQP39" s="73"/>
      <c r="WQQ39" s="73"/>
      <c r="WQR39" s="73"/>
      <c r="WQS39" s="73"/>
      <c r="WQT39" s="73"/>
      <c r="WQU39" s="73"/>
      <c r="WQV39" s="73"/>
      <c r="WQW39" s="73"/>
      <c r="WQX39" s="73"/>
      <c r="WQY39" s="73"/>
      <c r="WQZ39" s="73"/>
      <c r="WRA39" s="73"/>
      <c r="WRB39" s="73"/>
      <c r="WRC39" s="73"/>
      <c r="WRD39" s="73"/>
      <c r="WRE39" s="73"/>
      <c r="WRF39" s="73"/>
      <c r="WRG39" s="73"/>
      <c r="WRH39" s="73"/>
      <c r="WRI39" s="73"/>
      <c r="WRJ39" s="73"/>
      <c r="WRK39" s="73"/>
      <c r="WRL39" s="73"/>
      <c r="WRM39" s="73"/>
      <c r="WRN39" s="73"/>
      <c r="WRO39" s="73"/>
      <c r="WRP39" s="73"/>
      <c r="WRQ39" s="73"/>
      <c r="WRR39" s="73"/>
      <c r="WRS39" s="73"/>
      <c r="WRT39" s="73"/>
      <c r="WRU39" s="73"/>
      <c r="WRV39" s="73"/>
      <c r="WRW39" s="73"/>
      <c r="WRX39" s="73"/>
      <c r="WRY39" s="73"/>
      <c r="WRZ39" s="73"/>
      <c r="WSA39" s="73"/>
      <c r="WSB39" s="73"/>
      <c r="WSC39" s="73"/>
      <c r="WSD39" s="73"/>
      <c r="WSE39" s="73"/>
      <c r="WSF39" s="73"/>
      <c r="WSG39" s="73"/>
      <c r="WSH39" s="73"/>
      <c r="WSI39" s="73"/>
      <c r="WSJ39" s="73"/>
      <c r="WSK39" s="73"/>
      <c r="WSL39" s="73"/>
      <c r="WSM39" s="73"/>
      <c r="WSN39" s="73"/>
      <c r="WSO39" s="73"/>
      <c r="WSP39" s="73"/>
      <c r="WSQ39" s="73"/>
      <c r="WSR39" s="73"/>
      <c r="WSS39" s="73"/>
      <c r="WST39" s="73"/>
      <c r="WSU39" s="73"/>
      <c r="WSV39" s="73"/>
      <c r="WSW39" s="73"/>
      <c r="WSX39" s="73"/>
      <c r="WSY39" s="73"/>
      <c r="WSZ39" s="73"/>
      <c r="WTA39" s="73"/>
      <c r="WTB39" s="73"/>
      <c r="WTC39" s="73"/>
      <c r="WTD39" s="73"/>
      <c r="WTE39" s="73"/>
      <c r="WTF39" s="73"/>
      <c r="WTG39" s="73"/>
      <c r="WTH39" s="73"/>
      <c r="WTI39" s="73"/>
      <c r="WTJ39" s="73"/>
      <c r="WTK39" s="73"/>
      <c r="WTL39" s="73"/>
      <c r="WTM39" s="73"/>
      <c r="WTN39" s="73"/>
      <c r="WTO39" s="73"/>
      <c r="WTP39" s="73"/>
      <c r="WTQ39" s="73"/>
      <c r="WTR39" s="73"/>
      <c r="WTS39" s="73"/>
      <c r="WTT39" s="73"/>
      <c r="WTU39" s="73"/>
      <c r="WTV39" s="73"/>
      <c r="WTW39" s="73"/>
      <c r="WTX39" s="73"/>
      <c r="WTY39" s="73"/>
      <c r="WTZ39" s="73"/>
      <c r="WUA39" s="73"/>
      <c r="WUB39" s="73"/>
      <c r="WUC39" s="73"/>
      <c r="WUD39" s="73"/>
      <c r="WUE39" s="73"/>
      <c r="WUF39" s="73"/>
      <c r="WUG39" s="73"/>
      <c r="WUH39" s="73"/>
      <c r="WUI39" s="73"/>
      <c r="WUJ39" s="73"/>
      <c r="WUK39" s="73"/>
      <c r="WUL39" s="73"/>
      <c r="WUM39" s="73"/>
      <c r="WUN39" s="73"/>
      <c r="WUO39" s="73"/>
      <c r="WUP39" s="73"/>
      <c r="WUQ39" s="73"/>
      <c r="WUR39" s="73"/>
      <c r="WUS39" s="73"/>
      <c r="WUT39" s="73"/>
      <c r="WUU39" s="73"/>
      <c r="WUV39" s="73"/>
      <c r="WUW39" s="73"/>
      <c r="WUX39" s="73"/>
      <c r="WUY39" s="73"/>
      <c r="WUZ39" s="73"/>
      <c r="WVA39" s="73"/>
      <c r="WVB39" s="73"/>
      <c r="WVC39" s="73"/>
      <c r="WVD39" s="73"/>
      <c r="WVE39" s="73"/>
      <c r="WVF39" s="73"/>
      <c r="WVG39" s="73"/>
      <c r="WVH39" s="73"/>
      <c r="WVI39" s="73"/>
      <c r="WVJ39" s="73"/>
      <c r="WVK39" s="73"/>
      <c r="WVL39" s="73"/>
      <c r="WVM39" s="73"/>
      <c r="WVN39" s="73"/>
      <c r="WVO39" s="73"/>
      <c r="WVP39" s="73"/>
      <c r="WVQ39" s="73"/>
      <c r="WVR39" s="73"/>
      <c r="WVS39" s="73"/>
      <c r="WVT39" s="73"/>
      <c r="WVU39" s="73"/>
      <c r="WVV39" s="73"/>
      <c r="WVW39" s="73"/>
      <c r="WVX39" s="73"/>
      <c r="WVY39" s="73"/>
      <c r="WVZ39" s="73"/>
      <c r="WWA39" s="73"/>
      <c r="WWB39" s="73"/>
      <c r="WWC39" s="73"/>
      <c r="WWD39" s="73"/>
      <c r="WWE39" s="73"/>
      <c r="WWF39" s="73"/>
      <c r="WWG39" s="73"/>
      <c r="WWH39" s="73"/>
      <c r="WWI39" s="73"/>
      <c r="WWJ39" s="73"/>
      <c r="WWK39" s="73"/>
      <c r="WWL39" s="73"/>
      <c r="WWM39" s="73"/>
      <c r="WWN39" s="73"/>
      <c r="WWO39" s="73"/>
      <c r="WWP39" s="73"/>
      <c r="WWQ39" s="73"/>
      <c r="WWR39" s="73"/>
      <c r="WWS39" s="73"/>
      <c r="WWT39" s="73"/>
      <c r="WWU39" s="73"/>
      <c r="WWV39" s="73"/>
      <c r="WWW39" s="73"/>
      <c r="WWX39" s="73"/>
      <c r="WWY39" s="73"/>
      <c r="WWZ39" s="73"/>
      <c r="WXA39" s="73"/>
      <c r="WXB39" s="73"/>
      <c r="WXC39" s="73"/>
      <c r="WXD39" s="73"/>
      <c r="WXE39" s="73"/>
      <c r="WXF39" s="73"/>
      <c r="WXG39" s="73"/>
      <c r="WXH39" s="73"/>
      <c r="WXI39" s="73"/>
      <c r="WXJ39" s="73"/>
      <c r="WXK39" s="73"/>
      <c r="WXL39" s="73"/>
      <c r="WXM39" s="73"/>
      <c r="WXN39" s="73"/>
      <c r="WXO39" s="73"/>
      <c r="WXP39" s="73"/>
      <c r="WXQ39" s="73"/>
      <c r="WXR39" s="73"/>
      <c r="WXS39" s="73"/>
      <c r="WXT39" s="73"/>
      <c r="WXU39" s="73"/>
      <c r="WXV39" s="73"/>
      <c r="WXW39" s="73"/>
      <c r="WXX39" s="73"/>
      <c r="WXY39" s="73"/>
      <c r="WXZ39" s="73"/>
      <c r="WYA39" s="73"/>
      <c r="WYB39" s="73"/>
      <c r="WYC39" s="73"/>
      <c r="WYD39" s="73"/>
      <c r="WYE39" s="73"/>
      <c r="WYF39" s="73"/>
      <c r="WYG39" s="73"/>
      <c r="WYH39" s="73"/>
      <c r="WYI39" s="73"/>
      <c r="WYJ39" s="73"/>
      <c r="WYK39" s="73"/>
      <c r="WYL39" s="73"/>
      <c r="WYM39" s="73"/>
      <c r="WYN39" s="73"/>
      <c r="WYO39" s="73"/>
      <c r="WYP39" s="73"/>
      <c r="WYQ39" s="73"/>
      <c r="WYR39" s="73"/>
      <c r="WYS39" s="73"/>
      <c r="WYT39" s="73"/>
      <c r="WYU39" s="73"/>
      <c r="WYV39" s="73"/>
      <c r="WYW39" s="73"/>
      <c r="WYX39" s="73"/>
      <c r="WYY39" s="73"/>
      <c r="WYZ39" s="73"/>
      <c r="WZA39" s="73"/>
      <c r="WZB39" s="73"/>
      <c r="WZC39" s="73"/>
      <c r="WZD39" s="73"/>
      <c r="WZE39" s="73"/>
      <c r="WZF39" s="73"/>
      <c r="WZG39" s="73"/>
      <c r="WZH39" s="73"/>
      <c r="WZI39" s="73"/>
      <c r="WZJ39" s="73"/>
      <c r="WZK39" s="73"/>
      <c r="WZL39" s="73"/>
      <c r="WZM39" s="73"/>
      <c r="WZN39" s="73"/>
      <c r="WZO39" s="73"/>
      <c r="WZP39" s="73"/>
      <c r="WZQ39" s="73"/>
      <c r="WZR39" s="73"/>
      <c r="WZS39" s="73"/>
      <c r="WZT39" s="73"/>
      <c r="WZU39" s="73"/>
      <c r="WZV39" s="73"/>
      <c r="WZW39" s="73"/>
      <c r="WZX39" s="73"/>
      <c r="WZY39" s="73"/>
      <c r="WZZ39" s="73"/>
      <c r="XAA39" s="73"/>
      <c r="XAB39" s="73"/>
      <c r="XAC39" s="73"/>
      <c r="XAD39" s="73"/>
      <c r="XAE39" s="73"/>
      <c r="XAF39" s="73"/>
      <c r="XAG39" s="73"/>
      <c r="XAH39" s="73"/>
      <c r="XAI39" s="73"/>
      <c r="XAJ39" s="73"/>
      <c r="XAK39" s="73"/>
      <c r="XAL39" s="73"/>
      <c r="XAM39" s="73"/>
      <c r="XAN39" s="73"/>
      <c r="XAO39" s="73"/>
      <c r="XAP39" s="73"/>
      <c r="XAQ39" s="73"/>
      <c r="XAR39" s="73"/>
      <c r="XAS39" s="73"/>
      <c r="XAT39" s="73"/>
      <c r="XAU39" s="73"/>
      <c r="XAV39" s="73"/>
      <c r="XAW39" s="73"/>
      <c r="XAX39" s="73"/>
      <c r="XAY39" s="73"/>
      <c r="XAZ39" s="73"/>
      <c r="XBA39" s="73"/>
      <c r="XBB39" s="73"/>
      <c r="XBC39" s="73"/>
      <c r="XBD39" s="73"/>
      <c r="XBE39" s="73"/>
      <c r="XBF39" s="73"/>
      <c r="XBG39" s="73"/>
      <c r="XBH39" s="73"/>
      <c r="XBI39" s="73"/>
      <c r="XBJ39" s="73"/>
      <c r="XBK39" s="73"/>
      <c r="XBL39" s="73"/>
      <c r="XBM39" s="73"/>
      <c r="XBN39" s="73"/>
      <c r="XBO39" s="73"/>
      <c r="XBP39" s="73"/>
      <c r="XBQ39" s="73"/>
      <c r="XBR39" s="73"/>
      <c r="XBS39" s="73"/>
      <c r="XBT39" s="73"/>
      <c r="XBU39" s="73"/>
      <c r="XBV39" s="73"/>
      <c r="XBW39" s="73"/>
      <c r="XBX39" s="73"/>
      <c r="XBY39" s="73"/>
      <c r="XBZ39" s="73"/>
      <c r="XCA39" s="73"/>
      <c r="XCB39" s="73"/>
      <c r="XCC39" s="73"/>
      <c r="XCD39" s="73"/>
      <c r="XCE39" s="73"/>
      <c r="XCF39" s="73"/>
      <c r="XCG39" s="73"/>
      <c r="XCH39" s="73"/>
      <c r="XCI39" s="73"/>
      <c r="XCJ39" s="73"/>
      <c r="XCK39" s="73"/>
      <c r="XCL39" s="73"/>
      <c r="XCM39" s="73"/>
      <c r="XCN39" s="73"/>
      <c r="XCO39" s="73"/>
      <c r="XCP39" s="73"/>
      <c r="XCQ39" s="73"/>
      <c r="XCR39" s="73"/>
      <c r="XCS39" s="73"/>
      <c r="XCT39" s="73"/>
      <c r="XCU39" s="73"/>
      <c r="XCV39" s="73"/>
      <c r="XCW39" s="73"/>
      <c r="XCX39" s="73"/>
      <c r="XCY39" s="73"/>
      <c r="XCZ39" s="73"/>
      <c r="XDA39" s="73"/>
      <c r="XDB39" s="73"/>
      <c r="XDC39" s="73"/>
      <c r="XDD39" s="73"/>
      <c r="XDE39" s="73"/>
      <c r="XDF39" s="73"/>
      <c r="XDG39" s="73"/>
      <c r="XDH39" s="73"/>
      <c r="XDI39" s="73"/>
      <c r="XDJ39" s="73"/>
      <c r="XDK39" s="73"/>
      <c r="XDL39" s="73"/>
      <c r="XDM39" s="73"/>
      <c r="XDN39" s="73"/>
      <c r="XDO39" s="73"/>
      <c r="XDP39" s="73"/>
      <c r="XDQ39" s="73"/>
      <c r="XDR39" s="73"/>
      <c r="XDS39" s="73"/>
      <c r="XDT39" s="73"/>
      <c r="XDU39" s="73"/>
      <c r="XDV39" s="73"/>
      <c r="XDW39" s="73"/>
      <c r="XDX39" s="73"/>
      <c r="XDY39" s="73"/>
      <c r="XDZ39" s="73"/>
      <c r="XEA39" s="73"/>
      <c r="XEB39" s="73"/>
      <c r="XEC39" s="73"/>
      <c r="XED39" s="73"/>
      <c r="XEE39" s="73"/>
      <c r="XEF39" s="73"/>
      <c r="XEG39" s="73"/>
      <c r="XEH39" s="73"/>
      <c r="XEI39" s="73"/>
      <c r="XEJ39" s="73"/>
      <c r="XEK39" s="73"/>
      <c r="XEL39" s="73"/>
      <c r="XEM39" s="73"/>
      <c r="XEN39" s="73"/>
      <c r="XEO39" s="73"/>
      <c r="XEP39" s="73"/>
      <c r="XEQ39" s="73"/>
      <c r="XER39" s="73"/>
      <c r="XES39" s="73"/>
      <c r="XET39" s="73"/>
      <c r="XEU39" s="73"/>
    </row>
    <row r="40" spans="1:16375" s="79" customFormat="1" ht="15.75" hidden="1" customHeight="1" x14ac:dyDescent="0.35">
      <c r="A40" s="78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7"/>
      <c r="O40" s="70"/>
      <c r="P40" s="70"/>
      <c r="Q40" s="70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4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  <c r="AMK40" s="73"/>
      <c r="AML40" s="73"/>
      <c r="AMM40" s="73"/>
      <c r="AMN40" s="73"/>
      <c r="AMO40" s="73"/>
      <c r="AMP40" s="73"/>
      <c r="AMQ40" s="73"/>
      <c r="AMR40" s="73"/>
      <c r="AMS40" s="73"/>
      <c r="AMT40" s="73"/>
      <c r="AMU40" s="73"/>
      <c r="AMV40" s="73"/>
      <c r="AMW40" s="73"/>
      <c r="AMX40" s="73"/>
      <c r="AMY40" s="73"/>
      <c r="AMZ40" s="73"/>
      <c r="ANA40" s="73"/>
      <c r="ANB40" s="73"/>
      <c r="ANC40" s="73"/>
      <c r="AND40" s="73"/>
      <c r="ANE40" s="73"/>
      <c r="ANF40" s="73"/>
      <c r="ANG40" s="73"/>
      <c r="ANH40" s="73"/>
      <c r="ANI40" s="73"/>
      <c r="ANJ40" s="73"/>
      <c r="ANK40" s="73"/>
      <c r="ANL40" s="73"/>
      <c r="ANM40" s="73"/>
      <c r="ANN40" s="73"/>
      <c r="ANO40" s="73"/>
      <c r="ANP40" s="73"/>
      <c r="ANQ40" s="73"/>
      <c r="ANR40" s="73"/>
      <c r="ANS40" s="73"/>
      <c r="ANT40" s="73"/>
      <c r="ANU40" s="73"/>
      <c r="ANV40" s="73"/>
      <c r="ANW40" s="73"/>
      <c r="ANX40" s="73"/>
      <c r="ANY40" s="73"/>
      <c r="ANZ40" s="73"/>
      <c r="AOA40" s="73"/>
      <c r="AOB40" s="73"/>
      <c r="AOC40" s="73"/>
      <c r="AOD40" s="73"/>
      <c r="AOE40" s="73"/>
      <c r="AOF40" s="73"/>
      <c r="AOG40" s="73"/>
      <c r="AOH40" s="73"/>
      <c r="AOI40" s="73"/>
      <c r="AOJ40" s="73"/>
      <c r="AOK40" s="73"/>
      <c r="AOL40" s="73"/>
      <c r="AOM40" s="73"/>
      <c r="AON40" s="73"/>
      <c r="AOO40" s="73"/>
      <c r="AOP40" s="73"/>
      <c r="AOQ40" s="73"/>
      <c r="AOR40" s="73"/>
      <c r="AOS40" s="73"/>
      <c r="AOT40" s="73"/>
      <c r="AOU40" s="73"/>
      <c r="AOV40" s="73"/>
      <c r="AOW40" s="73"/>
      <c r="AOX40" s="73"/>
      <c r="AOY40" s="73"/>
      <c r="AOZ40" s="73"/>
      <c r="APA40" s="73"/>
      <c r="APB40" s="73"/>
      <c r="APC40" s="73"/>
      <c r="APD40" s="73"/>
      <c r="APE40" s="73"/>
      <c r="APF40" s="73"/>
      <c r="APG40" s="73"/>
      <c r="APH40" s="73"/>
      <c r="API40" s="73"/>
      <c r="APJ40" s="73"/>
      <c r="APK40" s="73"/>
      <c r="APL40" s="73"/>
      <c r="APM40" s="73"/>
      <c r="APN40" s="73"/>
      <c r="APO40" s="73"/>
      <c r="APP40" s="73"/>
      <c r="APQ40" s="73"/>
      <c r="APR40" s="73"/>
      <c r="APS40" s="73"/>
      <c r="APT40" s="73"/>
      <c r="APU40" s="73"/>
      <c r="APV40" s="73"/>
      <c r="APW40" s="73"/>
      <c r="APX40" s="73"/>
      <c r="APY40" s="73"/>
      <c r="APZ40" s="73"/>
      <c r="AQA40" s="73"/>
      <c r="AQB40" s="73"/>
      <c r="AQC40" s="73"/>
      <c r="AQD40" s="73"/>
      <c r="AQE40" s="73"/>
      <c r="AQF40" s="73"/>
      <c r="AQG40" s="73"/>
      <c r="AQH40" s="73"/>
      <c r="AQI40" s="73"/>
      <c r="AQJ40" s="73"/>
      <c r="AQK40" s="73"/>
      <c r="AQL40" s="73"/>
      <c r="AQM40" s="73"/>
      <c r="AQN40" s="73"/>
      <c r="AQO40" s="73"/>
      <c r="AQP40" s="73"/>
      <c r="AQQ40" s="73"/>
      <c r="AQR40" s="73"/>
      <c r="AQS40" s="73"/>
      <c r="AQT40" s="73"/>
      <c r="AQU40" s="73"/>
      <c r="AQV40" s="73"/>
      <c r="AQW40" s="73"/>
      <c r="AQX40" s="73"/>
      <c r="AQY40" s="73"/>
      <c r="AQZ40" s="73"/>
      <c r="ARA40" s="73"/>
      <c r="ARB40" s="73"/>
      <c r="ARC40" s="73"/>
      <c r="ARD40" s="73"/>
      <c r="ARE40" s="73"/>
      <c r="ARF40" s="73"/>
      <c r="ARG40" s="73"/>
      <c r="ARH40" s="73"/>
      <c r="ARI40" s="73"/>
      <c r="ARJ40" s="73"/>
      <c r="ARK40" s="73"/>
      <c r="ARL40" s="73"/>
      <c r="ARM40" s="73"/>
      <c r="ARN40" s="73"/>
      <c r="ARO40" s="73"/>
      <c r="ARP40" s="73"/>
      <c r="ARQ40" s="73"/>
      <c r="ARR40" s="73"/>
      <c r="ARS40" s="73"/>
      <c r="ART40" s="73"/>
      <c r="ARU40" s="73"/>
      <c r="ARV40" s="73"/>
      <c r="ARW40" s="73"/>
      <c r="ARX40" s="73"/>
      <c r="ARY40" s="73"/>
      <c r="ARZ40" s="73"/>
      <c r="ASA40" s="73"/>
      <c r="ASB40" s="73"/>
      <c r="ASC40" s="73"/>
      <c r="ASD40" s="73"/>
      <c r="ASE40" s="73"/>
      <c r="ASF40" s="73"/>
      <c r="ASG40" s="73"/>
      <c r="ASH40" s="73"/>
      <c r="ASI40" s="73"/>
      <c r="ASJ40" s="73"/>
      <c r="ASK40" s="73"/>
      <c r="ASL40" s="73"/>
      <c r="ASM40" s="73"/>
      <c r="ASN40" s="73"/>
      <c r="ASO40" s="73"/>
      <c r="ASP40" s="73"/>
      <c r="ASQ40" s="73"/>
      <c r="ASR40" s="73"/>
      <c r="ASS40" s="73"/>
      <c r="AST40" s="73"/>
      <c r="ASU40" s="73"/>
      <c r="ASV40" s="73"/>
      <c r="ASW40" s="73"/>
      <c r="ASX40" s="73"/>
      <c r="ASY40" s="73"/>
      <c r="ASZ40" s="73"/>
      <c r="ATA40" s="73"/>
      <c r="ATB40" s="73"/>
      <c r="ATC40" s="73"/>
      <c r="ATD40" s="73"/>
      <c r="ATE40" s="73"/>
      <c r="ATF40" s="73"/>
      <c r="ATG40" s="73"/>
      <c r="ATH40" s="73"/>
      <c r="ATI40" s="73"/>
      <c r="ATJ40" s="73"/>
      <c r="ATK40" s="73"/>
      <c r="ATL40" s="73"/>
      <c r="ATM40" s="73"/>
      <c r="ATN40" s="73"/>
      <c r="ATO40" s="73"/>
      <c r="ATP40" s="73"/>
      <c r="ATQ40" s="73"/>
      <c r="ATR40" s="73"/>
      <c r="ATS40" s="73"/>
      <c r="ATT40" s="73"/>
      <c r="ATU40" s="73"/>
      <c r="ATV40" s="73"/>
      <c r="ATW40" s="73"/>
      <c r="ATX40" s="73"/>
      <c r="ATY40" s="73"/>
      <c r="ATZ40" s="73"/>
      <c r="AUA40" s="73"/>
      <c r="AUB40" s="73"/>
      <c r="AUC40" s="73"/>
      <c r="AUD40" s="73"/>
      <c r="AUE40" s="73"/>
      <c r="AUF40" s="73"/>
      <c r="AUG40" s="73"/>
      <c r="AUH40" s="73"/>
      <c r="AUI40" s="73"/>
      <c r="AUJ40" s="73"/>
      <c r="AUK40" s="73"/>
      <c r="AUL40" s="73"/>
      <c r="AUM40" s="73"/>
      <c r="AUN40" s="73"/>
      <c r="AUO40" s="73"/>
      <c r="AUP40" s="73"/>
      <c r="AUQ40" s="73"/>
      <c r="AUR40" s="73"/>
      <c r="AUS40" s="73"/>
      <c r="AUT40" s="73"/>
      <c r="AUU40" s="73"/>
      <c r="AUV40" s="73"/>
      <c r="AUW40" s="73"/>
      <c r="AUX40" s="73"/>
      <c r="AUY40" s="73"/>
      <c r="AUZ40" s="73"/>
      <c r="AVA40" s="73"/>
      <c r="AVB40" s="73"/>
      <c r="AVC40" s="73"/>
      <c r="AVD40" s="73"/>
      <c r="AVE40" s="73"/>
      <c r="AVF40" s="73"/>
      <c r="AVG40" s="73"/>
      <c r="AVH40" s="73"/>
      <c r="AVI40" s="73"/>
      <c r="AVJ40" s="73"/>
      <c r="AVK40" s="73"/>
      <c r="AVL40" s="73"/>
      <c r="AVM40" s="73"/>
      <c r="AVN40" s="73"/>
      <c r="AVO40" s="73"/>
      <c r="AVP40" s="73"/>
      <c r="AVQ40" s="73"/>
      <c r="AVR40" s="73"/>
      <c r="AVS40" s="73"/>
      <c r="AVT40" s="73"/>
      <c r="AVU40" s="73"/>
      <c r="AVV40" s="73"/>
      <c r="AVW40" s="73"/>
      <c r="AVX40" s="73"/>
      <c r="AVY40" s="73"/>
      <c r="AVZ40" s="73"/>
      <c r="AWA40" s="73"/>
      <c r="AWB40" s="73"/>
      <c r="AWC40" s="73"/>
      <c r="AWD40" s="73"/>
      <c r="AWE40" s="73"/>
      <c r="AWF40" s="73"/>
      <c r="AWG40" s="73"/>
      <c r="AWH40" s="73"/>
      <c r="AWI40" s="73"/>
      <c r="AWJ40" s="73"/>
      <c r="AWK40" s="73"/>
      <c r="AWL40" s="73"/>
      <c r="AWM40" s="73"/>
      <c r="AWN40" s="73"/>
      <c r="AWO40" s="73"/>
      <c r="AWP40" s="73"/>
      <c r="AWQ40" s="73"/>
      <c r="AWR40" s="73"/>
      <c r="AWS40" s="73"/>
      <c r="AWT40" s="73"/>
      <c r="AWU40" s="73"/>
      <c r="AWV40" s="73"/>
      <c r="AWW40" s="73"/>
      <c r="AWX40" s="73"/>
      <c r="AWY40" s="73"/>
      <c r="AWZ40" s="73"/>
      <c r="AXA40" s="73"/>
      <c r="AXB40" s="73"/>
      <c r="AXC40" s="73"/>
      <c r="AXD40" s="73"/>
      <c r="AXE40" s="73"/>
      <c r="AXF40" s="73"/>
      <c r="AXG40" s="73"/>
      <c r="AXH40" s="73"/>
      <c r="AXI40" s="73"/>
      <c r="AXJ40" s="73"/>
      <c r="AXK40" s="73"/>
      <c r="AXL40" s="73"/>
      <c r="AXM40" s="73"/>
      <c r="AXN40" s="73"/>
      <c r="AXO40" s="73"/>
      <c r="AXP40" s="73"/>
      <c r="AXQ40" s="73"/>
      <c r="AXR40" s="73"/>
      <c r="AXS40" s="73"/>
      <c r="AXT40" s="73"/>
      <c r="AXU40" s="73"/>
      <c r="AXV40" s="73"/>
      <c r="AXW40" s="73"/>
      <c r="AXX40" s="73"/>
      <c r="AXY40" s="73"/>
      <c r="AXZ40" s="73"/>
      <c r="AYA40" s="73"/>
      <c r="AYB40" s="73"/>
      <c r="AYC40" s="73"/>
      <c r="AYD40" s="73"/>
      <c r="AYE40" s="73"/>
      <c r="AYF40" s="73"/>
      <c r="AYG40" s="73"/>
      <c r="AYH40" s="73"/>
      <c r="AYI40" s="73"/>
      <c r="AYJ40" s="73"/>
      <c r="AYK40" s="73"/>
      <c r="AYL40" s="73"/>
      <c r="AYM40" s="73"/>
      <c r="AYN40" s="73"/>
      <c r="AYO40" s="73"/>
      <c r="AYP40" s="73"/>
      <c r="AYQ40" s="73"/>
      <c r="AYR40" s="73"/>
      <c r="AYS40" s="73"/>
      <c r="AYT40" s="73"/>
      <c r="AYU40" s="73"/>
      <c r="AYV40" s="73"/>
      <c r="AYW40" s="73"/>
      <c r="AYX40" s="73"/>
      <c r="AYY40" s="73"/>
      <c r="AYZ40" s="73"/>
      <c r="AZA40" s="73"/>
      <c r="AZB40" s="73"/>
      <c r="AZC40" s="73"/>
      <c r="AZD40" s="73"/>
      <c r="AZE40" s="73"/>
      <c r="AZF40" s="73"/>
      <c r="AZG40" s="73"/>
      <c r="AZH40" s="73"/>
      <c r="AZI40" s="73"/>
      <c r="AZJ40" s="73"/>
      <c r="AZK40" s="73"/>
      <c r="AZL40" s="73"/>
      <c r="AZM40" s="73"/>
      <c r="AZN40" s="73"/>
      <c r="AZO40" s="73"/>
      <c r="AZP40" s="73"/>
      <c r="AZQ40" s="73"/>
      <c r="AZR40" s="73"/>
      <c r="AZS40" s="73"/>
      <c r="AZT40" s="73"/>
      <c r="AZU40" s="73"/>
      <c r="AZV40" s="73"/>
      <c r="AZW40" s="73"/>
      <c r="AZX40" s="73"/>
      <c r="AZY40" s="73"/>
      <c r="AZZ40" s="73"/>
      <c r="BAA40" s="73"/>
      <c r="BAB40" s="73"/>
      <c r="BAC40" s="73"/>
      <c r="BAD40" s="73"/>
      <c r="BAE40" s="73"/>
      <c r="BAF40" s="73"/>
      <c r="BAG40" s="73"/>
      <c r="BAH40" s="73"/>
      <c r="BAI40" s="73"/>
      <c r="BAJ40" s="73"/>
      <c r="BAK40" s="73"/>
      <c r="BAL40" s="73"/>
      <c r="BAM40" s="73"/>
      <c r="BAN40" s="73"/>
      <c r="BAO40" s="73"/>
      <c r="BAP40" s="73"/>
      <c r="BAQ40" s="73"/>
      <c r="BAR40" s="73"/>
      <c r="BAS40" s="73"/>
      <c r="BAT40" s="73"/>
      <c r="BAU40" s="73"/>
      <c r="BAV40" s="73"/>
      <c r="BAW40" s="73"/>
      <c r="BAX40" s="73"/>
      <c r="BAY40" s="73"/>
      <c r="BAZ40" s="73"/>
      <c r="BBA40" s="73"/>
      <c r="BBB40" s="73"/>
      <c r="BBC40" s="73"/>
      <c r="BBD40" s="73"/>
      <c r="BBE40" s="73"/>
      <c r="BBF40" s="73"/>
      <c r="BBG40" s="73"/>
      <c r="BBH40" s="73"/>
      <c r="BBI40" s="73"/>
      <c r="BBJ40" s="73"/>
      <c r="BBK40" s="73"/>
      <c r="BBL40" s="73"/>
      <c r="BBM40" s="73"/>
      <c r="BBN40" s="73"/>
      <c r="BBO40" s="73"/>
      <c r="BBP40" s="73"/>
      <c r="BBQ40" s="73"/>
      <c r="BBR40" s="73"/>
      <c r="BBS40" s="73"/>
      <c r="BBT40" s="73"/>
      <c r="BBU40" s="73"/>
      <c r="BBV40" s="73"/>
      <c r="BBW40" s="73"/>
      <c r="BBX40" s="73"/>
      <c r="BBY40" s="73"/>
      <c r="BBZ40" s="73"/>
      <c r="BCA40" s="73"/>
      <c r="BCB40" s="73"/>
      <c r="BCC40" s="73"/>
      <c r="BCD40" s="73"/>
      <c r="BCE40" s="73"/>
      <c r="BCF40" s="73"/>
      <c r="BCG40" s="73"/>
      <c r="BCH40" s="73"/>
      <c r="BCI40" s="73"/>
      <c r="BCJ40" s="73"/>
      <c r="BCK40" s="73"/>
      <c r="BCL40" s="73"/>
      <c r="BCM40" s="73"/>
      <c r="BCN40" s="73"/>
      <c r="BCO40" s="73"/>
      <c r="BCP40" s="73"/>
      <c r="BCQ40" s="73"/>
      <c r="BCR40" s="73"/>
      <c r="BCS40" s="73"/>
      <c r="BCT40" s="73"/>
      <c r="BCU40" s="73"/>
      <c r="BCV40" s="73"/>
      <c r="BCW40" s="73"/>
      <c r="BCX40" s="73"/>
      <c r="BCY40" s="73"/>
      <c r="BCZ40" s="73"/>
      <c r="BDA40" s="73"/>
      <c r="BDB40" s="73"/>
      <c r="BDC40" s="73"/>
      <c r="BDD40" s="73"/>
      <c r="BDE40" s="73"/>
      <c r="BDF40" s="73"/>
      <c r="BDG40" s="73"/>
      <c r="BDH40" s="73"/>
      <c r="BDI40" s="73"/>
      <c r="BDJ40" s="73"/>
      <c r="BDK40" s="73"/>
      <c r="BDL40" s="73"/>
      <c r="BDM40" s="73"/>
      <c r="BDN40" s="73"/>
      <c r="BDO40" s="73"/>
      <c r="BDP40" s="73"/>
      <c r="BDQ40" s="73"/>
      <c r="BDR40" s="73"/>
      <c r="BDS40" s="73"/>
      <c r="BDT40" s="73"/>
      <c r="BDU40" s="73"/>
      <c r="BDV40" s="73"/>
      <c r="BDW40" s="73"/>
      <c r="BDX40" s="73"/>
      <c r="BDY40" s="73"/>
      <c r="BDZ40" s="73"/>
      <c r="BEA40" s="73"/>
      <c r="BEB40" s="73"/>
      <c r="BEC40" s="73"/>
      <c r="BED40" s="73"/>
      <c r="BEE40" s="73"/>
      <c r="BEF40" s="73"/>
      <c r="BEG40" s="73"/>
      <c r="BEH40" s="73"/>
      <c r="BEI40" s="73"/>
      <c r="BEJ40" s="73"/>
      <c r="BEK40" s="73"/>
      <c r="BEL40" s="73"/>
      <c r="BEM40" s="73"/>
      <c r="BEN40" s="73"/>
      <c r="BEO40" s="73"/>
      <c r="BEP40" s="73"/>
      <c r="BEQ40" s="73"/>
      <c r="BER40" s="73"/>
      <c r="BES40" s="73"/>
      <c r="BET40" s="73"/>
      <c r="BEU40" s="73"/>
      <c r="BEV40" s="73"/>
      <c r="BEW40" s="73"/>
      <c r="BEX40" s="73"/>
      <c r="BEY40" s="73"/>
      <c r="BEZ40" s="73"/>
      <c r="BFA40" s="73"/>
      <c r="BFB40" s="73"/>
      <c r="BFC40" s="73"/>
      <c r="BFD40" s="73"/>
      <c r="BFE40" s="73"/>
      <c r="BFF40" s="73"/>
      <c r="BFG40" s="73"/>
      <c r="BFH40" s="73"/>
      <c r="BFI40" s="73"/>
      <c r="BFJ40" s="73"/>
      <c r="BFK40" s="73"/>
      <c r="BFL40" s="73"/>
      <c r="BFM40" s="73"/>
      <c r="BFN40" s="73"/>
      <c r="BFO40" s="73"/>
      <c r="BFP40" s="73"/>
      <c r="BFQ40" s="73"/>
      <c r="BFR40" s="73"/>
      <c r="BFS40" s="73"/>
      <c r="BFT40" s="73"/>
      <c r="BFU40" s="73"/>
      <c r="BFV40" s="73"/>
      <c r="BFW40" s="73"/>
      <c r="BFX40" s="73"/>
      <c r="BFY40" s="73"/>
      <c r="BFZ40" s="73"/>
      <c r="BGA40" s="73"/>
      <c r="BGB40" s="73"/>
      <c r="BGC40" s="73"/>
      <c r="BGD40" s="73"/>
      <c r="BGE40" s="73"/>
      <c r="BGF40" s="73"/>
      <c r="BGG40" s="73"/>
      <c r="BGH40" s="73"/>
      <c r="BGI40" s="73"/>
      <c r="BGJ40" s="73"/>
      <c r="BGK40" s="73"/>
      <c r="BGL40" s="73"/>
      <c r="BGM40" s="73"/>
      <c r="BGN40" s="73"/>
      <c r="BGO40" s="73"/>
      <c r="BGP40" s="73"/>
      <c r="BGQ40" s="73"/>
      <c r="BGR40" s="73"/>
      <c r="BGS40" s="73"/>
      <c r="BGT40" s="73"/>
      <c r="BGU40" s="73"/>
      <c r="BGV40" s="73"/>
      <c r="BGW40" s="73"/>
      <c r="BGX40" s="73"/>
      <c r="BGY40" s="73"/>
      <c r="BGZ40" s="73"/>
      <c r="BHA40" s="73"/>
      <c r="BHB40" s="73"/>
      <c r="BHC40" s="73"/>
      <c r="BHD40" s="73"/>
      <c r="BHE40" s="73"/>
      <c r="BHF40" s="73"/>
      <c r="BHG40" s="73"/>
      <c r="BHH40" s="73"/>
      <c r="BHI40" s="73"/>
      <c r="BHJ40" s="73"/>
      <c r="BHK40" s="73"/>
      <c r="BHL40" s="73"/>
      <c r="BHM40" s="73"/>
      <c r="BHN40" s="73"/>
      <c r="BHO40" s="73"/>
      <c r="BHP40" s="73"/>
      <c r="BHQ40" s="73"/>
      <c r="BHR40" s="73"/>
      <c r="BHS40" s="73"/>
      <c r="BHT40" s="73"/>
      <c r="BHU40" s="73"/>
      <c r="BHV40" s="73"/>
      <c r="BHW40" s="73"/>
      <c r="BHX40" s="73"/>
      <c r="BHY40" s="73"/>
      <c r="BHZ40" s="73"/>
      <c r="BIA40" s="73"/>
      <c r="BIB40" s="73"/>
      <c r="BIC40" s="73"/>
      <c r="BID40" s="73"/>
      <c r="BIE40" s="73"/>
      <c r="BIF40" s="73"/>
      <c r="BIG40" s="73"/>
      <c r="BIH40" s="73"/>
      <c r="BII40" s="73"/>
      <c r="BIJ40" s="73"/>
      <c r="BIK40" s="73"/>
      <c r="BIL40" s="73"/>
      <c r="BIM40" s="73"/>
      <c r="BIN40" s="73"/>
      <c r="BIO40" s="73"/>
      <c r="BIP40" s="73"/>
      <c r="BIQ40" s="73"/>
      <c r="BIR40" s="73"/>
      <c r="BIS40" s="73"/>
      <c r="BIT40" s="73"/>
      <c r="BIU40" s="73"/>
      <c r="BIV40" s="73"/>
      <c r="BIW40" s="73"/>
      <c r="BIX40" s="73"/>
      <c r="BIY40" s="73"/>
      <c r="BIZ40" s="73"/>
      <c r="BJA40" s="73"/>
      <c r="BJB40" s="73"/>
      <c r="BJC40" s="73"/>
      <c r="BJD40" s="73"/>
      <c r="BJE40" s="73"/>
      <c r="BJF40" s="73"/>
      <c r="BJG40" s="73"/>
      <c r="BJH40" s="73"/>
      <c r="BJI40" s="73"/>
      <c r="BJJ40" s="73"/>
      <c r="BJK40" s="73"/>
      <c r="BJL40" s="73"/>
      <c r="BJM40" s="73"/>
      <c r="BJN40" s="73"/>
      <c r="BJO40" s="73"/>
      <c r="BJP40" s="73"/>
      <c r="BJQ40" s="73"/>
      <c r="BJR40" s="73"/>
      <c r="BJS40" s="73"/>
      <c r="BJT40" s="73"/>
      <c r="BJU40" s="73"/>
      <c r="BJV40" s="73"/>
      <c r="BJW40" s="73"/>
      <c r="BJX40" s="73"/>
      <c r="BJY40" s="73"/>
      <c r="BJZ40" s="73"/>
      <c r="BKA40" s="73"/>
      <c r="BKB40" s="73"/>
      <c r="BKC40" s="73"/>
      <c r="BKD40" s="73"/>
      <c r="BKE40" s="73"/>
      <c r="BKF40" s="73"/>
      <c r="BKG40" s="73"/>
      <c r="BKH40" s="73"/>
      <c r="BKI40" s="73"/>
      <c r="BKJ40" s="73"/>
      <c r="BKK40" s="73"/>
      <c r="BKL40" s="73"/>
      <c r="BKM40" s="73"/>
      <c r="BKN40" s="73"/>
      <c r="BKO40" s="73"/>
      <c r="BKP40" s="73"/>
      <c r="BKQ40" s="73"/>
      <c r="BKR40" s="73"/>
      <c r="BKS40" s="73"/>
      <c r="BKT40" s="73"/>
      <c r="BKU40" s="73"/>
      <c r="BKV40" s="73"/>
      <c r="BKW40" s="73"/>
      <c r="BKX40" s="73"/>
      <c r="BKY40" s="73"/>
      <c r="BKZ40" s="73"/>
      <c r="BLA40" s="73"/>
      <c r="BLB40" s="73"/>
      <c r="BLC40" s="73"/>
      <c r="BLD40" s="73"/>
      <c r="BLE40" s="73"/>
      <c r="BLF40" s="73"/>
      <c r="BLG40" s="73"/>
      <c r="BLH40" s="73"/>
      <c r="BLI40" s="73"/>
      <c r="BLJ40" s="73"/>
      <c r="BLK40" s="73"/>
      <c r="BLL40" s="73"/>
      <c r="BLM40" s="73"/>
      <c r="BLN40" s="73"/>
      <c r="BLO40" s="73"/>
      <c r="BLP40" s="73"/>
      <c r="BLQ40" s="73"/>
      <c r="BLR40" s="73"/>
      <c r="BLS40" s="73"/>
      <c r="BLT40" s="73"/>
      <c r="BLU40" s="73"/>
      <c r="BLV40" s="73"/>
      <c r="BLW40" s="73"/>
      <c r="BLX40" s="73"/>
      <c r="BLY40" s="73"/>
      <c r="BLZ40" s="73"/>
      <c r="BMA40" s="73"/>
      <c r="BMB40" s="73"/>
      <c r="BMC40" s="73"/>
      <c r="BMD40" s="73"/>
      <c r="BME40" s="73"/>
      <c r="BMF40" s="73"/>
      <c r="BMG40" s="73"/>
      <c r="BMH40" s="73"/>
      <c r="BMI40" s="73"/>
      <c r="BMJ40" s="73"/>
      <c r="BMK40" s="73"/>
      <c r="BML40" s="73"/>
      <c r="BMM40" s="73"/>
      <c r="BMN40" s="73"/>
      <c r="BMO40" s="73"/>
      <c r="BMP40" s="73"/>
      <c r="BMQ40" s="73"/>
      <c r="BMR40" s="73"/>
      <c r="BMS40" s="73"/>
      <c r="BMT40" s="73"/>
      <c r="BMU40" s="73"/>
      <c r="BMV40" s="73"/>
      <c r="BMW40" s="73"/>
      <c r="BMX40" s="73"/>
      <c r="BMY40" s="73"/>
      <c r="BMZ40" s="73"/>
      <c r="BNA40" s="73"/>
      <c r="BNB40" s="73"/>
      <c r="BNC40" s="73"/>
      <c r="BND40" s="73"/>
      <c r="BNE40" s="73"/>
      <c r="BNF40" s="73"/>
      <c r="BNG40" s="73"/>
      <c r="BNH40" s="73"/>
      <c r="BNI40" s="73"/>
      <c r="BNJ40" s="73"/>
      <c r="BNK40" s="73"/>
      <c r="BNL40" s="73"/>
      <c r="BNM40" s="73"/>
      <c r="BNN40" s="73"/>
      <c r="BNO40" s="73"/>
      <c r="BNP40" s="73"/>
      <c r="BNQ40" s="73"/>
      <c r="BNR40" s="73"/>
      <c r="BNS40" s="73"/>
      <c r="BNT40" s="73"/>
      <c r="BNU40" s="73"/>
      <c r="BNV40" s="73"/>
      <c r="BNW40" s="73"/>
      <c r="BNX40" s="73"/>
      <c r="BNY40" s="73"/>
      <c r="BNZ40" s="73"/>
      <c r="BOA40" s="73"/>
      <c r="BOB40" s="73"/>
      <c r="BOC40" s="73"/>
      <c r="BOD40" s="73"/>
      <c r="BOE40" s="73"/>
      <c r="BOF40" s="73"/>
      <c r="BOG40" s="73"/>
      <c r="BOH40" s="73"/>
      <c r="BOI40" s="73"/>
      <c r="BOJ40" s="73"/>
      <c r="BOK40" s="73"/>
      <c r="BOL40" s="73"/>
      <c r="BOM40" s="73"/>
      <c r="BON40" s="73"/>
      <c r="BOO40" s="73"/>
      <c r="BOP40" s="73"/>
      <c r="BOQ40" s="73"/>
      <c r="BOR40" s="73"/>
      <c r="BOS40" s="73"/>
      <c r="BOT40" s="73"/>
      <c r="BOU40" s="73"/>
      <c r="BOV40" s="73"/>
      <c r="BOW40" s="73"/>
      <c r="BOX40" s="73"/>
      <c r="BOY40" s="73"/>
      <c r="BOZ40" s="73"/>
      <c r="BPA40" s="73"/>
      <c r="BPB40" s="73"/>
      <c r="BPC40" s="73"/>
      <c r="BPD40" s="73"/>
      <c r="BPE40" s="73"/>
      <c r="BPF40" s="73"/>
      <c r="BPG40" s="73"/>
      <c r="BPH40" s="73"/>
      <c r="BPI40" s="73"/>
      <c r="BPJ40" s="73"/>
      <c r="BPK40" s="73"/>
      <c r="BPL40" s="73"/>
      <c r="BPM40" s="73"/>
      <c r="BPN40" s="73"/>
      <c r="BPO40" s="73"/>
      <c r="BPP40" s="73"/>
      <c r="BPQ40" s="73"/>
      <c r="BPR40" s="73"/>
      <c r="BPS40" s="73"/>
      <c r="BPT40" s="73"/>
      <c r="BPU40" s="73"/>
      <c r="BPV40" s="73"/>
      <c r="BPW40" s="73"/>
      <c r="BPX40" s="73"/>
      <c r="BPY40" s="73"/>
      <c r="BPZ40" s="73"/>
      <c r="BQA40" s="73"/>
      <c r="BQB40" s="73"/>
      <c r="BQC40" s="73"/>
      <c r="BQD40" s="73"/>
      <c r="BQE40" s="73"/>
      <c r="BQF40" s="73"/>
      <c r="BQG40" s="73"/>
      <c r="BQH40" s="73"/>
      <c r="BQI40" s="73"/>
      <c r="BQJ40" s="73"/>
      <c r="BQK40" s="73"/>
      <c r="BQL40" s="73"/>
      <c r="BQM40" s="73"/>
      <c r="BQN40" s="73"/>
      <c r="BQO40" s="73"/>
      <c r="BQP40" s="73"/>
      <c r="BQQ40" s="73"/>
      <c r="BQR40" s="73"/>
      <c r="BQS40" s="73"/>
      <c r="BQT40" s="73"/>
      <c r="BQU40" s="73"/>
      <c r="BQV40" s="73"/>
      <c r="BQW40" s="73"/>
      <c r="BQX40" s="73"/>
      <c r="BQY40" s="73"/>
      <c r="BQZ40" s="73"/>
      <c r="BRA40" s="73"/>
      <c r="BRB40" s="73"/>
      <c r="BRC40" s="73"/>
      <c r="BRD40" s="73"/>
      <c r="BRE40" s="73"/>
      <c r="BRF40" s="73"/>
      <c r="BRG40" s="73"/>
      <c r="BRH40" s="73"/>
      <c r="BRI40" s="73"/>
      <c r="BRJ40" s="73"/>
      <c r="BRK40" s="73"/>
      <c r="BRL40" s="73"/>
      <c r="BRM40" s="73"/>
      <c r="BRN40" s="73"/>
      <c r="BRO40" s="73"/>
      <c r="BRP40" s="73"/>
      <c r="BRQ40" s="73"/>
      <c r="BRR40" s="73"/>
      <c r="BRS40" s="73"/>
      <c r="BRT40" s="73"/>
      <c r="BRU40" s="73"/>
      <c r="BRV40" s="73"/>
      <c r="BRW40" s="73"/>
      <c r="BRX40" s="73"/>
      <c r="BRY40" s="73"/>
      <c r="BRZ40" s="73"/>
      <c r="BSA40" s="73"/>
      <c r="BSB40" s="73"/>
      <c r="BSC40" s="73"/>
      <c r="BSD40" s="73"/>
      <c r="BSE40" s="73"/>
      <c r="BSF40" s="73"/>
      <c r="BSG40" s="73"/>
      <c r="BSH40" s="73"/>
      <c r="BSI40" s="73"/>
      <c r="BSJ40" s="73"/>
      <c r="BSK40" s="73"/>
      <c r="BSL40" s="73"/>
      <c r="BSM40" s="73"/>
      <c r="BSN40" s="73"/>
      <c r="BSO40" s="73"/>
      <c r="BSP40" s="73"/>
      <c r="BSQ40" s="73"/>
      <c r="BSR40" s="73"/>
      <c r="BSS40" s="73"/>
      <c r="BST40" s="73"/>
      <c r="BSU40" s="73"/>
      <c r="BSV40" s="73"/>
      <c r="BSW40" s="73"/>
      <c r="BSX40" s="73"/>
      <c r="BSY40" s="73"/>
      <c r="BSZ40" s="73"/>
      <c r="BTA40" s="73"/>
      <c r="BTB40" s="73"/>
      <c r="BTC40" s="73"/>
      <c r="BTD40" s="73"/>
      <c r="BTE40" s="73"/>
      <c r="BTF40" s="73"/>
      <c r="BTG40" s="73"/>
      <c r="BTH40" s="73"/>
      <c r="BTI40" s="73"/>
      <c r="BTJ40" s="73"/>
      <c r="BTK40" s="73"/>
      <c r="BTL40" s="73"/>
      <c r="BTM40" s="73"/>
      <c r="BTN40" s="73"/>
      <c r="BTO40" s="73"/>
      <c r="BTP40" s="73"/>
      <c r="BTQ40" s="73"/>
      <c r="BTR40" s="73"/>
      <c r="BTS40" s="73"/>
      <c r="BTT40" s="73"/>
      <c r="BTU40" s="73"/>
      <c r="BTV40" s="73"/>
      <c r="BTW40" s="73"/>
      <c r="BTX40" s="73"/>
      <c r="BTY40" s="73"/>
      <c r="BTZ40" s="73"/>
      <c r="BUA40" s="73"/>
      <c r="BUB40" s="73"/>
      <c r="BUC40" s="73"/>
      <c r="BUD40" s="73"/>
      <c r="BUE40" s="73"/>
      <c r="BUF40" s="73"/>
      <c r="BUG40" s="73"/>
      <c r="BUH40" s="73"/>
      <c r="BUI40" s="73"/>
      <c r="BUJ40" s="73"/>
      <c r="BUK40" s="73"/>
      <c r="BUL40" s="73"/>
      <c r="BUM40" s="73"/>
      <c r="BUN40" s="73"/>
      <c r="BUO40" s="73"/>
      <c r="BUP40" s="73"/>
      <c r="BUQ40" s="73"/>
      <c r="BUR40" s="73"/>
      <c r="BUS40" s="73"/>
      <c r="BUT40" s="73"/>
      <c r="BUU40" s="73"/>
      <c r="BUV40" s="73"/>
      <c r="BUW40" s="73"/>
      <c r="BUX40" s="73"/>
      <c r="BUY40" s="73"/>
      <c r="BUZ40" s="73"/>
      <c r="BVA40" s="73"/>
      <c r="BVB40" s="73"/>
      <c r="BVC40" s="73"/>
      <c r="BVD40" s="73"/>
      <c r="BVE40" s="73"/>
      <c r="BVF40" s="73"/>
      <c r="BVG40" s="73"/>
      <c r="BVH40" s="73"/>
      <c r="BVI40" s="73"/>
      <c r="BVJ40" s="73"/>
      <c r="BVK40" s="73"/>
      <c r="BVL40" s="73"/>
      <c r="BVM40" s="73"/>
      <c r="BVN40" s="73"/>
      <c r="BVO40" s="73"/>
      <c r="BVP40" s="73"/>
      <c r="BVQ40" s="73"/>
      <c r="BVR40" s="73"/>
      <c r="BVS40" s="73"/>
      <c r="BVT40" s="73"/>
      <c r="BVU40" s="73"/>
      <c r="BVV40" s="73"/>
      <c r="BVW40" s="73"/>
      <c r="BVX40" s="73"/>
      <c r="BVY40" s="73"/>
      <c r="BVZ40" s="73"/>
      <c r="BWA40" s="73"/>
      <c r="BWB40" s="73"/>
      <c r="BWC40" s="73"/>
      <c r="BWD40" s="73"/>
      <c r="BWE40" s="73"/>
      <c r="BWF40" s="73"/>
      <c r="BWG40" s="73"/>
      <c r="BWH40" s="73"/>
      <c r="BWI40" s="73"/>
      <c r="BWJ40" s="73"/>
      <c r="BWK40" s="73"/>
      <c r="BWL40" s="73"/>
      <c r="BWM40" s="73"/>
      <c r="BWN40" s="73"/>
      <c r="BWO40" s="73"/>
      <c r="BWP40" s="73"/>
      <c r="BWQ40" s="73"/>
      <c r="BWR40" s="73"/>
      <c r="BWS40" s="73"/>
      <c r="BWT40" s="73"/>
      <c r="BWU40" s="73"/>
      <c r="BWV40" s="73"/>
      <c r="BWW40" s="73"/>
      <c r="BWX40" s="73"/>
      <c r="BWY40" s="73"/>
      <c r="BWZ40" s="73"/>
      <c r="BXA40" s="73"/>
      <c r="BXB40" s="73"/>
      <c r="BXC40" s="73"/>
      <c r="BXD40" s="73"/>
      <c r="BXE40" s="73"/>
      <c r="BXF40" s="73"/>
      <c r="BXG40" s="73"/>
      <c r="BXH40" s="73"/>
      <c r="BXI40" s="73"/>
      <c r="BXJ40" s="73"/>
      <c r="BXK40" s="73"/>
      <c r="BXL40" s="73"/>
      <c r="BXM40" s="73"/>
      <c r="BXN40" s="73"/>
      <c r="BXO40" s="73"/>
      <c r="BXP40" s="73"/>
      <c r="BXQ40" s="73"/>
      <c r="BXR40" s="73"/>
      <c r="BXS40" s="73"/>
      <c r="BXT40" s="73"/>
      <c r="BXU40" s="73"/>
      <c r="BXV40" s="73"/>
      <c r="BXW40" s="73"/>
      <c r="BXX40" s="73"/>
      <c r="BXY40" s="73"/>
      <c r="BXZ40" s="73"/>
      <c r="BYA40" s="73"/>
      <c r="BYB40" s="73"/>
      <c r="BYC40" s="73"/>
      <c r="BYD40" s="73"/>
      <c r="BYE40" s="73"/>
      <c r="BYF40" s="73"/>
      <c r="BYG40" s="73"/>
      <c r="BYH40" s="73"/>
      <c r="BYI40" s="73"/>
      <c r="BYJ40" s="73"/>
      <c r="BYK40" s="73"/>
      <c r="BYL40" s="73"/>
      <c r="BYM40" s="73"/>
      <c r="BYN40" s="73"/>
      <c r="BYO40" s="73"/>
      <c r="BYP40" s="73"/>
      <c r="BYQ40" s="73"/>
      <c r="BYR40" s="73"/>
      <c r="BYS40" s="73"/>
      <c r="BYT40" s="73"/>
      <c r="BYU40" s="73"/>
      <c r="BYV40" s="73"/>
      <c r="BYW40" s="73"/>
      <c r="BYX40" s="73"/>
      <c r="BYY40" s="73"/>
      <c r="BYZ40" s="73"/>
      <c r="BZA40" s="73"/>
      <c r="BZB40" s="73"/>
      <c r="BZC40" s="73"/>
      <c r="BZD40" s="73"/>
      <c r="BZE40" s="73"/>
      <c r="BZF40" s="73"/>
      <c r="BZG40" s="73"/>
      <c r="BZH40" s="73"/>
      <c r="BZI40" s="73"/>
      <c r="BZJ40" s="73"/>
      <c r="BZK40" s="73"/>
      <c r="BZL40" s="73"/>
      <c r="BZM40" s="73"/>
      <c r="BZN40" s="73"/>
      <c r="BZO40" s="73"/>
      <c r="BZP40" s="73"/>
      <c r="BZQ40" s="73"/>
      <c r="BZR40" s="73"/>
      <c r="BZS40" s="73"/>
      <c r="BZT40" s="73"/>
      <c r="BZU40" s="73"/>
      <c r="BZV40" s="73"/>
      <c r="BZW40" s="73"/>
      <c r="BZX40" s="73"/>
      <c r="BZY40" s="73"/>
      <c r="BZZ40" s="73"/>
      <c r="CAA40" s="73"/>
      <c r="CAB40" s="73"/>
      <c r="CAC40" s="73"/>
      <c r="CAD40" s="73"/>
      <c r="CAE40" s="73"/>
      <c r="CAF40" s="73"/>
      <c r="CAG40" s="73"/>
      <c r="CAH40" s="73"/>
      <c r="CAI40" s="73"/>
      <c r="CAJ40" s="73"/>
      <c r="CAK40" s="73"/>
      <c r="CAL40" s="73"/>
      <c r="CAM40" s="73"/>
      <c r="CAN40" s="73"/>
      <c r="CAO40" s="73"/>
      <c r="CAP40" s="73"/>
      <c r="CAQ40" s="73"/>
      <c r="CAR40" s="73"/>
      <c r="CAS40" s="73"/>
      <c r="CAT40" s="73"/>
      <c r="CAU40" s="73"/>
      <c r="CAV40" s="73"/>
      <c r="CAW40" s="73"/>
      <c r="CAX40" s="73"/>
      <c r="CAY40" s="73"/>
      <c r="CAZ40" s="73"/>
      <c r="CBA40" s="73"/>
      <c r="CBB40" s="73"/>
      <c r="CBC40" s="73"/>
      <c r="CBD40" s="73"/>
      <c r="CBE40" s="73"/>
      <c r="CBF40" s="73"/>
      <c r="CBG40" s="73"/>
      <c r="CBH40" s="73"/>
      <c r="CBI40" s="73"/>
      <c r="CBJ40" s="73"/>
      <c r="CBK40" s="73"/>
      <c r="CBL40" s="73"/>
      <c r="CBM40" s="73"/>
      <c r="CBN40" s="73"/>
      <c r="CBO40" s="73"/>
      <c r="CBP40" s="73"/>
      <c r="CBQ40" s="73"/>
      <c r="CBR40" s="73"/>
      <c r="CBS40" s="73"/>
      <c r="CBT40" s="73"/>
      <c r="CBU40" s="73"/>
      <c r="CBV40" s="73"/>
      <c r="CBW40" s="73"/>
      <c r="CBX40" s="73"/>
      <c r="CBY40" s="73"/>
      <c r="CBZ40" s="73"/>
      <c r="CCA40" s="73"/>
      <c r="CCB40" s="73"/>
      <c r="CCC40" s="73"/>
      <c r="CCD40" s="73"/>
      <c r="CCE40" s="73"/>
      <c r="CCF40" s="73"/>
      <c r="CCG40" s="73"/>
      <c r="CCH40" s="73"/>
      <c r="CCI40" s="73"/>
      <c r="CCJ40" s="73"/>
      <c r="CCK40" s="73"/>
      <c r="CCL40" s="73"/>
      <c r="CCM40" s="73"/>
      <c r="CCN40" s="73"/>
      <c r="CCO40" s="73"/>
      <c r="CCP40" s="73"/>
      <c r="CCQ40" s="73"/>
      <c r="CCR40" s="73"/>
      <c r="CCS40" s="73"/>
      <c r="CCT40" s="73"/>
      <c r="CCU40" s="73"/>
      <c r="CCV40" s="73"/>
      <c r="CCW40" s="73"/>
      <c r="CCX40" s="73"/>
      <c r="CCY40" s="73"/>
      <c r="CCZ40" s="73"/>
      <c r="CDA40" s="73"/>
      <c r="CDB40" s="73"/>
      <c r="CDC40" s="73"/>
      <c r="CDD40" s="73"/>
      <c r="CDE40" s="73"/>
      <c r="CDF40" s="73"/>
      <c r="CDG40" s="73"/>
      <c r="CDH40" s="73"/>
      <c r="CDI40" s="73"/>
      <c r="CDJ40" s="73"/>
      <c r="CDK40" s="73"/>
      <c r="CDL40" s="73"/>
      <c r="CDM40" s="73"/>
      <c r="CDN40" s="73"/>
      <c r="CDO40" s="73"/>
      <c r="CDP40" s="73"/>
      <c r="CDQ40" s="73"/>
      <c r="CDR40" s="73"/>
      <c r="CDS40" s="73"/>
      <c r="CDT40" s="73"/>
      <c r="CDU40" s="73"/>
      <c r="CDV40" s="73"/>
      <c r="CDW40" s="73"/>
      <c r="CDX40" s="73"/>
      <c r="CDY40" s="73"/>
      <c r="CDZ40" s="73"/>
      <c r="CEA40" s="73"/>
      <c r="CEB40" s="73"/>
      <c r="CEC40" s="73"/>
      <c r="CED40" s="73"/>
      <c r="CEE40" s="73"/>
      <c r="CEF40" s="73"/>
      <c r="CEG40" s="73"/>
      <c r="CEH40" s="73"/>
      <c r="CEI40" s="73"/>
      <c r="CEJ40" s="73"/>
      <c r="CEK40" s="73"/>
      <c r="CEL40" s="73"/>
      <c r="CEM40" s="73"/>
      <c r="CEN40" s="73"/>
      <c r="CEO40" s="73"/>
      <c r="CEP40" s="73"/>
      <c r="CEQ40" s="73"/>
      <c r="CER40" s="73"/>
      <c r="CES40" s="73"/>
      <c r="CET40" s="73"/>
      <c r="CEU40" s="73"/>
      <c r="CEV40" s="73"/>
      <c r="CEW40" s="73"/>
      <c r="CEX40" s="73"/>
      <c r="CEY40" s="73"/>
      <c r="CEZ40" s="73"/>
      <c r="CFA40" s="73"/>
      <c r="CFB40" s="73"/>
      <c r="CFC40" s="73"/>
      <c r="CFD40" s="73"/>
      <c r="CFE40" s="73"/>
      <c r="CFF40" s="73"/>
      <c r="CFG40" s="73"/>
      <c r="CFH40" s="73"/>
      <c r="CFI40" s="73"/>
      <c r="CFJ40" s="73"/>
      <c r="CFK40" s="73"/>
      <c r="CFL40" s="73"/>
      <c r="CFM40" s="73"/>
      <c r="CFN40" s="73"/>
      <c r="CFO40" s="73"/>
      <c r="CFP40" s="73"/>
      <c r="CFQ40" s="73"/>
      <c r="CFR40" s="73"/>
      <c r="CFS40" s="73"/>
      <c r="CFT40" s="73"/>
      <c r="CFU40" s="73"/>
      <c r="CFV40" s="73"/>
      <c r="CFW40" s="73"/>
      <c r="CFX40" s="73"/>
      <c r="CFY40" s="73"/>
      <c r="CFZ40" s="73"/>
      <c r="CGA40" s="73"/>
      <c r="CGB40" s="73"/>
      <c r="CGC40" s="73"/>
      <c r="CGD40" s="73"/>
      <c r="CGE40" s="73"/>
      <c r="CGF40" s="73"/>
      <c r="CGG40" s="73"/>
      <c r="CGH40" s="73"/>
      <c r="CGI40" s="73"/>
      <c r="CGJ40" s="73"/>
      <c r="CGK40" s="73"/>
      <c r="CGL40" s="73"/>
      <c r="CGM40" s="73"/>
      <c r="CGN40" s="73"/>
      <c r="CGO40" s="73"/>
      <c r="CGP40" s="73"/>
      <c r="CGQ40" s="73"/>
      <c r="CGR40" s="73"/>
      <c r="CGS40" s="73"/>
      <c r="CGT40" s="73"/>
      <c r="CGU40" s="73"/>
      <c r="CGV40" s="73"/>
      <c r="CGW40" s="73"/>
      <c r="CGX40" s="73"/>
      <c r="CGY40" s="73"/>
      <c r="CGZ40" s="73"/>
      <c r="CHA40" s="73"/>
      <c r="CHB40" s="73"/>
      <c r="CHC40" s="73"/>
      <c r="CHD40" s="73"/>
      <c r="CHE40" s="73"/>
      <c r="CHF40" s="73"/>
      <c r="CHG40" s="73"/>
      <c r="CHH40" s="73"/>
      <c r="CHI40" s="73"/>
      <c r="CHJ40" s="73"/>
      <c r="CHK40" s="73"/>
      <c r="CHL40" s="73"/>
      <c r="CHM40" s="73"/>
      <c r="CHN40" s="73"/>
      <c r="CHO40" s="73"/>
      <c r="CHP40" s="73"/>
      <c r="CHQ40" s="73"/>
      <c r="CHR40" s="73"/>
      <c r="CHS40" s="73"/>
      <c r="CHT40" s="73"/>
      <c r="CHU40" s="73"/>
      <c r="CHV40" s="73"/>
      <c r="CHW40" s="73"/>
      <c r="CHX40" s="73"/>
      <c r="CHY40" s="73"/>
      <c r="CHZ40" s="73"/>
      <c r="CIA40" s="73"/>
      <c r="CIB40" s="73"/>
      <c r="CIC40" s="73"/>
      <c r="CID40" s="73"/>
      <c r="CIE40" s="73"/>
      <c r="CIF40" s="73"/>
      <c r="CIG40" s="73"/>
      <c r="CIH40" s="73"/>
      <c r="CII40" s="73"/>
      <c r="CIJ40" s="73"/>
      <c r="CIK40" s="73"/>
      <c r="CIL40" s="73"/>
      <c r="CIM40" s="73"/>
      <c r="CIN40" s="73"/>
      <c r="CIO40" s="73"/>
      <c r="CIP40" s="73"/>
      <c r="CIQ40" s="73"/>
      <c r="CIR40" s="73"/>
      <c r="CIS40" s="73"/>
      <c r="CIT40" s="73"/>
      <c r="CIU40" s="73"/>
      <c r="CIV40" s="73"/>
      <c r="CIW40" s="73"/>
      <c r="CIX40" s="73"/>
      <c r="CIY40" s="73"/>
      <c r="CIZ40" s="73"/>
      <c r="CJA40" s="73"/>
      <c r="CJB40" s="73"/>
      <c r="CJC40" s="73"/>
      <c r="CJD40" s="73"/>
      <c r="CJE40" s="73"/>
      <c r="CJF40" s="73"/>
      <c r="CJG40" s="73"/>
      <c r="CJH40" s="73"/>
      <c r="CJI40" s="73"/>
      <c r="CJJ40" s="73"/>
      <c r="CJK40" s="73"/>
      <c r="CJL40" s="73"/>
      <c r="CJM40" s="73"/>
      <c r="CJN40" s="73"/>
      <c r="CJO40" s="73"/>
      <c r="CJP40" s="73"/>
      <c r="CJQ40" s="73"/>
      <c r="CJR40" s="73"/>
      <c r="CJS40" s="73"/>
      <c r="CJT40" s="73"/>
      <c r="CJU40" s="73"/>
      <c r="CJV40" s="73"/>
      <c r="CJW40" s="73"/>
      <c r="CJX40" s="73"/>
      <c r="CJY40" s="73"/>
      <c r="CJZ40" s="73"/>
      <c r="CKA40" s="73"/>
      <c r="CKB40" s="73"/>
      <c r="CKC40" s="73"/>
      <c r="CKD40" s="73"/>
      <c r="CKE40" s="73"/>
      <c r="CKF40" s="73"/>
      <c r="CKG40" s="73"/>
      <c r="CKH40" s="73"/>
      <c r="CKI40" s="73"/>
      <c r="CKJ40" s="73"/>
      <c r="CKK40" s="73"/>
      <c r="CKL40" s="73"/>
      <c r="CKM40" s="73"/>
      <c r="CKN40" s="73"/>
      <c r="CKO40" s="73"/>
      <c r="CKP40" s="73"/>
      <c r="CKQ40" s="73"/>
      <c r="CKR40" s="73"/>
      <c r="CKS40" s="73"/>
      <c r="CKT40" s="73"/>
      <c r="CKU40" s="73"/>
      <c r="CKV40" s="73"/>
      <c r="CKW40" s="73"/>
      <c r="CKX40" s="73"/>
      <c r="CKY40" s="73"/>
      <c r="CKZ40" s="73"/>
      <c r="CLA40" s="73"/>
      <c r="CLB40" s="73"/>
      <c r="CLC40" s="73"/>
      <c r="CLD40" s="73"/>
      <c r="CLE40" s="73"/>
      <c r="CLF40" s="73"/>
      <c r="CLG40" s="73"/>
      <c r="CLH40" s="73"/>
      <c r="CLI40" s="73"/>
      <c r="CLJ40" s="73"/>
      <c r="CLK40" s="73"/>
      <c r="CLL40" s="73"/>
      <c r="CLM40" s="73"/>
      <c r="CLN40" s="73"/>
      <c r="CLO40" s="73"/>
      <c r="CLP40" s="73"/>
      <c r="CLQ40" s="73"/>
      <c r="CLR40" s="73"/>
      <c r="CLS40" s="73"/>
      <c r="CLT40" s="73"/>
      <c r="CLU40" s="73"/>
      <c r="CLV40" s="73"/>
      <c r="CLW40" s="73"/>
      <c r="CLX40" s="73"/>
      <c r="CLY40" s="73"/>
      <c r="CLZ40" s="73"/>
      <c r="CMA40" s="73"/>
      <c r="CMB40" s="73"/>
      <c r="CMC40" s="73"/>
      <c r="CMD40" s="73"/>
      <c r="CME40" s="73"/>
      <c r="CMF40" s="73"/>
      <c r="CMG40" s="73"/>
      <c r="CMH40" s="73"/>
      <c r="CMI40" s="73"/>
      <c r="CMJ40" s="73"/>
      <c r="CMK40" s="73"/>
      <c r="CML40" s="73"/>
      <c r="CMM40" s="73"/>
      <c r="CMN40" s="73"/>
      <c r="CMO40" s="73"/>
      <c r="CMP40" s="73"/>
      <c r="CMQ40" s="73"/>
      <c r="CMR40" s="73"/>
      <c r="CMS40" s="73"/>
      <c r="CMT40" s="73"/>
      <c r="CMU40" s="73"/>
      <c r="CMV40" s="73"/>
      <c r="CMW40" s="73"/>
      <c r="CMX40" s="73"/>
      <c r="CMY40" s="73"/>
      <c r="CMZ40" s="73"/>
      <c r="CNA40" s="73"/>
      <c r="CNB40" s="73"/>
      <c r="CNC40" s="73"/>
      <c r="CND40" s="73"/>
      <c r="CNE40" s="73"/>
      <c r="CNF40" s="73"/>
      <c r="CNG40" s="73"/>
      <c r="CNH40" s="73"/>
      <c r="CNI40" s="73"/>
      <c r="CNJ40" s="73"/>
      <c r="CNK40" s="73"/>
      <c r="CNL40" s="73"/>
      <c r="CNM40" s="73"/>
      <c r="CNN40" s="73"/>
      <c r="CNO40" s="73"/>
      <c r="CNP40" s="73"/>
      <c r="CNQ40" s="73"/>
      <c r="CNR40" s="73"/>
      <c r="CNS40" s="73"/>
      <c r="CNT40" s="73"/>
      <c r="CNU40" s="73"/>
      <c r="CNV40" s="73"/>
      <c r="CNW40" s="73"/>
      <c r="CNX40" s="73"/>
      <c r="CNY40" s="73"/>
      <c r="CNZ40" s="73"/>
      <c r="COA40" s="73"/>
      <c r="COB40" s="73"/>
      <c r="COC40" s="73"/>
      <c r="COD40" s="73"/>
      <c r="COE40" s="73"/>
      <c r="COF40" s="73"/>
      <c r="COG40" s="73"/>
      <c r="COH40" s="73"/>
      <c r="COI40" s="73"/>
      <c r="COJ40" s="73"/>
      <c r="COK40" s="73"/>
      <c r="COL40" s="73"/>
      <c r="COM40" s="73"/>
      <c r="CON40" s="73"/>
      <c r="COO40" s="73"/>
      <c r="COP40" s="73"/>
      <c r="COQ40" s="73"/>
      <c r="COR40" s="73"/>
      <c r="COS40" s="73"/>
      <c r="COT40" s="73"/>
      <c r="COU40" s="73"/>
      <c r="COV40" s="73"/>
      <c r="COW40" s="73"/>
      <c r="COX40" s="73"/>
      <c r="COY40" s="73"/>
      <c r="COZ40" s="73"/>
      <c r="CPA40" s="73"/>
      <c r="CPB40" s="73"/>
      <c r="CPC40" s="73"/>
      <c r="CPD40" s="73"/>
      <c r="CPE40" s="73"/>
      <c r="CPF40" s="73"/>
      <c r="CPG40" s="73"/>
      <c r="CPH40" s="73"/>
      <c r="CPI40" s="73"/>
      <c r="CPJ40" s="73"/>
      <c r="CPK40" s="73"/>
      <c r="CPL40" s="73"/>
      <c r="CPM40" s="73"/>
      <c r="CPN40" s="73"/>
      <c r="CPO40" s="73"/>
      <c r="CPP40" s="73"/>
      <c r="CPQ40" s="73"/>
      <c r="CPR40" s="73"/>
      <c r="CPS40" s="73"/>
      <c r="CPT40" s="73"/>
      <c r="CPU40" s="73"/>
      <c r="CPV40" s="73"/>
      <c r="CPW40" s="73"/>
      <c r="CPX40" s="73"/>
      <c r="CPY40" s="73"/>
      <c r="CPZ40" s="73"/>
      <c r="CQA40" s="73"/>
      <c r="CQB40" s="73"/>
      <c r="CQC40" s="73"/>
      <c r="CQD40" s="73"/>
      <c r="CQE40" s="73"/>
      <c r="CQF40" s="73"/>
      <c r="CQG40" s="73"/>
      <c r="CQH40" s="73"/>
      <c r="CQI40" s="73"/>
      <c r="CQJ40" s="73"/>
      <c r="CQK40" s="73"/>
      <c r="CQL40" s="73"/>
      <c r="CQM40" s="73"/>
      <c r="CQN40" s="73"/>
      <c r="CQO40" s="73"/>
      <c r="CQP40" s="73"/>
      <c r="CQQ40" s="73"/>
      <c r="CQR40" s="73"/>
      <c r="CQS40" s="73"/>
      <c r="CQT40" s="73"/>
      <c r="CQU40" s="73"/>
      <c r="CQV40" s="73"/>
      <c r="CQW40" s="73"/>
      <c r="CQX40" s="73"/>
      <c r="CQY40" s="73"/>
      <c r="CQZ40" s="73"/>
      <c r="CRA40" s="73"/>
      <c r="CRB40" s="73"/>
      <c r="CRC40" s="73"/>
      <c r="CRD40" s="73"/>
      <c r="CRE40" s="73"/>
      <c r="CRF40" s="73"/>
      <c r="CRG40" s="73"/>
      <c r="CRH40" s="73"/>
      <c r="CRI40" s="73"/>
      <c r="CRJ40" s="73"/>
      <c r="CRK40" s="73"/>
      <c r="CRL40" s="73"/>
      <c r="CRM40" s="73"/>
      <c r="CRN40" s="73"/>
      <c r="CRO40" s="73"/>
      <c r="CRP40" s="73"/>
      <c r="CRQ40" s="73"/>
      <c r="CRR40" s="73"/>
      <c r="CRS40" s="73"/>
      <c r="CRT40" s="73"/>
      <c r="CRU40" s="73"/>
      <c r="CRV40" s="73"/>
      <c r="CRW40" s="73"/>
      <c r="CRX40" s="73"/>
      <c r="CRY40" s="73"/>
      <c r="CRZ40" s="73"/>
      <c r="CSA40" s="73"/>
      <c r="CSB40" s="73"/>
      <c r="CSC40" s="73"/>
      <c r="CSD40" s="73"/>
      <c r="CSE40" s="73"/>
      <c r="CSF40" s="73"/>
      <c r="CSG40" s="73"/>
      <c r="CSH40" s="73"/>
      <c r="CSI40" s="73"/>
      <c r="CSJ40" s="73"/>
      <c r="CSK40" s="73"/>
      <c r="CSL40" s="73"/>
      <c r="CSM40" s="73"/>
      <c r="CSN40" s="73"/>
      <c r="CSO40" s="73"/>
      <c r="CSP40" s="73"/>
      <c r="CSQ40" s="73"/>
      <c r="CSR40" s="73"/>
      <c r="CSS40" s="73"/>
      <c r="CST40" s="73"/>
      <c r="CSU40" s="73"/>
      <c r="CSV40" s="73"/>
      <c r="CSW40" s="73"/>
      <c r="CSX40" s="73"/>
      <c r="CSY40" s="73"/>
      <c r="CSZ40" s="73"/>
      <c r="CTA40" s="73"/>
      <c r="CTB40" s="73"/>
      <c r="CTC40" s="73"/>
      <c r="CTD40" s="73"/>
      <c r="CTE40" s="73"/>
      <c r="CTF40" s="73"/>
      <c r="CTG40" s="73"/>
      <c r="CTH40" s="73"/>
      <c r="CTI40" s="73"/>
      <c r="CTJ40" s="73"/>
      <c r="CTK40" s="73"/>
      <c r="CTL40" s="73"/>
      <c r="CTM40" s="73"/>
      <c r="CTN40" s="73"/>
      <c r="CTO40" s="73"/>
      <c r="CTP40" s="73"/>
      <c r="CTQ40" s="73"/>
      <c r="CTR40" s="73"/>
      <c r="CTS40" s="73"/>
      <c r="CTT40" s="73"/>
      <c r="CTU40" s="73"/>
      <c r="CTV40" s="73"/>
      <c r="CTW40" s="73"/>
      <c r="CTX40" s="73"/>
      <c r="CTY40" s="73"/>
      <c r="CTZ40" s="73"/>
      <c r="CUA40" s="73"/>
      <c r="CUB40" s="73"/>
      <c r="CUC40" s="73"/>
      <c r="CUD40" s="73"/>
      <c r="CUE40" s="73"/>
      <c r="CUF40" s="73"/>
      <c r="CUG40" s="73"/>
      <c r="CUH40" s="73"/>
      <c r="CUI40" s="73"/>
      <c r="CUJ40" s="73"/>
      <c r="CUK40" s="73"/>
      <c r="CUL40" s="73"/>
      <c r="CUM40" s="73"/>
      <c r="CUN40" s="73"/>
      <c r="CUO40" s="73"/>
      <c r="CUP40" s="73"/>
      <c r="CUQ40" s="73"/>
      <c r="CUR40" s="73"/>
      <c r="CUS40" s="73"/>
      <c r="CUT40" s="73"/>
      <c r="CUU40" s="73"/>
      <c r="CUV40" s="73"/>
      <c r="CUW40" s="73"/>
      <c r="CUX40" s="73"/>
      <c r="CUY40" s="73"/>
      <c r="CUZ40" s="73"/>
      <c r="CVA40" s="73"/>
      <c r="CVB40" s="73"/>
      <c r="CVC40" s="73"/>
      <c r="CVD40" s="73"/>
      <c r="CVE40" s="73"/>
      <c r="CVF40" s="73"/>
      <c r="CVG40" s="73"/>
      <c r="CVH40" s="73"/>
      <c r="CVI40" s="73"/>
      <c r="CVJ40" s="73"/>
      <c r="CVK40" s="73"/>
      <c r="CVL40" s="73"/>
      <c r="CVM40" s="73"/>
      <c r="CVN40" s="73"/>
      <c r="CVO40" s="73"/>
      <c r="CVP40" s="73"/>
      <c r="CVQ40" s="73"/>
      <c r="CVR40" s="73"/>
      <c r="CVS40" s="73"/>
      <c r="CVT40" s="73"/>
      <c r="CVU40" s="73"/>
      <c r="CVV40" s="73"/>
      <c r="CVW40" s="73"/>
      <c r="CVX40" s="73"/>
      <c r="CVY40" s="73"/>
      <c r="CVZ40" s="73"/>
      <c r="CWA40" s="73"/>
      <c r="CWB40" s="73"/>
      <c r="CWC40" s="73"/>
      <c r="CWD40" s="73"/>
      <c r="CWE40" s="73"/>
      <c r="CWF40" s="73"/>
      <c r="CWG40" s="73"/>
      <c r="CWH40" s="73"/>
      <c r="CWI40" s="73"/>
      <c r="CWJ40" s="73"/>
      <c r="CWK40" s="73"/>
      <c r="CWL40" s="73"/>
      <c r="CWM40" s="73"/>
      <c r="CWN40" s="73"/>
      <c r="CWO40" s="73"/>
      <c r="CWP40" s="73"/>
      <c r="CWQ40" s="73"/>
      <c r="CWR40" s="73"/>
      <c r="CWS40" s="73"/>
      <c r="CWT40" s="73"/>
      <c r="CWU40" s="73"/>
      <c r="CWV40" s="73"/>
      <c r="CWW40" s="73"/>
      <c r="CWX40" s="73"/>
      <c r="CWY40" s="73"/>
      <c r="CWZ40" s="73"/>
      <c r="CXA40" s="73"/>
      <c r="CXB40" s="73"/>
      <c r="CXC40" s="73"/>
      <c r="CXD40" s="73"/>
      <c r="CXE40" s="73"/>
      <c r="CXF40" s="73"/>
      <c r="CXG40" s="73"/>
      <c r="CXH40" s="73"/>
      <c r="CXI40" s="73"/>
      <c r="CXJ40" s="73"/>
      <c r="CXK40" s="73"/>
      <c r="CXL40" s="73"/>
      <c r="CXM40" s="73"/>
      <c r="CXN40" s="73"/>
      <c r="CXO40" s="73"/>
      <c r="CXP40" s="73"/>
      <c r="CXQ40" s="73"/>
      <c r="CXR40" s="73"/>
      <c r="CXS40" s="73"/>
      <c r="CXT40" s="73"/>
      <c r="CXU40" s="73"/>
      <c r="CXV40" s="73"/>
      <c r="CXW40" s="73"/>
      <c r="CXX40" s="73"/>
      <c r="CXY40" s="73"/>
      <c r="CXZ40" s="73"/>
      <c r="CYA40" s="73"/>
      <c r="CYB40" s="73"/>
      <c r="CYC40" s="73"/>
      <c r="CYD40" s="73"/>
      <c r="CYE40" s="73"/>
      <c r="CYF40" s="73"/>
      <c r="CYG40" s="73"/>
      <c r="CYH40" s="73"/>
      <c r="CYI40" s="73"/>
      <c r="CYJ40" s="73"/>
      <c r="CYK40" s="73"/>
      <c r="CYL40" s="73"/>
      <c r="CYM40" s="73"/>
      <c r="CYN40" s="73"/>
      <c r="CYO40" s="73"/>
      <c r="CYP40" s="73"/>
      <c r="CYQ40" s="73"/>
      <c r="CYR40" s="73"/>
      <c r="CYS40" s="73"/>
      <c r="CYT40" s="73"/>
      <c r="CYU40" s="73"/>
      <c r="CYV40" s="73"/>
      <c r="CYW40" s="73"/>
      <c r="CYX40" s="73"/>
      <c r="CYY40" s="73"/>
      <c r="CYZ40" s="73"/>
      <c r="CZA40" s="73"/>
      <c r="CZB40" s="73"/>
      <c r="CZC40" s="73"/>
      <c r="CZD40" s="73"/>
      <c r="CZE40" s="73"/>
      <c r="CZF40" s="73"/>
      <c r="CZG40" s="73"/>
      <c r="CZH40" s="73"/>
      <c r="CZI40" s="73"/>
      <c r="CZJ40" s="73"/>
      <c r="CZK40" s="73"/>
      <c r="CZL40" s="73"/>
      <c r="CZM40" s="73"/>
      <c r="CZN40" s="73"/>
      <c r="CZO40" s="73"/>
      <c r="CZP40" s="73"/>
      <c r="CZQ40" s="73"/>
      <c r="CZR40" s="73"/>
      <c r="CZS40" s="73"/>
      <c r="CZT40" s="73"/>
      <c r="CZU40" s="73"/>
      <c r="CZV40" s="73"/>
      <c r="CZW40" s="73"/>
      <c r="CZX40" s="73"/>
      <c r="CZY40" s="73"/>
      <c r="CZZ40" s="73"/>
      <c r="DAA40" s="73"/>
      <c r="DAB40" s="73"/>
      <c r="DAC40" s="73"/>
      <c r="DAD40" s="73"/>
      <c r="DAE40" s="73"/>
      <c r="DAF40" s="73"/>
      <c r="DAG40" s="73"/>
      <c r="DAH40" s="73"/>
      <c r="DAI40" s="73"/>
      <c r="DAJ40" s="73"/>
      <c r="DAK40" s="73"/>
      <c r="DAL40" s="73"/>
      <c r="DAM40" s="73"/>
      <c r="DAN40" s="73"/>
      <c r="DAO40" s="73"/>
      <c r="DAP40" s="73"/>
      <c r="DAQ40" s="73"/>
      <c r="DAR40" s="73"/>
      <c r="DAS40" s="73"/>
      <c r="DAT40" s="73"/>
      <c r="DAU40" s="73"/>
      <c r="DAV40" s="73"/>
      <c r="DAW40" s="73"/>
      <c r="DAX40" s="73"/>
      <c r="DAY40" s="73"/>
      <c r="DAZ40" s="73"/>
      <c r="DBA40" s="73"/>
      <c r="DBB40" s="73"/>
      <c r="DBC40" s="73"/>
      <c r="DBD40" s="73"/>
      <c r="DBE40" s="73"/>
      <c r="DBF40" s="73"/>
      <c r="DBG40" s="73"/>
      <c r="DBH40" s="73"/>
      <c r="DBI40" s="73"/>
      <c r="DBJ40" s="73"/>
      <c r="DBK40" s="73"/>
      <c r="DBL40" s="73"/>
      <c r="DBM40" s="73"/>
      <c r="DBN40" s="73"/>
      <c r="DBO40" s="73"/>
      <c r="DBP40" s="73"/>
      <c r="DBQ40" s="73"/>
      <c r="DBR40" s="73"/>
      <c r="DBS40" s="73"/>
      <c r="DBT40" s="73"/>
      <c r="DBU40" s="73"/>
      <c r="DBV40" s="73"/>
      <c r="DBW40" s="73"/>
      <c r="DBX40" s="73"/>
      <c r="DBY40" s="73"/>
      <c r="DBZ40" s="73"/>
      <c r="DCA40" s="73"/>
      <c r="DCB40" s="73"/>
      <c r="DCC40" s="73"/>
      <c r="DCD40" s="73"/>
      <c r="DCE40" s="73"/>
      <c r="DCF40" s="73"/>
      <c r="DCG40" s="73"/>
      <c r="DCH40" s="73"/>
      <c r="DCI40" s="73"/>
      <c r="DCJ40" s="73"/>
      <c r="DCK40" s="73"/>
      <c r="DCL40" s="73"/>
      <c r="DCM40" s="73"/>
      <c r="DCN40" s="73"/>
      <c r="DCO40" s="73"/>
      <c r="DCP40" s="73"/>
      <c r="DCQ40" s="73"/>
      <c r="DCR40" s="73"/>
      <c r="DCS40" s="73"/>
      <c r="DCT40" s="73"/>
      <c r="DCU40" s="73"/>
      <c r="DCV40" s="73"/>
      <c r="DCW40" s="73"/>
      <c r="DCX40" s="73"/>
      <c r="DCY40" s="73"/>
      <c r="DCZ40" s="73"/>
      <c r="DDA40" s="73"/>
      <c r="DDB40" s="73"/>
      <c r="DDC40" s="73"/>
      <c r="DDD40" s="73"/>
      <c r="DDE40" s="73"/>
      <c r="DDF40" s="73"/>
      <c r="DDG40" s="73"/>
      <c r="DDH40" s="73"/>
      <c r="DDI40" s="73"/>
      <c r="DDJ40" s="73"/>
      <c r="DDK40" s="73"/>
      <c r="DDL40" s="73"/>
      <c r="DDM40" s="73"/>
      <c r="DDN40" s="73"/>
      <c r="DDO40" s="73"/>
      <c r="DDP40" s="73"/>
      <c r="DDQ40" s="73"/>
      <c r="DDR40" s="73"/>
      <c r="DDS40" s="73"/>
      <c r="DDT40" s="73"/>
      <c r="DDU40" s="73"/>
      <c r="DDV40" s="73"/>
      <c r="DDW40" s="73"/>
      <c r="DDX40" s="73"/>
      <c r="DDY40" s="73"/>
      <c r="DDZ40" s="73"/>
      <c r="DEA40" s="73"/>
      <c r="DEB40" s="73"/>
      <c r="DEC40" s="73"/>
      <c r="DED40" s="73"/>
      <c r="DEE40" s="73"/>
      <c r="DEF40" s="73"/>
      <c r="DEG40" s="73"/>
      <c r="DEH40" s="73"/>
      <c r="DEI40" s="73"/>
      <c r="DEJ40" s="73"/>
      <c r="DEK40" s="73"/>
      <c r="DEL40" s="73"/>
      <c r="DEM40" s="73"/>
      <c r="DEN40" s="73"/>
      <c r="DEO40" s="73"/>
      <c r="DEP40" s="73"/>
      <c r="DEQ40" s="73"/>
      <c r="DER40" s="73"/>
      <c r="DES40" s="73"/>
      <c r="DET40" s="73"/>
      <c r="DEU40" s="73"/>
      <c r="DEV40" s="73"/>
      <c r="DEW40" s="73"/>
      <c r="DEX40" s="73"/>
      <c r="DEY40" s="73"/>
      <c r="DEZ40" s="73"/>
      <c r="DFA40" s="73"/>
      <c r="DFB40" s="73"/>
      <c r="DFC40" s="73"/>
      <c r="DFD40" s="73"/>
      <c r="DFE40" s="73"/>
      <c r="DFF40" s="73"/>
      <c r="DFG40" s="73"/>
      <c r="DFH40" s="73"/>
      <c r="DFI40" s="73"/>
      <c r="DFJ40" s="73"/>
      <c r="DFK40" s="73"/>
      <c r="DFL40" s="73"/>
      <c r="DFM40" s="73"/>
      <c r="DFN40" s="73"/>
      <c r="DFO40" s="73"/>
      <c r="DFP40" s="73"/>
      <c r="DFQ40" s="73"/>
      <c r="DFR40" s="73"/>
      <c r="DFS40" s="73"/>
      <c r="DFT40" s="73"/>
      <c r="DFU40" s="73"/>
      <c r="DFV40" s="73"/>
      <c r="DFW40" s="73"/>
      <c r="DFX40" s="73"/>
      <c r="DFY40" s="73"/>
      <c r="DFZ40" s="73"/>
      <c r="DGA40" s="73"/>
      <c r="DGB40" s="73"/>
      <c r="DGC40" s="73"/>
      <c r="DGD40" s="73"/>
      <c r="DGE40" s="73"/>
      <c r="DGF40" s="73"/>
      <c r="DGG40" s="73"/>
      <c r="DGH40" s="73"/>
      <c r="DGI40" s="73"/>
      <c r="DGJ40" s="73"/>
      <c r="DGK40" s="73"/>
      <c r="DGL40" s="73"/>
      <c r="DGM40" s="73"/>
      <c r="DGN40" s="73"/>
      <c r="DGO40" s="73"/>
      <c r="DGP40" s="73"/>
      <c r="DGQ40" s="73"/>
      <c r="DGR40" s="73"/>
      <c r="DGS40" s="73"/>
      <c r="DGT40" s="73"/>
      <c r="DGU40" s="73"/>
      <c r="DGV40" s="73"/>
      <c r="DGW40" s="73"/>
      <c r="DGX40" s="73"/>
      <c r="DGY40" s="73"/>
      <c r="DGZ40" s="73"/>
      <c r="DHA40" s="73"/>
      <c r="DHB40" s="73"/>
      <c r="DHC40" s="73"/>
      <c r="DHD40" s="73"/>
      <c r="DHE40" s="73"/>
      <c r="DHF40" s="73"/>
      <c r="DHG40" s="73"/>
      <c r="DHH40" s="73"/>
      <c r="DHI40" s="73"/>
      <c r="DHJ40" s="73"/>
      <c r="DHK40" s="73"/>
      <c r="DHL40" s="73"/>
      <c r="DHM40" s="73"/>
      <c r="DHN40" s="73"/>
      <c r="DHO40" s="73"/>
      <c r="DHP40" s="73"/>
      <c r="DHQ40" s="73"/>
      <c r="DHR40" s="73"/>
      <c r="DHS40" s="73"/>
      <c r="DHT40" s="73"/>
      <c r="DHU40" s="73"/>
      <c r="DHV40" s="73"/>
      <c r="DHW40" s="73"/>
      <c r="DHX40" s="73"/>
      <c r="DHY40" s="73"/>
      <c r="DHZ40" s="73"/>
      <c r="DIA40" s="73"/>
      <c r="DIB40" s="73"/>
      <c r="DIC40" s="73"/>
      <c r="DID40" s="73"/>
      <c r="DIE40" s="73"/>
      <c r="DIF40" s="73"/>
      <c r="DIG40" s="73"/>
      <c r="DIH40" s="73"/>
      <c r="DII40" s="73"/>
      <c r="DIJ40" s="73"/>
      <c r="DIK40" s="73"/>
      <c r="DIL40" s="73"/>
      <c r="DIM40" s="73"/>
      <c r="DIN40" s="73"/>
      <c r="DIO40" s="73"/>
      <c r="DIP40" s="73"/>
      <c r="DIQ40" s="73"/>
      <c r="DIR40" s="73"/>
      <c r="DIS40" s="73"/>
      <c r="DIT40" s="73"/>
      <c r="DIU40" s="73"/>
      <c r="DIV40" s="73"/>
      <c r="DIW40" s="73"/>
      <c r="DIX40" s="73"/>
      <c r="DIY40" s="73"/>
      <c r="DIZ40" s="73"/>
      <c r="DJA40" s="73"/>
      <c r="DJB40" s="73"/>
      <c r="DJC40" s="73"/>
      <c r="DJD40" s="73"/>
      <c r="DJE40" s="73"/>
      <c r="DJF40" s="73"/>
      <c r="DJG40" s="73"/>
      <c r="DJH40" s="73"/>
      <c r="DJI40" s="73"/>
      <c r="DJJ40" s="73"/>
      <c r="DJK40" s="73"/>
      <c r="DJL40" s="73"/>
      <c r="DJM40" s="73"/>
      <c r="DJN40" s="73"/>
      <c r="DJO40" s="73"/>
      <c r="DJP40" s="73"/>
      <c r="DJQ40" s="73"/>
      <c r="DJR40" s="73"/>
      <c r="DJS40" s="73"/>
      <c r="DJT40" s="73"/>
      <c r="DJU40" s="73"/>
      <c r="DJV40" s="73"/>
      <c r="DJW40" s="73"/>
      <c r="DJX40" s="73"/>
      <c r="DJY40" s="73"/>
      <c r="DJZ40" s="73"/>
      <c r="DKA40" s="73"/>
      <c r="DKB40" s="73"/>
      <c r="DKC40" s="73"/>
      <c r="DKD40" s="73"/>
      <c r="DKE40" s="73"/>
      <c r="DKF40" s="73"/>
      <c r="DKG40" s="73"/>
      <c r="DKH40" s="73"/>
      <c r="DKI40" s="73"/>
      <c r="DKJ40" s="73"/>
      <c r="DKK40" s="73"/>
      <c r="DKL40" s="73"/>
      <c r="DKM40" s="73"/>
      <c r="DKN40" s="73"/>
      <c r="DKO40" s="73"/>
      <c r="DKP40" s="73"/>
      <c r="DKQ40" s="73"/>
      <c r="DKR40" s="73"/>
      <c r="DKS40" s="73"/>
      <c r="DKT40" s="73"/>
      <c r="DKU40" s="73"/>
      <c r="DKV40" s="73"/>
      <c r="DKW40" s="73"/>
      <c r="DKX40" s="73"/>
      <c r="DKY40" s="73"/>
      <c r="DKZ40" s="73"/>
      <c r="DLA40" s="73"/>
      <c r="DLB40" s="73"/>
      <c r="DLC40" s="73"/>
      <c r="DLD40" s="73"/>
      <c r="DLE40" s="73"/>
      <c r="DLF40" s="73"/>
      <c r="DLG40" s="73"/>
      <c r="DLH40" s="73"/>
      <c r="DLI40" s="73"/>
      <c r="DLJ40" s="73"/>
      <c r="DLK40" s="73"/>
      <c r="DLL40" s="73"/>
      <c r="DLM40" s="73"/>
      <c r="DLN40" s="73"/>
      <c r="DLO40" s="73"/>
      <c r="DLP40" s="73"/>
      <c r="DLQ40" s="73"/>
      <c r="DLR40" s="73"/>
      <c r="DLS40" s="73"/>
      <c r="DLT40" s="73"/>
      <c r="DLU40" s="73"/>
      <c r="DLV40" s="73"/>
      <c r="DLW40" s="73"/>
      <c r="DLX40" s="73"/>
      <c r="DLY40" s="73"/>
      <c r="DLZ40" s="73"/>
      <c r="DMA40" s="73"/>
      <c r="DMB40" s="73"/>
      <c r="DMC40" s="73"/>
      <c r="DMD40" s="73"/>
      <c r="DME40" s="73"/>
      <c r="DMF40" s="73"/>
      <c r="DMG40" s="73"/>
      <c r="DMH40" s="73"/>
      <c r="DMI40" s="73"/>
      <c r="DMJ40" s="73"/>
      <c r="DMK40" s="73"/>
      <c r="DML40" s="73"/>
      <c r="DMM40" s="73"/>
      <c r="DMN40" s="73"/>
      <c r="DMO40" s="73"/>
      <c r="DMP40" s="73"/>
      <c r="DMQ40" s="73"/>
      <c r="DMR40" s="73"/>
      <c r="DMS40" s="73"/>
      <c r="DMT40" s="73"/>
      <c r="DMU40" s="73"/>
      <c r="DMV40" s="73"/>
      <c r="DMW40" s="73"/>
      <c r="DMX40" s="73"/>
      <c r="DMY40" s="73"/>
      <c r="DMZ40" s="73"/>
      <c r="DNA40" s="73"/>
      <c r="DNB40" s="73"/>
      <c r="DNC40" s="73"/>
      <c r="DND40" s="73"/>
      <c r="DNE40" s="73"/>
      <c r="DNF40" s="73"/>
      <c r="DNG40" s="73"/>
      <c r="DNH40" s="73"/>
      <c r="DNI40" s="73"/>
      <c r="DNJ40" s="73"/>
      <c r="DNK40" s="73"/>
      <c r="DNL40" s="73"/>
      <c r="DNM40" s="73"/>
      <c r="DNN40" s="73"/>
      <c r="DNO40" s="73"/>
      <c r="DNP40" s="73"/>
      <c r="DNQ40" s="73"/>
      <c r="DNR40" s="73"/>
      <c r="DNS40" s="73"/>
      <c r="DNT40" s="73"/>
      <c r="DNU40" s="73"/>
      <c r="DNV40" s="73"/>
      <c r="DNW40" s="73"/>
      <c r="DNX40" s="73"/>
      <c r="DNY40" s="73"/>
      <c r="DNZ40" s="73"/>
      <c r="DOA40" s="73"/>
      <c r="DOB40" s="73"/>
      <c r="DOC40" s="73"/>
      <c r="DOD40" s="73"/>
      <c r="DOE40" s="73"/>
      <c r="DOF40" s="73"/>
      <c r="DOG40" s="73"/>
      <c r="DOH40" s="73"/>
      <c r="DOI40" s="73"/>
      <c r="DOJ40" s="73"/>
      <c r="DOK40" s="73"/>
      <c r="DOL40" s="73"/>
      <c r="DOM40" s="73"/>
      <c r="DON40" s="73"/>
      <c r="DOO40" s="73"/>
      <c r="DOP40" s="73"/>
      <c r="DOQ40" s="73"/>
      <c r="DOR40" s="73"/>
      <c r="DOS40" s="73"/>
      <c r="DOT40" s="73"/>
      <c r="DOU40" s="73"/>
      <c r="DOV40" s="73"/>
      <c r="DOW40" s="73"/>
      <c r="DOX40" s="73"/>
      <c r="DOY40" s="73"/>
      <c r="DOZ40" s="73"/>
      <c r="DPA40" s="73"/>
      <c r="DPB40" s="73"/>
      <c r="DPC40" s="73"/>
      <c r="DPD40" s="73"/>
      <c r="DPE40" s="73"/>
      <c r="DPF40" s="73"/>
      <c r="DPG40" s="73"/>
      <c r="DPH40" s="73"/>
      <c r="DPI40" s="73"/>
      <c r="DPJ40" s="73"/>
      <c r="DPK40" s="73"/>
      <c r="DPL40" s="73"/>
      <c r="DPM40" s="73"/>
      <c r="DPN40" s="73"/>
      <c r="DPO40" s="73"/>
      <c r="DPP40" s="73"/>
      <c r="DPQ40" s="73"/>
      <c r="DPR40" s="73"/>
      <c r="DPS40" s="73"/>
      <c r="DPT40" s="73"/>
      <c r="DPU40" s="73"/>
      <c r="DPV40" s="73"/>
      <c r="DPW40" s="73"/>
      <c r="DPX40" s="73"/>
      <c r="DPY40" s="73"/>
      <c r="DPZ40" s="73"/>
      <c r="DQA40" s="73"/>
      <c r="DQB40" s="73"/>
      <c r="DQC40" s="73"/>
      <c r="DQD40" s="73"/>
      <c r="DQE40" s="73"/>
      <c r="DQF40" s="73"/>
      <c r="DQG40" s="73"/>
      <c r="DQH40" s="73"/>
      <c r="DQI40" s="73"/>
      <c r="DQJ40" s="73"/>
      <c r="DQK40" s="73"/>
      <c r="DQL40" s="73"/>
      <c r="DQM40" s="73"/>
      <c r="DQN40" s="73"/>
      <c r="DQO40" s="73"/>
      <c r="DQP40" s="73"/>
      <c r="DQQ40" s="73"/>
      <c r="DQR40" s="73"/>
      <c r="DQS40" s="73"/>
      <c r="DQT40" s="73"/>
      <c r="DQU40" s="73"/>
      <c r="DQV40" s="73"/>
      <c r="DQW40" s="73"/>
      <c r="DQX40" s="73"/>
      <c r="DQY40" s="73"/>
      <c r="DQZ40" s="73"/>
      <c r="DRA40" s="73"/>
      <c r="DRB40" s="73"/>
      <c r="DRC40" s="73"/>
      <c r="DRD40" s="73"/>
      <c r="DRE40" s="73"/>
      <c r="DRF40" s="73"/>
      <c r="DRG40" s="73"/>
      <c r="DRH40" s="73"/>
      <c r="DRI40" s="73"/>
      <c r="DRJ40" s="73"/>
      <c r="DRK40" s="73"/>
      <c r="DRL40" s="73"/>
      <c r="DRM40" s="73"/>
      <c r="DRN40" s="73"/>
      <c r="DRO40" s="73"/>
      <c r="DRP40" s="73"/>
      <c r="DRQ40" s="73"/>
      <c r="DRR40" s="73"/>
      <c r="DRS40" s="73"/>
      <c r="DRT40" s="73"/>
      <c r="DRU40" s="73"/>
      <c r="DRV40" s="73"/>
      <c r="DRW40" s="73"/>
      <c r="DRX40" s="73"/>
      <c r="DRY40" s="73"/>
      <c r="DRZ40" s="73"/>
      <c r="DSA40" s="73"/>
      <c r="DSB40" s="73"/>
      <c r="DSC40" s="73"/>
      <c r="DSD40" s="73"/>
      <c r="DSE40" s="73"/>
      <c r="DSF40" s="73"/>
      <c r="DSG40" s="73"/>
      <c r="DSH40" s="73"/>
      <c r="DSI40" s="73"/>
      <c r="DSJ40" s="73"/>
      <c r="DSK40" s="73"/>
      <c r="DSL40" s="73"/>
      <c r="DSM40" s="73"/>
      <c r="DSN40" s="73"/>
      <c r="DSO40" s="73"/>
      <c r="DSP40" s="73"/>
      <c r="DSQ40" s="73"/>
      <c r="DSR40" s="73"/>
      <c r="DSS40" s="73"/>
      <c r="DST40" s="73"/>
      <c r="DSU40" s="73"/>
      <c r="DSV40" s="73"/>
      <c r="DSW40" s="73"/>
      <c r="DSX40" s="73"/>
      <c r="DSY40" s="73"/>
      <c r="DSZ40" s="73"/>
      <c r="DTA40" s="73"/>
      <c r="DTB40" s="73"/>
      <c r="DTC40" s="73"/>
      <c r="DTD40" s="73"/>
      <c r="DTE40" s="73"/>
      <c r="DTF40" s="73"/>
      <c r="DTG40" s="73"/>
      <c r="DTH40" s="73"/>
      <c r="DTI40" s="73"/>
      <c r="DTJ40" s="73"/>
      <c r="DTK40" s="73"/>
      <c r="DTL40" s="73"/>
      <c r="DTM40" s="73"/>
      <c r="DTN40" s="73"/>
      <c r="DTO40" s="73"/>
      <c r="DTP40" s="73"/>
      <c r="DTQ40" s="73"/>
      <c r="DTR40" s="73"/>
      <c r="DTS40" s="73"/>
      <c r="DTT40" s="73"/>
      <c r="DTU40" s="73"/>
      <c r="DTV40" s="73"/>
      <c r="DTW40" s="73"/>
      <c r="DTX40" s="73"/>
      <c r="DTY40" s="73"/>
      <c r="DTZ40" s="73"/>
      <c r="DUA40" s="73"/>
      <c r="DUB40" s="73"/>
      <c r="DUC40" s="73"/>
      <c r="DUD40" s="73"/>
      <c r="DUE40" s="73"/>
      <c r="DUF40" s="73"/>
      <c r="DUG40" s="73"/>
      <c r="DUH40" s="73"/>
      <c r="DUI40" s="73"/>
      <c r="DUJ40" s="73"/>
      <c r="DUK40" s="73"/>
      <c r="DUL40" s="73"/>
      <c r="DUM40" s="73"/>
      <c r="DUN40" s="73"/>
      <c r="DUO40" s="73"/>
      <c r="DUP40" s="73"/>
      <c r="DUQ40" s="73"/>
      <c r="DUR40" s="73"/>
      <c r="DUS40" s="73"/>
      <c r="DUT40" s="73"/>
      <c r="DUU40" s="73"/>
      <c r="DUV40" s="73"/>
      <c r="DUW40" s="73"/>
      <c r="DUX40" s="73"/>
      <c r="DUY40" s="73"/>
      <c r="DUZ40" s="73"/>
      <c r="DVA40" s="73"/>
      <c r="DVB40" s="73"/>
      <c r="DVC40" s="73"/>
      <c r="DVD40" s="73"/>
      <c r="DVE40" s="73"/>
      <c r="DVF40" s="73"/>
      <c r="DVG40" s="73"/>
      <c r="DVH40" s="73"/>
      <c r="DVI40" s="73"/>
      <c r="DVJ40" s="73"/>
      <c r="DVK40" s="73"/>
      <c r="DVL40" s="73"/>
      <c r="DVM40" s="73"/>
      <c r="DVN40" s="73"/>
      <c r="DVO40" s="73"/>
      <c r="DVP40" s="73"/>
      <c r="DVQ40" s="73"/>
      <c r="DVR40" s="73"/>
      <c r="DVS40" s="73"/>
      <c r="DVT40" s="73"/>
      <c r="DVU40" s="73"/>
      <c r="DVV40" s="73"/>
      <c r="DVW40" s="73"/>
      <c r="DVX40" s="73"/>
      <c r="DVY40" s="73"/>
      <c r="DVZ40" s="73"/>
      <c r="DWA40" s="73"/>
      <c r="DWB40" s="73"/>
      <c r="DWC40" s="73"/>
      <c r="DWD40" s="73"/>
      <c r="DWE40" s="73"/>
      <c r="DWF40" s="73"/>
      <c r="DWG40" s="73"/>
      <c r="DWH40" s="73"/>
      <c r="DWI40" s="73"/>
      <c r="DWJ40" s="73"/>
      <c r="DWK40" s="73"/>
      <c r="DWL40" s="73"/>
      <c r="DWM40" s="73"/>
      <c r="DWN40" s="73"/>
      <c r="DWO40" s="73"/>
      <c r="DWP40" s="73"/>
      <c r="DWQ40" s="73"/>
      <c r="DWR40" s="73"/>
      <c r="DWS40" s="73"/>
      <c r="DWT40" s="73"/>
      <c r="DWU40" s="73"/>
      <c r="DWV40" s="73"/>
      <c r="DWW40" s="73"/>
      <c r="DWX40" s="73"/>
      <c r="DWY40" s="73"/>
      <c r="DWZ40" s="73"/>
      <c r="DXA40" s="73"/>
      <c r="DXB40" s="73"/>
      <c r="DXC40" s="73"/>
      <c r="DXD40" s="73"/>
      <c r="DXE40" s="73"/>
      <c r="DXF40" s="73"/>
      <c r="DXG40" s="73"/>
      <c r="DXH40" s="73"/>
      <c r="DXI40" s="73"/>
      <c r="DXJ40" s="73"/>
      <c r="DXK40" s="73"/>
      <c r="DXL40" s="73"/>
      <c r="DXM40" s="73"/>
      <c r="DXN40" s="73"/>
      <c r="DXO40" s="73"/>
      <c r="DXP40" s="73"/>
      <c r="DXQ40" s="73"/>
      <c r="DXR40" s="73"/>
      <c r="DXS40" s="73"/>
      <c r="DXT40" s="73"/>
      <c r="DXU40" s="73"/>
      <c r="DXV40" s="73"/>
      <c r="DXW40" s="73"/>
      <c r="DXX40" s="73"/>
      <c r="DXY40" s="73"/>
      <c r="DXZ40" s="73"/>
      <c r="DYA40" s="73"/>
      <c r="DYB40" s="73"/>
      <c r="DYC40" s="73"/>
      <c r="DYD40" s="73"/>
      <c r="DYE40" s="73"/>
      <c r="DYF40" s="73"/>
      <c r="DYG40" s="73"/>
      <c r="DYH40" s="73"/>
      <c r="DYI40" s="73"/>
      <c r="DYJ40" s="73"/>
      <c r="DYK40" s="73"/>
      <c r="DYL40" s="73"/>
      <c r="DYM40" s="73"/>
      <c r="DYN40" s="73"/>
      <c r="DYO40" s="73"/>
      <c r="DYP40" s="73"/>
      <c r="DYQ40" s="73"/>
      <c r="DYR40" s="73"/>
      <c r="DYS40" s="73"/>
      <c r="DYT40" s="73"/>
      <c r="DYU40" s="73"/>
      <c r="DYV40" s="73"/>
      <c r="DYW40" s="73"/>
      <c r="DYX40" s="73"/>
      <c r="DYY40" s="73"/>
      <c r="DYZ40" s="73"/>
      <c r="DZA40" s="73"/>
      <c r="DZB40" s="73"/>
      <c r="DZC40" s="73"/>
      <c r="DZD40" s="73"/>
      <c r="DZE40" s="73"/>
      <c r="DZF40" s="73"/>
      <c r="DZG40" s="73"/>
      <c r="DZH40" s="73"/>
      <c r="DZI40" s="73"/>
      <c r="DZJ40" s="73"/>
      <c r="DZK40" s="73"/>
      <c r="DZL40" s="73"/>
      <c r="DZM40" s="73"/>
      <c r="DZN40" s="73"/>
      <c r="DZO40" s="73"/>
      <c r="DZP40" s="73"/>
      <c r="DZQ40" s="73"/>
      <c r="DZR40" s="73"/>
      <c r="DZS40" s="73"/>
      <c r="DZT40" s="73"/>
      <c r="DZU40" s="73"/>
      <c r="DZV40" s="73"/>
      <c r="DZW40" s="73"/>
      <c r="DZX40" s="73"/>
      <c r="DZY40" s="73"/>
      <c r="DZZ40" s="73"/>
      <c r="EAA40" s="73"/>
      <c r="EAB40" s="73"/>
      <c r="EAC40" s="73"/>
      <c r="EAD40" s="73"/>
      <c r="EAE40" s="73"/>
      <c r="EAF40" s="73"/>
      <c r="EAG40" s="73"/>
      <c r="EAH40" s="73"/>
      <c r="EAI40" s="73"/>
      <c r="EAJ40" s="73"/>
      <c r="EAK40" s="73"/>
      <c r="EAL40" s="73"/>
      <c r="EAM40" s="73"/>
      <c r="EAN40" s="73"/>
      <c r="EAO40" s="73"/>
      <c r="EAP40" s="73"/>
      <c r="EAQ40" s="73"/>
      <c r="EAR40" s="73"/>
      <c r="EAS40" s="73"/>
      <c r="EAT40" s="73"/>
      <c r="EAU40" s="73"/>
      <c r="EAV40" s="73"/>
      <c r="EAW40" s="73"/>
      <c r="EAX40" s="73"/>
      <c r="EAY40" s="73"/>
      <c r="EAZ40" s="73"/>
      <c r="EBA40" s="73"/>
      <c r="EBB40" s="73"/>
      <c r="EBC40" s="73"/>
      <c r="EBD40" s="73"/>
      <c r="EBE40" s="73"/>
      <c r="EBF40" s="73"/>
      <c r="EBG40" s="73"/>
      <c r="EBH40" s="73"/>
      <c r="EBI40" s="73"/>
      <c r="EBJ40" s="73"/>
      <c r="EBK40" s="73"/>
      <c r="EBL40" s="73"/>
      <c r="EBM40" s="73"/>
      <c r="EBN40" s="73"/>
      <c r="EBO40" s="73"/>
      <c r="EBP40" s="73"/>
      <c r="EBQ40" s="73"/>
      <c r="EBR40" s="73"/>
      <c r="EBS40" s="73"/>
      <c r="EBT40" s="73"/>
      <c r="EBU40" s="73"/>
      <c r="EBV40" s="73"/>
      <c r="EBW40" s="73"/>
      <c r="EBX40" s="73"/>
      <c r="EBY40" s="73"/>
      <c r="EBZ40" s="73"/>
      <c r="ECA40" s="73"/>
      <c r="ECB40" s="73"/>
      <c r="ECC40" s="73"/>
      <c r="ECD40" s="73"/>
      <c r="ECE40" s="73"/>
      <c r="ECF40" s="73"/>
      <c r="ECG40" s="73"/>
      <c r="ECH40" s="73"/>
      <c r="ECI40" s="73"/>
      <c r="ECJ40" s="73"/>
      <c r="ECK40" s="73"/>
      <c r="ECL40" s="73"/>
      <c r="ECM40" s="73"/>
      <c r="ECN40" s="73"/>
      <c r="ECO40" s="73"/>
      <c r="ECP40" s="73"/>
      <c r="ECQ40" s="73"/>
      <c r="ECR40" s="73"/>
      <c r="ECS40" s="73"/>
      <c r="ECT40" s="73"/>
      <c r="ECU40" s="73"/>
      <c r="ECV40" s="73"/>
      <c r="ECW40" s="73"/>
      <c r="ECX40" s="73"/>
      <c r="ECY40" s="73"/>
      <c r="ECZ40" s="73"/>
      <c r="EDA40" s="73"/>
      <c r="EDB40" s="73"/>
      <c r="EDC40" s="73"/>
      <c r="EDD40" s="73"/>
      <c r="EDE40" s="73"/>
      <c r="EDF40" s="73"/>
      <c r="EDG40" s="73"/>
      <c r="EDH40" s="73"/>
      <c r="EDI40" s="73"/>
      <c r="EDJ40" s="73"/>
      <c r="EDK40" s="73"/>
      <c r="EDL40" s="73"/>
      <c r="EDM40" s="73"/>
      <c r="EDN40" s="73"/>
      <c r="EDO40" s="73"/>
      <c r="EDP40" s="73"/>
      <c r="EDQ40" s="73"/>
      <c r="EDR40" s="73"/>
      <c r="EDS40" s="73"/>
      <c r="EDT40" s="73"/>
      <c r="EDU40" s="73"/>
      <c r="EDV40" s="73"/>
      <c r="EDW40" s="73"/>
      <c r="EDX40" s="73"/>
      <c r="EDY40" s="73"/>
      <c r="EDZ40" s="73"/>
      <c r="EEA40" s="73"/>
      <c r="EEB40" s="73"/>
      <c r="EEC40" s="73"/>
      <c r="EED40" s="73"/>
      <c r="EEE40" s="73"/>
      <c r="EEF40" s="73"/>
      <c r="EEG40" s="73"/>
      <c r="EEH40" s="73"/>
      <c r="EEI40" s="73"/>
      <c r="EEJ40" s="73"/>
      <c r="EEK40" s="73"/>
      <c r="EEL40" s="73"/>
      <c r="EEM40" s="73"/>
      <c r="EEN40" s="73"/>
      <c r="EEO40" s="73"/>
      <c r="EEP40" s="73"/>
      <c r="EEQ40" s="73"/>
      <c r="EER40" s="73"/>
      <c r="EES40" s="73"/>
      <c r="EET40" s="73"/>
      <c r="EEU40" s="73"/>
      <c r="EEV40" s="73"/>
      <c r="EEW40" s="73"/>
      <c r="EEX40" s="73"/>
      <c r="EEY40" s="73"/>
      <c r="EEZ40" s="73"/>
      <c r="EFA40" s="73"/>
      <c r="EFB40" s="73"/>
      <c r="EFC40" s="73"/>
      <c r="EFD40" s="73"/>
      <c r="EFE40" s="73"/>
      <c r="EFF40" s="73"/>
      <c r="EFG40" s="73"/>
      <c r="EFH40" s="73"/>
      <c r="EFI40" s="73"/>
      <c r="EFJ40" s="73"/>
      <c r="EFK40" s="73"/>
      <c r="EFL40" s="73"/>
      <c r="EFM40" s="73"/>
      <c r="EFN40" s="73"/>
      <c r="EFO40" s="73"/>
      <c r="EFP40" s="73"/>
      <c r="EFQ40" s="73"/>
      <c r="EFR40" s="73"/>
      <c r="EFS40" s="73"/>
      <c r="EFT40" s="73"/>
      <c r="EFU40" s="73"/>
      <c r="EFV40" s="73"/>
      <c r="EFW40" s="73"/>
      <c r="EFX40" s="73"/>
      <c r="EFY40" s="73"/>
      <c r="EFZ40" s="73"/>
      <c r="EGA40" s="73"/>
      <c r="EGB40" s="73"/>
      <c r="EGC40" s="73"/>
      <c r="EGD40" s="73"/>
      <c r="EGE40" s="73"/>
      <c r="EGF40" s="73"/>
      <c r="EGG40" s="73"/>
      <c r="EGH40" s="73"/>
      <c r="EGI40" s="73"/>
      <c r="EGJ40" s="73"/>
      <c r="EGK40" s="73"/>
      <c r="EGL40" s="73"/>
      <c r="EGM40" s="73"/>
      <c r="EGN40" s="73"/>
      <c r="EGO40" s="73"/>
      <c r="EGP40" s="73"/>
      <c r="EGQ40" s="73"/>
      <c r="EGR40" s="73"/>
      <c r="EGS40" s="73"/>
      <c r="EGT40" s="73"/>
      <c r="EGU40" s="73"/>
      <c r="EGV40" s="73"/>
      <c r="EGW40" s="73"/>
      <c r="EGX40" s="73"/>
      <c r="EGY40" s="73"/>
      <c r="EGZ40" s="73"/>
      <c r="EHA40" s="73"/>
      <c r="EHB40" s="73"/>
      <c r="EHC40" s="73"/>
      <c r="EHD40" s="73"/>
      <c r="EHE40" s="73"/>
      <c r="EHF40" s="73"/>
      <c r="EHG40" s="73"/>
      <c r="EHH40" s="73"/>
      <c r="EHI40" s="73"/>
      <c r="EHJ40" s="73"/>
      <c r="EHK40" s="73"/>
      <c r="EHL40" s="73"/>
      <c r="EHM40" s="73"/>
      <c r="EHN40" s="73"/>
      <c r="EHO40" s="73"/>
      <c r="EHP40" s="73"/>
      <c r="EHQ40" s="73"/>
      <c r="EHR40" s="73"/>
      <c r="EHS40" s="73"/>
      <c r="EHT40" s="73"/>
      <c r="EHU40" s="73"/>
      <c r="EHV40" s="73"/>
      <c r="EHW40" s="73"/>
      <c r="EHX40" s="73"/>
      <c r="EHY40" s="73"/>
      <c r="EHZ40" s="73"/>
      <c r="EIA40" s="73"/>
      <c r="EIB40" s="73"/>
      <c r="EIC40" s="73"/>
      <c r="EID40" s="73"/>
      <c r="EIE40" s="73"/>
      <c r="EIF40" s="73"/>
      <c r="EIG40" s="73"/>
      <c r="EIH40" s="73"/>
      <c r="EII40" s="73"/>
      <c r="EIJ40" s="73"/>
      <c r="EIK40" s="73"/>
      <c r="EIL40" s="73"/>
      <c r="EIM40" s="73"/>
      <c r="EIN40" s="73"/>
      <c r="EIO40" s="73"/>
      <c r="EIP40" s="73"/>
      <c r="EIQ40" s="73"/>
      <c r="EIR40" s="73"/>
      <c r="EIS40" s="73"/>
      <c r="EIT40" s="73"/>
      <c r="EIU40" s="73"/>
      <c r="EIV40" s="73"/>
      <c r="EIW40" s="73"/>
      <c r="EIX40" s="73"/>
      <c r="EIY40" s="73"/>
      <c r="EIZ40" s="73"/>
      <c r="EJA40" s="73"/>
      <c r="EJB40" s="73"/>
      <c r="EJC40" s="73"/>
      <c r="EJD40" s="73"/>
      <c r="EJE40" s="73"/>
      <c r="EJF40" s="73"/>
      <c r="EJG40" s="73"/>
      <c r="EJH40" s="73"/>
      <c r="EJI40" s="73"/>
      <c r="EJJ40" s="73"/>
      <c r="EJK40" s="73"/>
      <c r="EJL40" s="73"/>
      <c r="EJM40" s="73"/>
      <c r="EJN40" s="73"/>
      <c r="EJO40" s="73"/>
      <c r="EJP40" s="73"/>
      <c r="EJQ40" s="73"/>
      <c r="EJR40" s="73"/>
      <c r="EJS40" s="73"/>
      <c r="EJT40" s="73"/>
      <c r="EJU40" s="73"/>
      <c r="EJV40" s="73"/>
      <c r="EJW40" s="73"/>
      <c r="EJX40" s="73"/>
      <c r="EJY40" s="73"/>
      <c r="EJZ40" s="73"/>
      <c r="EKA40" s="73"/>
      <c r="EKB40" s="73"/>
      <c r="EKC40" s="73"/>
      <c r="EKD40" s="73"/>
      <c r="EKE40" s="73"/>
      <c r="EKF40" s="73"/>
      <c r="EKG40" s="73"/>
      <c r="EKH40" s="73"/>
      <c r="EKI40" s="73"/>
      <c r="EKJ40" s="73"/>
      <c r="EKK40" s="73"/>
      <c r="EKL40" s="73"/>
      <c r="EKM40" s="73"/>
      <c r="EKN40" s="73"/>
      <c r="EKO40" s="73"/>
      <c r="EKP40" s="73"/>
      <c r="EKQ40" s="73"/>
      <c r="EKR40" s="73"/>
      <c r="EKS40" s="73"/>
      <c r="EKT40" s="73"/>
      <c r="EKU40" s="73"/>
      <c r="EKV40" s="73"/>
      <c r="EKW40" s="73"/>
      <c r="EKX40" s="73"/>
      <c r="EKY40" s="73"/>
      <c r="EKZ40" s="73"/>
      <c r="ELA40" s="73"/>
      <c r="ELB40" s="73"/>
      <c r="ELC40" s="73"/>
      <c r="ELD40" s="73"/>
      <c r="ELE40" s="73"/>
      <c r="ELF40" s="73"/>
      <c r="ELG40" s="73"/>
      <c r="ELH40" s="73"/>
      <c r="ELI40" s="73"/>
      <c r="ELJ40" s="73"/>
      <c r="ELK40" s="73"/>
      <c r="ELL40" s="73"/>
      <c r="ELM40" s="73"/>
      <c r="ELN40" s="73"/>
      <c r="ELO40" s="73"/>
      <c r="ELP40" s="73"/>
      <c r="ELQ40" s="73"/>
      <c r="ELR40" s="73"/>
      <c r="ELS40" s="73"/>
      <c r="ELT40" s="73"/>
      <c r="ELU40" s="73"/>
      <c r="ELV40" s="73"/>
      <c r="ELW40" s="73"/>
      <c r="ELX40" s="73"/>
      <c r="ELY40" s="73"/>
      <c r="ELZ40" s="73"/>
      <c r="EMA40" s="73"/>
      <c r="EMB40" s="73"/>
      <c r="EMC40" s="73"/>
      <c r="EMD40" s="73"/>
      <c r="EME40" s="73"/>
      <c r="EMF40" s="73"/>
      <c r="EMG40" s="73"/>
      <c r="EMH40" s="73"/>
      <c r="EMI40" s="73"/>
      <c r="EMJ40" s="73"/>
      <c r="EMK40" s="73"/>
      <c r="EML40" s="73"/>
      <c r="EMM40" s="73"/>
      <c r="EMN40" s="73"/>
      <c r="EMO40" s="73"/>
      <c r="EMP40" s="73"/>
      <c r="EMQ40" s="73"/>
      <c r="EMR40" s="73"/>
      <c r="EMS40" s="73"/>
      <c r="EMT40" s="73"/>
      <c r="EMU40" s="73"/>
      <c r="EMV40" s="73"/>
      <c r="EMW40" s="73"/>
      <c r="EMX40" s="73"/>
      <c r="EMY40" s="73"/>
      <c r="EMZ40" s="73"/>
      <c r="ENA40" s="73"/>
      <c r="ENB40" s="73"/>
      <c r="ENC40" s="73"/>
      <c r="END40" s="73"/>
      <c r="ENE40" s="73"/>
      <c r="ENF40" s="73"/>
      <c r="ENG40" s="73"/>
      <c r="ENH40" s="73"/>
      <c r="ENI40" s="73"/>
      <c r="ENJ40" s="73"/>
      <c r="ENK40" s="73"/>
      <c r="ENL40" s="73"/>
      <c r="ENM40" s="73"/>
      <c r="ENN40" s="73"/>
      <c r="ENO40" s="73"/>
      <c r="ENP40" s="73"/>
      <c r="ENQ40" s="73"/>
      <c r="ENR40" s="73"/>
      <c r="ENS40" s="73"/>
      <c r="ENT40" s="73"/>
      <c r="ENU40" s="73"/>
      <c r="ENV40" s="73"/>
      <c r="ENW40" s="73"/>
      <c r="ENX40" s="73"/>
      <c r="ENY40" s="73"/>
      <c r="ENZ40" s="73"/>
      <c r="EOA40" s="73"/>
      <c r="EOB40" s="73"/>
      <c r="EOC40" s="73"/>
      <c r="EOD40" s="73"/>
      <c r="EOE40" s="73"/>
      <c r="EOF40" s="73"/>
      <c r="EOG40" s="73"/>
      <c r="EOH40" s="73"/>
      <c r="EOI40" s="73"/>
      <c r="EOJ40" s="73"/>
      <c r="EOK40" s="73"/>
      <c r="EOL40" s="73"/>
      <c r="EOM40" s="73"/>
      <c r="EON40" s="73"/>
      <c r="EOO40" s="73"/>
      <c r="EOP40" s="73"/>
      <c r="EOQ40" s="73"/>
      <c r="EOR40" s="73"/>
      <c r="EOS40" s="73"/>
      <c r="EOT40" s="73"/>
      <c r="EOU40" s="73"/>
      <c r="EOV40" s="73"/>
      <c r="EOW40" s="73"/>
      <c r="EOX40" s="73"/>
      <c r="EOY40" s="73"/>
      <c r="EOZ40" s="73"/>
      <c r="EPA40" s="73"/>
      <c r="EPB40" s="73"/>
      <c r="EPC40" s="73"/>
      <c r="EPD40" s="73"/>
      <c r="EPE40" s="73"/>
      <c r="EPF40" s="73"/>
      <c r="EPG40" s="73"/>
      <c r="EPH40" s="73"/>
      <c r="EPI40" s="73"/>
      <c r="EPJ40" s="73"/>
      <c r="EPK40" s="73"/>
      <c r="EPL40" s="73"/>
      <c r="EPM40" s="73"/>
      <c r="EPN40" s="73"/>
      <c r="EPO40" s="73"/>
      <c r="EPP40" s="73"/>
      <c r="EPQ40" s="73"/>
      <c r="EPR40" s="73"/>
      <c r="EPS40" s="73"/>
      <c r="EPT40" s="73"/>
      <c r="EPU40" s="73"/>
      <c r="EPV40" s="73"/>
      <c r="EPW40" s="73"/>
      <c r="EPX40" s="73"/>
      <c r="EPY40" s="73"/>
      <c r="EPZ40" s="73"/>
      <c r="EQA40" s="73"/>
      <c r="EQB40" s="73"/>
      <c r="EQC40" s="73"/>
      <c r="EQD40" s="73"/>
      <c r="EQE40" s="73"/>
      <c r="EQF40" s="73"/>
      <c r="EQG40" s="73"/>
      <c r="EQH40" s="73"/>
      <c r="EQI40" s="73"/>
      <c r="EQJ40" s="73"/>
      <c r="EQK40" s="73"/>
      <c r="EQL40" s="73"/>
      <c r="EQM40" s="73"/>
      <c r="EQN40" s="73"/>
      <c r="EQO40" s="73"/>
      <c r="EQP40" s="73"/>
      <c r="EQQ40" s="73"/>
      <c r="EQR40" s="73"/>
      <c r="EQS40" s="73"/>
      <c r="EQT40" s="73"/>
      <c r="EQU40" s="73"/>
      <c r="EQV40" s="73"/>
      <c r="EQW40" s="73"/>
      <c r="EQX40" s="73"/>
      <c r="EQY40" s="73"/>
      <c r="EQZ40" s="73"/>
      <c r="ERA40" s="73"/>
      <c r="ERB40" s="73"/>
      <c r="ERC40" s="73"/>
      <c r="ERD40" s="73"/>
      <c r="ERE40" s="73"/>
      <c r="ERF40" s="73"/>
      <c r="ERG40" s="73"/>
      <c r="ERH40" s="73"/>
      <c r="ERI40" s="73"/>
      <c r="ERJ40" s="73"/>
      <c r="ERK40" s="73"/>
      <c r="ERL40" s="73"/>
      <c r="ERM40" s="73"/>
      <c r="ERN40" s="73"/>
      <c r="ERO40" s="73"/>
      <c r="ERP40" s="73"/>
      <c r="ERQ40" s="73"/>
      <c r="ERR40" s="73"/>
      <c r="ERS40" s="73"/>
      <c r="ERT40" s="73"/>
      <c r="ERU40" s="73"/>
      <c r="ERV40" s="73"/>
      <c r="ERW40" s="73"/>
      <c r="ERX40" s="73"/>
      <c r="ERY40" s="73"/>
      <c r="ERZ40" s="73"/>
      <c r="ESA40" s="73"/>
      <c r="ESB40" s="73"/>
      <c r="ESC40" s="73"/>
      <c r="ESD40" s="73"/>
      <c r="ESE40" s="73"/>
      <c r="ESF40" s="73"/>
      <c r="ESG40" s="73"/>
      <c r="ESH40" s="73"/>
      <c r="ESI40" s="73"/>
      <c r="ESJ40" s="73"/>
      <c r="ESK40" s="73"/>
      <c r="ESL40" s="73"/>
      <c r="ESM40" s="73"/>
      <c r="ESN40" s="73"/>
      <c r="ESO40" s="73"/>
      <c r="ESP40" s="73"/>
      <c r="ESQ40" s="73"/>
      <c r="ESR40" s="73"/>
      <c r="ESS40" s="73"/>
      <c r="EST40" s="73"/>
      <c r="ESU40" s="73"/>
      <c r="ESV40" s="73"/>
      <c r="ESW40" s="73"/>
      <c r="ESX40" s="73"/>
      <c r="ESY40" s="73"/>
      <c r="ESZ40" s="73"/>
      <c r="ETA40" s="73"/>
      <c r="ETB40" s="73"/>
      <c r="ETC40" s="73"/>
      <c r="ETD40" s="73"/>
      <c r="ETE40" s="73"/>
      <c r="ETF40" s="73"/>
      <c r="ETG40" s="73"/>
      <c r="ETH40" s="73"/>
      <c r="ETI40" s="73"/>
      <c r="ETJ40" s="73"/>
      <c r="ETK40" s="73"/>
      <c r="ETL40" s="73"/>
      <c r="ETM40" s="73"/>
      <c r="ETN40" s="73"/>
      <c r="ETO40" s="73"/>
      <c r="ETP40" s="73"/>
      <c r="ETQ40" s="73"/>
      <c r="ETR40" s="73"/>
      <c r="ETS40" s="73"/>
      <c r="ETT40" s="73"/>
      <c r="ETU40" s="73"/>
      <c r="ETV40" s="73"/>
      <c r="ETW40" s="73"/>
      <c r="ETX40" s="73"/>
      <c r="ETY40" s="73"/>
      <c r="ETZ40" s="73"/>
      <c r="EUA40" s="73"/>
      <c r="EUB40" s="73"/>
      <c r="EUC40" s="73"/>
      <c r="EUD40" s="73"/>
      <c r="EUE40" s="73"/>
      <c r="EUF40" s="73"/>
      <c r="EUG40" s="73"/>
      <c r="EUH40" s="73"/>
      <c r="EUI40" s="73"/>
      <c r="EUJ40" s="73"/>
      <c r="EUK40" s="73"/>
      <c r="EUL40" s="73"/>
      <c r="EUM40" s="73"/>
      <c r="EUN40" s="73"/>
      <c r="EUO40" s="73"/>
      <c r="EUP40" s="73"/>
      <c r="EUQ40" s="73"/>
      <c r="EUR40" s="73"/>
      <c r="EUS40" s="73"/>
      <c r="EUT40" s="73"/>
      <c r="EUU40" s="73"/>
      <c r="EUV40" s="73"/>
      <c r="EUW40" s="73"/>
      <c r="EUX40" s="73"/>
      <c r="EUY40" s="73"/>
      <c r="EUZ40" s="73"/>
      <c r="EVA40" s="73"/>
      <c r="EVB40" s="73"/>
      <c r="EVC40" s="73"/>
      <c r="EVD40" s="73"/>
      <c r="EVE40" s="73"/>
      <c r="EVF40" s="73"/>
      <c r="EVG40" s="73"/>
      <c r="EVH40" s="73"/>
      <c r="EVI40" s="73"/>
      <c r="EVJ40" s="73"/>
      <c r="EVK40" s="73"/>
      <c r="EVL40" s="73"/>
      <c r="EVM40" s="73"/>
      <c r="EVN40" s="73"/>
      <c r="EVO40" s="73"/>
      <c r="EVP40" s="73"/>
      <c r="EVQ40" s="73"/>
      <c r="EVR40" s="73"/>
      <c r="EVS40" s="73"/>
      <c r="EVT40" s="73"/>
      <c r="EVU40" s="73"/>
      <c r="EVV40" s="73"/>
      <c r="EVW40" s="73"/>
      <c r="EVX40" s="73"/>
      <c r="EVY40" s="73"/>
      <c r="EVZ40" s="73"/>
      <c r="EWA40" s="73"/>
      <c r="EWB40" s="73"/>
      <c r="EWC40" s="73"/>
      <c r="EWD40" s="73"/>
      <c r="EWE40" s="73"/>
      <c r="EWF40" s="73"/>
      <c r="EWG40" s="73"/>
      <c r="EWH40" s="73"/>
      <c r="EWI40" s="73"/>
      <c r="EWJ40" s="73"/>
      <c r="EWK40" s="73"/>
      <c r="EWL40" s="73"/>
      <c r="EWM40" s="73"/>
      <c r="EWN40" s="73"/>
      <c r="EWO40" s="73"/>
      <c r="EWP40" s="73"/>
      <c r="EWQ40" s="73"/>
      <c r="EWR40" s="73"/>
      <c r="EWS40" s="73"/>
      <c r="EWT40" s="73"/>
      <c r="EWU40" s="73"/>
      <c r="EWV40" s="73"/>
      <c r="EWW40" s="73"/>
      <c r="EWX40" s="73"/>
      <c r="EWY40" s="73"/>
      <c r="EWZ40" s="73"/>
      <c r="EXA40" s="73"/>
      <c r="EXB40" s="73"/>
      <c r="EXC40" s="73"/>
      <c r="EXD40" s="73"/>
      <c r="EXE40" s="73"/>
      <c r="EXF40" s="73"/>
      <c r="EXG40" s="73"/>
      <c r="EXH40" s="73"/>
      <c r="EXI40" s="73"/>
      <c r="EXJ40" s="73"/>
      <c r="EXK40" s="73"/>
      <c r="EXL40" s="73"/>
      <c r="EXM40" s="73"/>
      <c r="EXN40" s="73"/>
      <c r="EXO40" s="73"/>
      <c r="EXP40" s="73"/>
      <c r="EXQ40" s="73"/>
      <c r="EXR40" s="73"/>
      <c r="EXS40" s="73"/>
      <c r="EXT40" s="73"/>
      <c r="EXU40" s="73"/>
      <c r="EXV40" s="73"/>
      <c r="EXW40" s="73"/>
      <c r="EXX40" s="73"/>
      <c r="EXY40" s="73"/>
      <c r="EXZ40" s="73"/>
      <c r="EYA40" s="73"/>
      <c r="EYB40" s="73"/>
      <c r="EYC40" s="73"/>
      <c r="EYD40" s="73"/>
      <c r="EYE40" s="73"/>
      <c r="EYF40" s="73"/>
      <c r="EYG40" s="73"/>
      <c r="EYH40" s="73"/>
      <c r="EYI40" s="73"/>
      <c r="EYJ40" s="73"/>
      <c r="EYK40" s="73"/>
      <c r="EYL40" s="73"/>
      <c r="EYM40" s="73"/>
      <c r="EYN40" s="73"/>
      <c r="EYO40" s="73"/>
      <c r="EYP40" s="73"/>
      <c r="EYQ40" s="73"/>
      <c r="EYR40" s="73"/>
      <c r="EYS40" s="73"/>
      <c r="EYT40" s="73"/>
      <c r="EYU40" s="73"/>
      <c r="EYV40" s="73"/>
      <c r="EYW40" s="73"/>
      <c r="EYX40" s="73"/>
      <c r="EYY40" s="73"/>
      <c r="EYZ40" s="73"/>
      <c r="EZA40" s="73"/>
      <c r="EZB40" s="73"/>
      <c r="EZC40" s="73"/>
      <c r="EZD40" s="73"/>
      <c r="EZE40" s="73"/>
      <c r="EZF40" s="73"/>
      <c r="EZG40" s="73"/>
      <c r="EZH40" s="73"/>
      <c r="EZI40" s="73"/>
      <c r="EZJ40" s="73"/>
      <c r="EZK40" s="73"/>
      <c r="EZL40" s="73"/>
      <c r="EZM40" s="73"/>
      <c r="EZN40" s="73"/>
      <c r="EZO40" s="73"/>
      <c r="EZP40" s="73"/>
      <c r="EZQ40" s="73"/>
      <c r="EZR40" s="73"/>
      <c r="EZS40" s="73"/>
      <c r="EZT40" s="73"/>
      <c r="EZU40" s="73"/>
      <c r="EZV40" s="73"/>
      <c r="EZW40" s="73"/>
      <c r="EZX40" s="73"/>
      <c r="EZY40" s="73"/>
      <c r="EZZ40" s="73"/>
      <c r="FAA40" s="73"/>
      <c r="FAB40" s="73"/>
      <c r="FAC40" s="73"/>
      <c r="FAD40" s="73"/>
      <c r="FAE40" s="73"/>
      <c r="FAF40" s="73"/>
      <c r="FAG40" s="73"/>
      <c r="FAH40" s="73"/>
      <c r="FAI40" s="73"/>
      <c r="FAJ40" s="73"/>
      <c r="FAK40" s="73"/>
      <c r="FAL40" s="73"/>
      <c r="FAM40" s="73"/>
      <c r="FAN40" s="73"/>
      <c r="FAO40" s="73"/>
      <c r="FAP40" s="73"/>
      <c r="FAQ40" s="73"/>
      <c r="FAR40" s="73"/>
      <c r="FAS40" s="73"/>
      <c r="FAT40" s="73"/>
      <c r="FAU40" s="73"/>
      <c r="FAV40" s="73"/>
      <c r="FAW40" s="73"/>
      <c r="FAX40" s="73"/>
      <c r="FAY40" s="73"/>
      <c r="FAZ40" s="73"/>
      <c r="FBA40" s="73"/>
      <c r="FBB40" s="73"/>
      <c r="FBC40" s="73"/>
      <c r="FBD40" s="73"/>
      <c r="FBE40" s="73"/>
      <c r="FBF40" s="73"/>
      <c r="FBG40" s="73"/>
      <c r="FBH40" s="73"/>
      <c r="FBI40" s="73"/>
      <c r="FBJ40" s="73"/>
      <c r="FBK40" s="73"/>
      <c r="FBL40" s="73"/>
      <c r="FBM40" s="73"/>
      <c r="FBN40" s="73"/>
      <c r="FBO40" s="73"/>
      <c r="FBP40" s="73"/>
      <c r="FBQ40" s="73"/>
      <c r="FBR40" s="73"/>
      <c r="FBS40" s="73"/>
      <c r="FBT40" s="73"/>
      <c r="FBU40" s="73"/>
      <c r="FBV40" s="73"/>
      <c r="FBW40" s="73"/>
      <c r="FBX40" s="73"/>
      <c r="FBY40" s="73"/>
      <c r="FBZ40" s="73"/>
      <c r="FCA40" s="73"/>
      <c r="FCB40" s="73"/>
      <c r="FCC40" s="73"/>
      <c r="FCD40" s="73"/>
      <c r="FCE40" s="73"/>
      <c r="FCF40" s="73"/>
      <c r="FCG40" s="73"/>
      <c r="FCH40" s="73"/>
      <c r="FCI40" s="73"/>
      <c r="FCJ40" s="73"/>
      <c r="FCK40" s="73"/>
      <c r="FCL40" s="73"/>
      <c r="FCM40" s="73"/>
      <c r="FCN40" s="73"/>
      <c r="FCO40" s="73"/>
      <c r="FCP40" s="73"/>
      <c r="FCQ40" s="73"/>
      <c r="FCR40" s="73"/>
      <c r="FCS40" s="73"/>
      <c r="FCT40" s="73"/>
      <c r="FCU40" s="73"/>
      <c r="FCV40" s="73"/>
      <c r="FCW40" s="73"/>
      <c r="FCX40" s="73"/>
      <c r="FCY40" s="73"/>
      <c r="FCZ40" s="73"/>
      <c r="FDA40" s="73"/>
      <c r="FDB40" s="73"/>
      <c r="FDC40" s="73"/>
      <c r="FDD40" s="73"/>
      <c r="FDE40" s="73"/>
      <c r="FDF40" s="73"/>
      <c r="FDG40" s="73"/>
      <c r="FDH40" s="73"/>
      <c r="FDI40" s="73"/>
      <c r="FDJ40" s="73"/>
      <c r="FDK40" s="73"/>
      <c r="FDL40" s="73"/>
      <c r="FDM40" s="73"/>
      <c r="FDN40" s="73"/>
      <c r="FDO40" s="73"/>
      <c r="FDP40" s="73"/>
      <c r="FDQ40" s="73"/>
      <c r="FDR40" s="73"/>
      <c r="FDS40" s="73"/>
      <c r="FDT40" s="73"/>
      <c r="FDU40" s="73"/>
      <c r="FDV40" s="73"/>
      <c r="FDW40" s="73"/>
      <c r="FDX40" s="73"/>
      <c r="FDY40" s="73"/>
      <c r="FDZ40" s="73"/>
      <c r="FEA40" s="73"/>
      <c r="FEB40" s="73"/>
      <c r="FEC40" s="73"/>
      <c r="FED40" s="73"/>
      <c r="FEE40" s="73"/>
      <c r="FEF40" s="73"/>
      <c r="FEG40" s="73"/>
      <c r="FEH40" s="73"/>
      <c r="FEI40" s="73"/>
      <c r="FEJ40" s="73"/>
      <c r="FEK40" s="73"/>
      <c r="FEL40" s="73"/>
      <c r="FEM40" s="73"/>
      <c r="FEN40" s="73"/>
      <c r="FEO40" s="73"/>
      <c r="FEP40" s="73"/>
      <c r="FEQ40" s="73"/>
      <c r="FER40" s="73"/>
      <c r="FES40" s="73"/>
      <c r="FET40" s="73"/>
      <c r="FEU40" s="73"/>
      <c r="FEV40" s="73"/>
      <c r="FEW40" s="73"/>
      <c r="FEX40" s="73"/>
      <c r="FEY40" s="73"/>
      <c r="FEZ40" s="73"/>
      <c r="FFA40" s="73"/>
      <c r="FFB40" s="73"/>
      <c r="FFC40" s="73"/>
      <c r="FFD40" s="73"/>
      <c r="FFE40" s="73"/>
      <c r="FFF40" s="73"/>
      <c r="FFG40" s="73"/>
      <c r="FFH40" s="73"/>
      <c r="FFI40" s="73"/>
      <c r="FFJ40" s="73"/>
      <c r="FFK40" s="73"/>
      <c r="FFL40" s="73"/>
      <c r="FFM40" s="73"/>
      <c r="FFN40" s="73"/>
      <c r="FFO40" s="73"/>
      <c r="FFP40" s="73"/>
      <c r="FFQ40" s="73"/>
      <c r="FFR40" s="73"/>
      <c r="FFS40" s="73"/>
      <c r="FFT40" s="73"/>
      <c r="FFU40" s="73"/>
      <c r="FFV40" s="73"/>
      <c r="FFW40" s="73"/>
      <c r="FFX40" s="73"/>
      <c r="FFY40" s="73"/>
      <c r="FFZ40" s="73"/>
      <c r="FGA40" s="73"/>
      <c r="FGB40" s="73"/>
      <c r="FGC40" s="73"/>
      <c r="FGD40" s="73"/>
      <c r="FGE40" s="73"/>
      <c r="FGF40" s="73"/>
      <c r="FGG40" s="73"/>
      <c r="FGH40" s="73"/>
      <c r="FGI40" s="73"/>
      <c r="FGJ40" s="73"/>
      <c r="FGK40" s="73"/>
      <c r="FGL40" s="73"/>
      <c r="FGM40" s="73"/>
      <c r="FGN40" s="73"/>
      <c r="FGO40" s="73"/>
      <c r="FGP40" s="73"/>
      <c r="FGQ40" s="73"/>
      <c r="FGR40" s="73"/>
      <c r="FGS40" s="73"/>
      <c r="FGT40" s="73"/>
      <c r="FGU40" s="73"/>
      <c r="FGV40" s="73"/>
      <c r="FGW40" s="73"/>
      <c r="FGX40" s="73"/>
      <c r="FGY40" s="73"/>
      <c r="FGZ40" s="73"/>
      <c r="FHA40" s="73"/>
      <c r="FHB40" s="73"/>
      <c r="FHC40" s="73"/>
      <c r="FHD40" s="73"/>
      <c r="FHE40" s="73"/>
      <c r="FHF40" s="73"/>
      <c r="FHG40" s="73"/>
      <c r="FHH40" s="73"/>
      <c r="FHI40" s="73"/>
      <c r="FHJ40" s="73"/>
      <c r="FHK40" s="73"/>
      <c r="FHL40" s="73"/>
      <c r="FHM40" s="73"/>
      <c r="FHN40" s="73"/>
      <c r="FHO40" s="73"/>
      <c r="FHP40" s="73"/>
      <c r="FHQ40" s="73"/>
      <c r="FHR40" s="73"/>
      <c r="FHS40" s="73"/>
      <c r="FHT40" s="73"/>
      <c r="FHU40" s="73"/>
      <c r="FHV40" s="73"/>
      <c r="FHW40" s="73"/>
      <c r="FHX40" s="73"/>
      <c r="FHY40" s="73"/>
      <c r="FHZ40" s="73"/>
      <c r="FIA40" s="73"/>
      <c r="FIB40" s="73"/>
      <c r="FIC40" s="73"/>
      <c r="FID40" s="73"/>
      <c r="FIE40" s="73"/>
      <c r="FIF40" s="73"/>
      <c r="FIG40" s="73"/>
      <c r="FIH40" s="73"/>
      <c r="FII40" s="73"/>
      <c r="FIJ40" s="73"/>
      <c r="FIK40" s="73"/>
      <c r="FIL40" s="73"/>
      <c r="FIM40" s="73"/>
      <c r="FIN40" s="73"/>
      <c r="FIO40" s="73"/>
      <c r="FIP40" s="73"/>
      <c r="FIQ40" s="73"/>
      <c r="FIR40" s="73"/>
      <c r="FIS40" s="73"/>
      <c r="FIT40" s="73"/>
      <c r="FIU40" s="73"/>
      <c r="FIV40" s="73"/>
      <c r="FIW40" s="73"/>
      <c r="FIX40" s="73"/>
      <c r="FIY40" s="73"/>
      <c r="FIZ40" s="73"/>
      <c r="FJA40" s="73"/>
      <c r="FJB40" s="73"/>
      <c r="FJC40" s="73"/>
      <c r="FJD40" s="73"/>
      <c r="FJE40" s="73"/>
      <c r="FJF40" s="73"/>
      <c r="FJG40" s="73"/>
      <c r="FJH40" s="73"/>
      <c r="FJI40" s="73"/>
      <c r="FJJ40" s="73"/>
      <c r="FJK40" s="73"/>
      <c r="FJL40" s="73"/>
      <c r="FJM40" s="73"/>
      <c r="FJN40" s="73"/>
      <c r="FJO40" s="73"/>
      <c r="FJP40" s="73"/>
      <c r="FJQ40" s="73"/>
      <c r="FJR40" s="73"/>
      <c r="FJS40" s="73"/>
      <c r="FJT40" s="73"/>
      <c r="FJU40" s="73"/>
      <c r="FJV40" s="73"/>
      <c r="FJW40" s="73"/>
      <c r="FJX40" s="73"/>
      <c r="FJY40" s="73"/>
      <c r="FJZ40" s="73"/>
      <c r="FKA40" s="73"/>
      <c r="FKB40" s="73"/>
      <c r="FKC40" s="73"/>
      <c r="FKD40" s="73"/>
      <c r="FKE40" s="73"/>
      <c r="FKF40" s="73"/>
      <c r="FKG40" s="73"/>
      <c r="FKH40" s="73"/>
      <c r="FKI40" s="73"/>
      <c r="FKJ40" s="73"/>
      <c r="FKK40" s="73"/>
      <c r="FKL40" s="73"/>
      <c r="FKM40" s="73"/>
      <c r="FKN40" s="73"/>
      <c r="FKO40" s="73"/>
      <c r="FKP40" s="73"/>
      <c r="FKQ40" s="73"/>
      <c r="FKR40" s="73"/>
      <c r="FKS40" s="73"/>
      <c r="FKT40" s="73"/>
      <c r="FKU40" s="73"/>
      <c r="FKV40" s="73"/>
      <c r="FKW40" s="73"/>
      <c r="FKX40" s="73"/>
      <c r="FKY40" s="73"/>
      <c r="FKZ40" s="73"/>
      <c r="FLA40" s="73"/>
      <c r="FLB40" s="73"/>
      <c r="FLC40" s="73"/>
      <c r="FLD40" s="73"/>
      <c r="FLE40" s="73"/>
      <c r="FLF40" s="73"/>
      <c r="FLG40" s="73"/>
      <c r="FLH40" s="73"/>
      <c r="FLI40" s="73"/>
      <c r="FLJ40" s="73"/>
      <c r="FLK40" s="73"/>
      <c r="FLL40" s="73"/>
      <c r="FLM40" s="73"/>
      <c r="FLN40" s="73"/>
      <c r="FLO40" s="73"/>
      <c r="FLP40" s="73"/>
      <c r="FLQ40" s="73"/>
      <c r="FLR40" s="73"/>
      <c r="FLS40" s="73"/>
      <c r="FLT40" s="73"/>
      <c r="FLU40" s="73"/>
      <c r="FLV40" s="73"/>
      <c r="FLW40" s="73"/>
      <c r="FLX40" s="73"/>
      <c r="FLY40" s="73"/>
      <c r="FLZ40" s="73"/>
      <c r="FMA40" s="73"/>
      <c r="FMB40" s="73"/>
      <c r="FMC40" s="73"/>
      <c r="FMD40" s="73"/>
      <c r="FME40" s="73"/>
      <c r="FMF40" s="73"/>
      <c r="FMG40" s="73"/>
      <c r="FMH40" s="73"/>
      <c r="FMI40" s="73"/>
      <c r="FMJ40" s="73"/>
      <c r="FMK40" s="73"/>
      <c r="FML40" s="73"/>
      <c r="FMM40" s="73"/>
      <c r="FMN40" s="73"/>
      <c r="FMO40" s="73"/>
      <c r="FMP40" s="73"/>
      <c r="FMQ40" s="73"/>
      <c r="FMR40" s="73"/>
      <c r="FMS40" s="73"/>
      <c r="FMT40" s="73"/>
      <c r="FMU40" s="73"/>
      <c r="FMV40" s="73"/>
      <c r="FMW40" s="73"/>
      <c r="FMX40" s="73"/>
      <c r="FMY40" s="73"/>
      <c r="FMZ40" s="73"/>
      <c r="FNA40" s="73"/>
      <c r="FNB40" s="73"/>
      <c r="FNC40" s="73"/>
      <c r="FND40" s="73"/>
      <c r="FNE40" s="73"/>
      <c r="FNF40" s="73"/>
      <c r="FNG40" s="73"/>
      <c r="FNH40" s="73"/>
      <c r="FNI40" s="73"/>
      <c r="FNJ40" s="73"/>
      <c r="FNK40" s="73"/>
      <c r="FNL40" s="73"/>
      <c r="FNM40" s="73"/>
      <c r="FNN40" s="73"/>
      <c r="FNO40" s="73"/>
      <c r="FNP40" s="73"/>
      <c r="FNQ40" s="73"/>
      <c r="FNR40" s="73"/>
      <c r="FNS40" s="73"/>
      <c r="FNT40" s="73"/>
      <c r="FNU40" s="73"/>
      <c r="FNV40" s="73"/>
      <c r="FNW40" s="73"/>
      <c r="FNX40" s="73"/>
      <c r="FNY40" s="73"/>
      <c r="FNZ40" s="73"/>
      <c r="FOA40" s="73"/>
      <c r="FOB40" s="73"/>
      <c r="FOC40" s="73"/>
      <c r="FOD40" s="73"/>
      <c r="FOE40" s="73"/>
      <c r="FOF40" s="73"/>
      <c r="FOG40" s="73"/>
      <c r="FOH40" s="73"/>
      <c r="FOI40" s="73"/>
      <c r="FOJ40" s="73"/>
      <c r="FOK40" s="73"/>
      <c r="FOL40" s="73"/>
      <c r="FOM40" s="73"/>
      <c r="FON40" s="73"/>
      <c r="FOO40" s="73"/>
      <c r="FOP40" s="73"/>
      <c r="FOQ40" s="73"/>
      <c r="FOR40" s="73"/>
      <c r="FOS40" s="73"/>
      <c r="FOT40" s="73"/>
      <c r="FOU40" s="73"/>
      <c r="FOV40" s="73"/>
      <c r="FOW40" s="73"/>
      <c r="FOX40" s="73"/>
      <c r="FOY40" s="73"/>
      <c r="FOZ40" s="73"/>
      <c r="FPA40" s="73"/>
      <c r="FPB40" s="73"/>
      <c r="FPC40" s="73"/>
      <c r="FPD40" s="73"/>
      <c r="FPE40" s="73"/>
      <c r="FPF40" s="73"/>
      <c r="FPG40" s="73"/>
      <c r="FPH40" s="73"/>
      <c r="FPI40" s="73"/>
      <c r="FPJ40" s="73"/>
      <c r="FPK40" s="73"/>
      <c r="FPL40" s="73"/>
      <c r="FPM40" s="73"/>
      <c r="FPN40" s="73"/>
      <c r="FPO40" s="73"/>
      <c r="FPP40" s="73"/>
      <c r="FPQ40" s="73"/>
      <c r="FPR40" s="73"/>
      <c r="FPS40" s="73"/>
      <c r="FPT40" s="73"/>
      <c r="FPU40" s="73"/>
      <c r="FPV40" s="73"/>
      <c r="FPW40" s="73"/>
      <c r="FPX40" s="73"/>
      <c r="FPY40" s="73"/>
      <c r="FPZ40" s="73"/>
      <c r="FQA40" s="73"/>
      <c r="FQB40" s="73"/>
      <c r="FQC40" s="73"/>
      <c r="FQD40" s="73"/>
      <c r="FQE40" s="73"/>
      <c r="FQF40" s="73"/>
      <c r="FQG40" s="73"/>
      <c r="FQH40" s="73"/>
      <c r="FQI40" s="73"/>
      <c r="FQJ40" s="73"/>
      <c r="FQK40" s="73"/>
      <c r="FQL40" s="73"/>
      <c r="FQM40" s="73"/>
      <c r="FQN40" s="73"/>
      <c r="FQO40" s="73"/>
      <c r="FQP40" s="73"/>
      <c r="FQQ40" s="73"/>
      <c r="FQR40" s="73"/>
      <c r="FQS40" s="73"/>
      <c r="FQT40" s="73"/>
      <c r="FQU40" s="73"/>
      <c r="FQV40" s="73"/>
      <c r="FQW40" s="73"/>
      <c r="FQX40" s="73"/>
      <c r="FQY40" s="73"/>
      <c r="FQZ40" s="73"/>
      <c r="FRA40" s="73"/>
      <c r="FRB40" s="73"/>
      <c r="FRC40" s="73"/>
      <c r="FRD40" s="73"/>
      <c r="FRE40" s="73"/>
      <c r="FRF40" s="73"/>
      <c r="FRG40" s="73"/>
      <c r="FRH40" s="73"/>
      <c r="FRI40" s="73"/>
      <c r="FRJ40" s="73"/>
      <c r="FRK40" s="73"/>
      <c r="FRL40" s="73"/>
      <c r="FRM40" s="73"/>
      <c r="FRN40" s="73"/>
      <c r="FRO40" s="73"/>
      <c r="FRP40" s="73"/>
      <c r="FRQ40" s="73"/>
      <c r="FRR40" s="73"/>
      <c r="FRS40" s="73"/>
      <c r="FRT40" s="73"/>
      <c r="FRU40" s="73"/>
      <c r="FRV40" s="73"/>
      <c r="FRW40" s="73"/>
      <c r="FRX40" s="73"/>
      <c r="FRY40" s="73"/>
      <c r="FRZ40" s="73"/>
      <c r="FSA40" s="73"/>
      <c r="FSB40" s="73"/>
      <c r="FSC40" s="73"/>
      <c r="FSD40" s="73"/>
      <c r="FSE40" s="73"/>
      <c r="FSF40" s="73"/>
      <c r="FSG40" s="73"/>
      <c r="FSH40" s="73"/>
      <c r="FSI40" s="73"/>
      <c r="FSJ40" s="73"/>
      <c r="FSK40" s="73"/>
      <c r="FSL40" s="73"/>
      <c r="FSM40" s="73"/>
      <c r="FSN40" s="73"/>
      <c r="FSO40" s="73"/>
      <c r="FSP40" s="73"/>
      <c r="FSQ40" s="73"/>
      <c r="FSR40" s="73"/>
      <c r="FSS40" s="73"/>
      <c r="FST40" s="73"/>
      <c r="FSU40" s="73"/>
      <c r="FSV40" s="73"/>
      <c r="FSW40" s="73"/>
      <c r="FSX40" s="73"/>
      <c r="FSY40" s="73"/>
      <c r="FSZ40" s="73"/>
      <c r="FTA40" s="73"/>
      <c r="FTB40" s="73"/>
      <c r="FTC40" s="73"/>
      <c r="FTD40" s="73"/>
      <c r="FTE40" s="73"/>
      <c r="FTF40" s="73"/>
      <c r="FTG40" s="73"/>
      <c r="FTH40" s="73"/>
      <c r="FTI40" s="73"/>
      <c r="FTJ40" s="73"/>
      <c r="FTK40" s="73"/>
      <c r="FTL40" s="73"/>
      <c r="FTM40" s="73"/>
      <c r="FTN40" s="73"/>
      <c r="FTO40" s="73"/>
      <c r="FTP40" s="73"/>
      <c r="FTQ40" s="73"/>
      <c r="FTR40" s="73"/>
      <c r="FTS40" s="73"/>
      <c r="FTT40" s="73"/>
      <c r="FTU40" s="73"/>
      <c r="FTV40" s="73"/>
      <c r="FTW40" s="73"/>
      <c r="FTX40" s="73"/>
      <c r="FTY40" s="73"/>
      <c r="FTZ40" s="73"/>
      <c r="FUA40" s="73"/>
      <c r="FUB40" s="73"/>
      <c r="FUC40" s="73"/>
      <c r="FUD40" s="73"/>
      <c r="FUE40" s="73"/>
      <c r="FUF40" s="73"/>
      <c r="FUG40" s="73"/>
      <c r="FUH40" s="73"/>
      <c r="FUI40" s="73"/>
      <c r="FUJ40" s="73"/>
      <c r="FUK40" s="73"/>
      <c r="FUL40" s="73"/>
      <c r="FUM40" s="73"/>
      <c r="FUN40" s="73"/>
      <c r="FUO40" s="73"/>
      <c r="FUP40" s="73"/>
      <c r="FUQ40" s="73"/>
      <c r="FUR40" s="73"/>
      <c r="FUS40" s="73"/>
      <c r="FUT40" s="73"/>
      <c r="FUU40" s="73"/>
      <c r="FUV40" s="73"/>
      <c r="FUW40" s="73"/>
      <c r="FUX40" s="73"/>
      <c r="FUY40" s="73"/>
      <c r="FUZ40" s="73"/>
      <c r="FVA40" s="73"/>
      <c r="FVB40" s="73"/>
      <c r="FVC40" s="73"/>
      <c r="FVD40" s="73"/>
      <c r="FVE40" s="73"/>
      <c r="FVF40" s="73"/>
      <c r="FVG40" s="73"/>
      <c r="FVH40" s="73"/>
      <c r="FVI40" s="73"/>
      <c r="FVJ40" s="73"/>
      <c r="FVK40" s="73"/>
      <c r="FVL40" s="73"/>
      <c r="FVM40" s="73"/>
      <c r="FVN40" s="73"/>
      <c r="FVO40" s="73"/>
      <c r="FVP40" s="73"/>
      <c r="FVQ40" s="73"/>
      <c r="FVR40" s="73"/>
      <c r="FVS40" s="73"/>
      <c r="FVT40" s="73"/>
      <c r="FVU40" s="73"/>
      <c r="FVV40" s="73"/>
      <c r="FVW40" s="73"/>
      <c r="FVX40" s="73"/>
      <c r="FVY40" s="73"/>
      <c r="FVZ40" s="73"/>
      <c r="FWA40" s="73"/>
      <c r="FWB40" s="73"/>
      <c r="FWC40" s="73"/>
      <c r="FWD40" s="73"/>
      <c r="FWE40" s="73"/>
      <c r="FWF40" s="73"/>
      <c r="FWG40" s="73"/>
      <c r="FWH40" s="73"/>
      <c r="FWI40" s="73"/>
      <c r="FWJ40" s="73"/>
      <c r="FWK40" s="73"/>
      <c r="FWL40" s="73"/>
      <c r="FWM40" s="73"/>
      <c r="FWN40" s="73"/>
      <c r="FWO40" s="73"/>
      <c r="FWP40" s="73"/>
      <c r="FWQ40" s="73"/>
      <c r="FWR40" s="73"/>
      <c r="FWS40" s="73"/>
      <c r="FWT40" s="73"/>
      <c r="FWU40" s="73"/>
      <c r="FWV40" s="73"/>
      <c r="FWW40" s="73"/>
      <c r="FWX40" s="73"/>
      <c r="FWY40" s="73"/>
      <c r="FWZ40" s="73"/>
      <c r="FXA40" s="73"/>
      <c r="FXB40" s="73"/>
      <c r="FXC40" s="73"/>
      <c r="FXD40" s="73"/>
      <c r="FXE40" s="73"/>
      <c r="FXF40" s="73"/>
      <c r="FXG40" s="73"/>
      <c r="FXH40" s="73"/>
      <c r="FXI40" s="73"/>
      <c r="FXJ40" s="73"/>
      <c r="FXK40" s="73"/>
      <c r="FXL40" s="73"/>
      <c r="FXM40" s="73"/>
      <c r="FXN40" s="73"/>
      <c r="FXO40" s="73"/>
      <c r="FXP40" s="73"/>
      <c r="FXQ40" s="73"/>
      <c r="FXR40" s="73"/>
      <c r="FXS40" s="73"/>
      <c r="FXT40" s="73"/>
      <c r="FXU40" s="73"/>
      <c r="FXV40" s="73"/>
      <c r="FXW40" s="73"/>
      <c r="FXX40" s="73"/>
      <c r="FXY40" s="73"/>
      <c r="FXZ40" s="73"/>
      <c r="FYA40" s="73"/>
      <c r="FYB40" s="73"/>
      <c r="FYC40" s="73"/>
      <c r="FYD40" s="73"/>
      <c r="FYE40" s="73"/>
      <c r="FYF40" s="73"/>
      <c r="FYG40" s="73"/>
      <c r="FYH40" s="73"/>
      <c r="FYI40" s="73"/>
      <c r="FYJ40" s="73"/>
      <c r="FYK40" s="73"/>
      <c r="FYL40" s="73"/>
      <c r="FYM40" s="73"/>
      <c r="FYN40" s="73"/>
      <c r="FYO40" s="73"/>
      <c r="FYP40" s="73"/>
      <c r="FYQ40" s="73"/>
      <c r="FYR40" s="73"/>
      <c r="FYS40" s="73"/>
      <c r="FYT40" s="73"/>
      <c r="FYU40" s="73"/>
      <c r="FYV40" s="73"/>
      <c r="FYW40" s="73"/>
      <c r="FYX40" s="73"/>
      <c r="FYY40" s="73"/>
      <c r="FYZ40" s="73"/>
      <c r="FZA40" s="73"/>
      <c r="FZB40" s="73"/>
      <c r="FZC40" s="73"/>
      <c r="FZD40" s="73"/>
      <c r="FZE40" s="73"/>
      <c r="FZF40" s="73"/>
      <c r="FZG40" s="73"/>
      <c r="FZH40" s="73"/>
      <c r="FZI40" s="73"/>
      <c r="FZJ40" s="73"/>
      <c r="FZK40" s="73"/>
      <c r="FZL40" s="73"/>
      <c r="FZM40" s="73"/>
      <c r="FZN40" s="73"/>
      <c r="FZO40" s="73"/>
      <c r="FZP40" s="73"/>
      <c r="FZQ40" s="73"/>
      <c r="FZR40" s="73"/>
      <c r="FZS40" s="73"/>
      <c r="FZT40" s="73"/>
      <c r="FZU40" s="73"/>
      <c r="FZV40" s="73"/>
      <c r="FZW40" s="73"/>
      <c r="FZX40" s="73"/>
      <c r="FZY40" s="73"/>
      <c r="FZZ40" s="73"/>
      <c r="GAA40" s="73"/>
      <c r="GAB40" s="73"/>
      <c r="GAC40" s="73"/>
      <c r="GAD40" s="73"/>
      <c r="GAE40" s="73"/>
      <c r="GAF40" s="73"/>
      <c r="GAG40" s="73"/>
      <c r="GAH40" s="73"/>
      <c r="GAI40" s="73"/>
      <c r="GAJ40" s="73"/>
      <c r="GAK40" s="73"/>
      <c r="GAL40" s="73"/>
      <c r="GAM40" s="73"/>
      <c r="GAN40" s="73"/>
      <c r="GAO40" s="73"/>
      <c r="GAP40" s="73"/>
      <c r="GAQ40" s="73"/>
      <c r="GAR40" s="73"/>
      <c r="GAS40" s="73"/>
      <c r="GAT40" s="73"/>
      <c r="GAU40" s="73"/>
      <c r="GAV40" s="73"/>
      <c r="GAW40" s="73"/>
      <c r="GAX40" s="73"/>
      <c r="GAY40" s="73"/>
      <c r="GAZ40" s="73"/>
      <c r="GBA40" s="73"/>
      <c r="GBB40" s="73"/>
      <c r="GBC40" s="73"/>
      <c r="GBD40" s="73"/>
      <c r="GBE40" s="73"/>
      <c r="GBF40" s="73"/>
      <c r="GBG40" s="73"/>
      <c r="GBH40" s="73"/>
      <c r="GBI40" s="73"/>
      <c r="GBJ40" s="73"/>
      <c r="GBK40" s="73"/>
      <c r="GBL40" s="73"/>
      <c r="GBM40" s="73"/>
      <c r="GBN40" s="73"/>
      <c r="GBO40" s="73"/>
      <c r="GBP40" s="73"/>
      <c r="GBQ40" s="73"/>
      <c r="GBR40" s="73"/>
      <c r="GBS40" s="73"/>
      <c r="GBT40" s="73"/>
      <c r="GBU40" s="73"/>
      <c r="GBV40" s="73"/>
      <c r="GBW40" s="73"/>
      <c r="GBX40" s="73"/>
      <c r="GBY40" s="73"/>
      <c r="GBZ40" s="73"/>
      <c r="GCA40" s="73"/>
      <c r="GCB40" s="73"/>
      <c r="GCC40" s="73"/>
      <c r="GCD40" s="73"/>
      <c r="GCE40" s="73"/>
      <c r="GCF40" s="73"/>
      <c r="GCG40" s="73"/>
      <c r="GCH40" s="73"/>
      <c r="GCI40" s="73"/>
      <c r="GCJ40" s="73"/>
      <c r="GCK40" s="73"/>
      <c r="GCL40" s="73"/>
      <c r="GCM40" s="73"/>
      <c r="GCN40" s="73"/>
      <c r="GCO40" s="73"/>
      <c r="GCP40" s="73"/>
      <c r="GCQ40" s="73"/>
      <c r="GCR40" s="73"/>
      <c r="GCS40" s="73"/>
      <c r="GCT40" s="73"/>
      <c r="GCU40" s="73"/>
      <c r="GCV40" s="73"/>
      <c r="GCW40" s="73"/>
      <c r="GCX40" s="73"/>
      <c r="GCY40" s="73"/>
      <c r="GCZ40" s="73"/>
      <c r="GDA40" s="73"/>
      <c r="GDB40" s="73"/>
      <c r="GDC40" s="73"/>
      <c r="GDD40" s="73"/>
      <c r="GDE40" s="73"/>
      <c r="GDF40" s="73"/>
      <c r="GDG40" s="73"/>
      <c r="GDH40" s="73"/>
      <c r="GDI40" s="73"/>
      <c r="GDJ40" s="73"/>
      <c r="GDK40" s="73"/>
      <c r="GDL40" s="73"/>
      <c r="GDM40" s="73"/>
      <c r="GDN40" s="73"/>
      <c r="GDO40" s="73"/>
      <c r="GDP40" s="73"/>
      <c r="GDQ40" s="73"/>
      <c r="GDR40" s="73"/>
      <c r="GDS40" s="73"/>
      <c r="GDT40" s="73"/>
      <c r="GDU40" s="73"/>
      <c r="GDV40" s="73"/>
      <c r="GDW40" s="73"/>
      <c r="GDX40" s="73"/>
      <c r="GDY40" s="73"/>
      <c r="GDZ40" s="73"/>
      <c r="GEA40" s="73"/>
      <c r="GEB40" s="73"/>
      <c r="GEC40" s="73"/>
      <c r="GED40" s="73"/>
      <c r="GEE40" s="73"/>
      <c r="GEF40" s="73"/>
      <c r="GEG40" s="73"/>
      <c r="GEH40" s="73"/>
      <c r="GEI40" s="73"/>
      <c r="GEJ40" s="73"/>
      <c r="GEK40" s="73"/>
      <c r="GEL40" s="73"/>
      <c r="GEM40" s="73"/>
      <c r="GEN40" s="73"/>
      <c r="GEO40" s="73"/>
      <c r="GEP40" s="73"/>
      <c r="GEQ40" s="73"/>
      <c r="GER40" s="73"/>
      <c r="GES40" s="73"/>
      <c r="GET40" s="73"/>
      <c r="GEU40" s="73"/>
      <c r="GEV40" s="73"/>
      <c r="GEW40" s="73"/>
      <c r="GEX40" s="73"/>
      <c r="GEY40" s="73"/>
      <c r="GEZ40" s="73"/>
      <c r="GFA40" s="73"/>
      <c r="GFB40" s="73"/>
      <c r="GFC40" s="73"/>
      <c r="GFD40" s="73"/>
      <c r="GFE40" s="73"/>
      <c r="GFF40" s="73"/>
      <c r="GFG40" s="73"/>
      <c r="GFH40" s="73"/>
      <c r="GFI40" s="73"/>
      <c r="GFJ40" s="73"/>
      <c r="GFK40" s="73"/>
      <c r="GFL40" s="73"/>
      <c r="GFM40" s="73"/>
      <c r="GFN40" s="73"/>
      <c r="GFO40" s="73"/>
      <c r="GFP40" s="73"/>
      <c r="GFQ40" s="73"/>
      <c r="GFR40" s="73"/>
      <c r="GFS40" s="73"/>
      <c r="GFT40" s="73"/>
      <c r="GFU40" s="73"/>
      <c r="GFV40" s="73"/>
      <c r="GFW40" s="73"/>
      <c r="GFX40" s="73"/>
      <c r="GFY40" s="73"/>
      <c r="GFZ40" s="73"/>
      <c r="GGA40" s="73"/>
      <c r="GGB40" s="73"/>
      <c r="GGC40" s="73"/>
      <c r="GGD40" s="73"/>
      <c r="GGE40" s="73"/>
      <c r="GGF40" s="73"/>
      <c r="GGG40" s="73"/>
      <c r="GGH40" s="73"/>
      <c r="GGI40" s="73"/>
      <c r="GGJ40" s="73"/>
      <c r="GGK40" s="73"/>
      <c r="GGL40" s="73"/>
      <c r="GGM40" s="73"/>
      <c r="GGN40" s="73"/>
      <c r="GGO40" s="73"/>
      <c r="GGP40" s="73"/>
      <c r="GGQ40" s="73"/>
      <c r="GGR40" s="73"/>
      <c r="GGS40" s="73"/>
      <c r="GGT40" s="73"/>
      <c r="GGU40" s="73"/>
      <c r="GGV40" s="73"/>
      <c r="GGW40" s="73"/>
      <c r="GGX40" s="73"/>
      <c r="GGY40" s="73"/>
      <c r="GGZ40" s="73"/>
      <c r="GHA40" s="73"/>
      <c r="GHB40" s="73"/>
      <c r="GHC40" s="73"/>
      <c r="GHD40" s="73"/>
      <c r="GHE40" s="73"/>
      <c r="GHF40" s="73"/>
      <c r="GHG40" s="73"/>
      <c r="GHH40" s="73"/>
      <c r="GHI40" s="73"/>
      <c r="GHJ40" s="73"/>
      <c r="GHK40" s="73"/>
      <c r="GHL40" s="73"/>
      <c r="GHM40" s="73"/>
      <c r="GHN40" s="73"/>
      <c r="GHO40" s="73"/>
      <c r="GHP40" s="73"/>
      <c r="GHQ40" s="73"/>
      <c r="GHR40" s="73"/>
      <c r="GHS40" s="73"/>
      <c r="GHT40" s="73"/>
      <c r="GHU40" s="73"/>
      <c r="GHV40" s="73"/>
      <c r="GHW40" s="73"/>
      <c r="GHX40" s="73"/>
      <c r="GHY40" s="73"/>
      <c r="GHZ40" s="73"/>
      <c r="GIA40" s="73"/>
      <c r="GIB40" s="73"/>
      <c r="GIC40" s="73"/>
      <c r="GID40" s="73"/>
      <c r="GIE40" s="73"/>
      <c r="GIF40" s="73"/>
      <c r="GIG40" s="73"/>
      <c r="GIH40" s="73"/>
      <c r="GII40" s="73"/>
      <c r="GIJ40" s="73"/>
      <c r="GIK40" s="73"/>
      <c r="GIL40" s="73"/>
      <c r="GIM40" s="73"/>
      <c r="GIN40" s="73"/>
      <c r="GIO40" s="73"/>
      <c r="GIP40" s="73"/>
      <c r="GIQ40" s="73"/>
      <c r="GIR40" s="73"/>
      <c r="GIS40" s="73"/>
      <c r="GIT40" s="73"/>
      <c r="GIU40" s="73"/>
      <c r="GIV40" s="73"/>
      <c r="GIW40" s="73"/>
      <c r="GIX40" s="73"/>
      <c r="GIY40" s="73"/>
      <c r="GIZ40" s="73"/>
      <c r="GJA40" s="73"/>
      <c r="GJB40" s="73"/>
      <c r="GJC40" s="73"/>
      <c r="GJD40" s="73"/>
      <c r="GJE40" s="73"/>
      <c r="GJF40" s="73"/>
      <c r="GJG40" s="73"/>
      <c r="GJH40" s="73"/>
      <c r="GJI40" s="73"/>
      <c r="GJJ40" s="73"/>
      <c r="GJK40" s="73"/>
      <c r="GJL40" s="73"/>
      <c r="GJM40" s="73"/>
      <c r="GJN40" s="73"/>
      <c r="GJO40" s="73"/>
      <c r="GJP40" s="73"/>
      <c r="GJQ40" s="73"/>
      <c r="GJR40" s="73"/>
      <c r="GJS40" s="73"/>
      <c r="GJT40" s="73"/>
      <c r="GJU40" s="73"/>
      <c r="GJV40" s="73"/>
      <c r="GJW40" s="73"/>
      <c r="GJX40" s="73"/>
      <c r="GJY40" s="73"/>
      <c r="GJZ40" s="73"/>
      <c r="GKA40" s="73"/>
      <c r="GKB40" s="73"/>
      <c r="GKC40" s="73"/>
      <c r="GKD40" s="73"/>
      <c r="GKE40" s="73"/>
      <c r="GKF40" s="73"/>
      <c r="GKG40" s="73"/>
      <c r="GKH40" s="73"/>
      <c r="GKI40" s="73"/>
      <c r="GKJ40" s="73"/>
      <c r="GKK40" s="73"/>
      <c r="GKL40" s="73"/>
      <c r="GKM40" s="73"/>
      <c r="GKN40" s="73"/>
      <c r="GKO40" s="73"/>
      <c r="GKP40" s="73"/>
      <c r="GKQ40" s="73"/>
      <c r="GKR40" s="73"/>
      <c r="GKS40" s="73"/>
      <c r="GKT40" s="73"/>
      <c r="GKU40" s="73"/>
      <c r="GKV40" s="73"/>
      <c r="GKW40" s="73"/>
      <c r="GKX40" s="73"/>
      <c r="GKY40" s="73"/>
      <c r="GKZ40" s="73"/>
      <c r="GLA40" s="73"/>
      <c r="GLB40" s="73"/>
      <c r="GLC40" s="73"/>
      <c r="GLD40" s="73"/>
      <c r="GLE40" s="73"/>
      <c r="GLF40" s="73"/>
      <c r="GLG40" s="73"/>
      <c r="GLH40" s="73"/>
      <c r="GLI40" s="73"/>
      <c r="GLJ40" s="73"/>
      <c r="GLK40" s="73"/>
      <c r="GLL40" s="73"/>
      <c r="GLM40" s="73"/>
      <c r="GLN40" s="73"/>
      <c r="GLO40" s="73"/>
      <c r="GLP40" s="73"/>
      <c r="GLQ40" s="73"/>
      <c r="GLR40" s="73"/>
      <c r="GLS40" s="73"/>
      <c r="GLT40" s="73"/>
      <c r="GLU40" s="73"/>
      <c r="GLV40" s="73"/>
      <c r="GLW40" s="73"/>
      <c r="GLX40" s="73"/>
      <c r="GLY40" s="73"/>
      <c r="GLZ40" s="73"/>
      <c r="GMA40" s="73"/>
      <c r="GMB40" s="73"/>
      <c r="GMC40" s="73"/>
      <c r="GMD40" s="73"/>
      <c r="GME40" s="73"/>
      <c r="GMF40" s="73"/>
      <c r="GMG40" s="73"/>
      <c r="GMH40" s="73"/>
      <c r="GMI40" s="73"/>
      <c r="GMJ40" s="73"/>
      <c r="GMK40" s="73"/>
      <c r="GML40" s="73"/>
      <c r="GMM40" s="73"/>
      <c r="GMN40" s="73"/>
      <c r="GMO40" s="73"/>
      <c r="GMP40" s="73"/>
      <c r="GMQ40" s="73"/>
      <c r="GMR40" s="73"/>
      <c r="GMS40" s="73"/>
      <c r="GMT40" s="73"/>
      <c r="GMU40" s="73"/>
      <c r="GMV40" s="73"/>
      <c r="GMW40" s="73"/>
      <c r="GMX40" s="73"/>
      <c r="GMY40" s="73"/>
      <c r="GMZ40" s="73"/>
      <c r="GNA40" s="73"/>
      <c r="GNB40" s="73"/>
      <c r="GNC40" s="73"/>
      <c r="GND40" s="73"/>
      <c r="GNE40" s="73"/>
      <c r="GNF40" s="73"/>
      <c r="GNG40" s="73"/>
      <c r="GNH40" s="73"/>
      <c r="GNI40" s="73"/>
      <c r="GNJ40" s="73"/>
      <c r="GNK40" s="73"/>
      <c r="GNL40" s="73"/>
      <c r="GNM40" s="73"/>
      <c r="GNN40" s="73"/>
      <c r="GNO40" s="73"/>
      <c r="GNP40" s="73"/>
      <c r="GNQ40" s="73"/>
      <c r="GNR40" s="73"/>
      <c r="GNS40" s="73"/>
      <c r="GNT40" s="73"/>
      <c r="GNU40" s="73"/>
      <c r="GNV40" s="73"/>
      <c r="GNW40" s="73"/>
      <c r="GNX40" s="73"/>
      <c r="GNY40" s="73"/>
      <c r="GNZ40" s="73"/>
      <c r="GOA40" s="73"/>
      <c r="GOB40" s="73"/>
      <c r="GOC40" s="73"/>
      <c r="GOD40" s="73"/>
      <c r="GOE40" s="73"/>
      <c r="GOF40" s="73"/>
      <c r="GOG40" s="73"/>
      <c r="GOH40" s="73"/>
      <c r="GOI40" s="73"/>
      <c r="GOJ40" s="73"/>
      <c r="GOK40" s="73"/>
      <c r="GOL40" s="73"/>
      <c r="GOM40" s="73"/>
      <c r="GON40" s="73"/>
      <c r="GOO40" s="73"/>
      <c r="GOP40" s="73"/>
      <c r="GOQ40" s="73"/>
      <c r="GOR40" s="73"/>
      <c r="GOS40" s="73"/>
      <c r="GOT40" s="73"/>
      <c r="GOU40" s="73"/>
      <c r="GOV40" s="73"/>
      <c r="GOW40" s="73"/>
      <c r="GOX40" s="73"/>
      <c r="GOY40" s="73"/>
      <c r="GOZ40" s="73"/>
      <c r="GPA40" s="73"/>
      <c r="GPB40" s="73"/>
      <c r="GPC40" s="73"/>
      <c r="GPD40" s="73"/>
      <c r="GPE40" s="73"/>
      <c r="GPF40" s="73"/>
      <c r="GPG40" s="73"/>
      <c r="GPH40" s="73"/>
      <c r="GPI40" s="73"/>
      <c r="GPJ40" s="73"/>
      <c r="GPK40" s="73"/>
      <c r="GPL40" s="73"/>
      <c r="GPM40" s="73"/>
      <c r="GPN40" s="73"/>
      <c r="GPO40" s="73"/>
      <c r="GPP40" s="73"/>
      <c r="GPQ40" s="73"/>
      <c r="GPR40" s="73"/>
      <c r="GPS40" s="73"/>
      <c r="GPT40" s="73"/>
      <c r="GPU40" s="73"/>
      <c r="GPV40" s="73"/>
      <c r="GPW40" s="73"/>
      <c r="GPX40" s="73"/>
      <c r="GPY40" s="73"/>
      <c r="GPZ40" s="73"/>
      <c r="GQA40" s="73"/>
      <c r="GQB40" s="73"/>
      <c r="GQC40" s="73"/>
      <c r="GQD40" s="73"/>
      <c r="GQE40" s="73"/>
      <c r="GQF40" s="73"/>
      <c r="GQG40" s="73"/>
      <c r="GQH40" s="73"/>
      <c r="GQI40" s="73"/>
      <c r="GQJ40" s="73"/>
      <c r="GQK40" s="73"/>
      <c r="GQL40" s="73"/>
      <c r="GQM40" s="73"/>
      <c r="GQN40" s="73"/>
      <c r="GQO40" s="73"/>
      <c r="GQP40" s="73"/>
      <c r="GQQ40" s="73"/>
      <c r="GQR40" s="73"/>
      <c r="GQS40" s="73"/>
      <c r="GQT40" s="73"/>
      <c r="GQU40" s="73"/>
      <c r="GQV40" s="73"/>
      <c r="GQW40" s="73"/>
      <c r="GQX40" s="73"/>
      <c r="GQY40" s="73"/>
      <c r="GQZ40" s="73"/>
      <c r="GRA40" s="73"/>
      <c r="GRB40" s="73"/>
      <c r="GRC40" s="73"/>
      <c r="GRD40" s="73"/>
      <c r="GRE40" s="73"/>
      <c r="GRF40" s="73"/>
      <c r="GRG40" s="73"/>
      <c r="GRH40" s="73"/>
      <c r="GRI40" s="73"/>
      <c r="GRJ40" s="73"/>
      <c r="GRK40" s="73"/>
      <c r="GRL40" s="73"/>
      <c r="GRM40" s="73"/>
      <c r="GRN40" s="73"/>
      <c r="GRO40" s="73"/>
      <c r="GRP40" s="73"/>
      <c r="GRQ40" s="73"/>
      <c r="GRR40" s="73"/>
      <c r="GRS40" s="73"/>
      <c r="GRT40" s="73"/>
      <c r="GRU40" s="73"/>
      <c r="GRV40" s="73"/>
      <c r="GRW40" s="73"/>
      <c r="GRX40" s="73"/>
      <c r="GRY40" s="73"/>
      <c r="GRZ40" s="73"/>
      <c r="GSA40" s="73"/>
      <c r="GSB40" s="73"/>
      <c r="GSC40" s="73"/>
      <c r="GSD40" s="73"/>
      <c r="GSE40" s="73"/>
      <c r="GSF40" s="73"/>
      <c r="GSG40" s="73"/>
      <c r="GSH40" s="73"/>
      <c r="GSI40" s="73"/>
      <c r="GSJ40" s="73"/>
      <c r="GSK40" s="73"/>
      <c r="GSL40" s="73"/>
      <c r="GSM40" s="73"/>
      <c r="GSN40" s="73"/>
      <c r="GSO40" s="73"/>
      <c r="GSP40" s="73"/>
      <c r="GSQ40" s="73"/>
      <c r="GSR40" s="73"/>
      <c r="GSS40" s="73"/>
      <c r="GST40" s="73"/>
      <c r="GSU40" s="73"/>
      <c r="GSV40" s="73"/>
      <c r="GSW40" s="73"/>
      <c r="GSX40" s="73"/>
      <c r="GSY40" s="73"/>
      <c r="GSZ40" s="73"/>
      <c r="GTA40" s="73"/>
      <c r="GTB40" s="73"/>
      <c r="GTC40" s="73"/>
      <c r="GTD40" s="73"/>
      <c r="GTE40" s="73"/>
      <c r="GTF40" s="73"/>
      <c r="GTG40" s="73"/>
      <c r="GTH40" s="73"/>
      <c r="GTI40" s="73"/>
      <c r="GTJ40" s="73"/>
      <c r="GTK40" s="73"/>
      <c r="GTL40" s="73"/>
      <c r="GTM40" s="73"/>
      <c r="GTN40" s="73"/>
      <c r="GTO40" s="73"/>
      <c r="GTP40" s="73"/>
      <c r="GTQ40" s="73"/>
      <c r="GTR40" s="73"/>
      <c r="GTS40" s="73"/>
      <c r="GTT40" s="73"/>
      <c r="GTU40" s="73"/>
      <c r="GTV40" s="73"/>
      <c r="GTW40" s="73"/>
      <c r="GTX40" s="73"/>
      <c r="GTY40" s="73"/>
      <c r="GTZ40" s="73"/>
      <c r="GUA40" s="73"/>
      <c r="GUB40" s="73"/>
      <c r="GUC40" s="73"/>
      <c r="GUD40" s="73"/>
      <c r="GUE40" s="73"/>
      <c r="GUF40" s="73"/>
      <c r="GUG40" s="73"/>
      <c r="GUH40" s="73"/>
      <c r="GUI40" s="73"/>
      <c r="GUJ40" s="73"/>
      <c r="GUK40" s="73"/>
      <c r="GUL40" s="73"/>
      <c r="GUM40" s="73"/>
      <c r="GUN40" s="73"/>
      <c r="GUO40" s="73"/>
      <c r="GUP40" s="73"/>
      <c r="GUQ40" s="73"/>
      <c r="GUR40" s="73"/>
      <c r="GUS40" s="73"/>
      <c r="GUT40" s="73"/>
      <c r="GUU40" s="73"/>
      <c r="GUV40" s="73"/>
      <c r="GUW40" s="73"/>
      <c r="GUX40" s="73"/>
      <c r="GUY40" s="73"/>
      <c r="GUZ40" s="73"/>
      <c r="GVA40" s="73"/>
      <c r="GVB40" s="73"/>
      <c r="GVC40" s="73"/>
      <c r="GVD40" s="73"/>
      <c r="GVE40" s="73"/>
      <c r="GVF40" s="73"/>
      <c r="GVG40" s="73"/>
      <c r="GVH40" s="73"/>
      <c r="GVI40" s="73"/>
      <c r="GVJ40" s="73"/>
      <c r="GVK40" s="73"/>
      <c r="GVL40" s="73"/>
      <c r="GVM40" s="73"/>
      <c r="GVN40" s="73"/>
      <c r="GVO40" s="73"/>
      <c r="GVP40" s="73"/>
      <c r="GVQ40" s="73"/>
      <c r="GVR40" s="73"/>
      <c r="GVS40" s="73"/>
      <c r="GVT40" s="73"/>
      <c r="GVU40" s="73"/>
      <c r="GVV40" s="73"/>
      <c r="GVW40" s="73"/>
      <c r="GVX40" s="73"/>
      <c r="GVY40" s="73"/>
      <c r="GVZ40" s="73"/>
      <c r="GWA40" s="73"/>
      <c r="GWB40" s="73"/>
      <c r="GWC40" s="73"/>
      <c r="GWD40" s="73"/>
      <c r="GWE40" s="73"/>
      <c r="GWF40" s="73"/>
      <c r="GWG40" s="73"/>
      <c r="GWH40" s="73"/>
      <c r="GWI40" s="73"/>
      <c r="GWJ40" s="73"/>
      <c r="GWK40" s="73"/>
      <c r="GWL40" s="73"/>
      <c r="GWM40" s="73"/>
      <c r="GWN40" s="73"/>
      <c r="GWO40" s="73"/>
      <c r="GWP40" s="73"/>
      <c r="GWQ40" s="73"/>
      <c r="GWR40" s="73"/>
      <c r="GWS40" s="73"/>
      <c r="GWT40" s="73"/>
      <c r="GWU40" s="73"/>
      <c r="GWV40" s="73"/>
      <c r="GWW40" s="73"/>
      <c r="GWX40" s="73"/>
      <c r="GWY40" s="73"/>
      <c r="GWZ40" s="73"/>
      <c r="GXA40" s="73"/>
      <c r="GXB40" s="73"/>
      <c r="GXC40" s="73"/>
      <c r="GXD40" s="73"/>
      <c r="GXE40" s="73"/>
      <c r="GXF40" s="73"/>
      <c r="GXG40" s="73"/>
      <c r="GXH40" s="73"/>
      <c r="GXI40" s="73"/>
      <c r="GXJ40" s="73"/>
      <c r="GXK40" s="73"/>
      <c r="GXL40" s="73"/>
      <c r="GXM40" s="73"/>
      <c r="GXN40" s="73"/>
      <c r="GXO40" s="73"/>
      <c r="GXP40" s="73"/>
      <c r="GXQ40" s="73"/>
      <c r="GXR40" s="73"/>
      <c r="GXS40" s="73"/>
      <c r="GXT40" s="73"/>
      <c r="GXU40" s="73"/>
      <c r="GXV40" s="73"/>
      <c r="GXW40" s="73"/>
      <c r="GXX40" s="73"/>
      <c r="GXY40" s="73"/>
      <c r="GXZ40" s="73"/>
      <c r="GYA40" s="73"/>
      <c r="GYB40" s="73"/>
      <c r="GYC40" s="73"/>
      <c r="GYD40" s="73"/>
      <c r="GYE40" s="73"/>
      <c r="GYF40" s="73"/>
      <c r="GYG40" s="73"/>
      <c r="GYH40" s="73"/>
      <c r="GYI40" s="73"/>
      <c r="GYJ40" s="73"/>
      <c r="GYK40" s="73"/>
      <c r="GYL40" s="73"/>
      <c r="GYM40" s="73"/>
      <c r="GYN40" s="73"/>
      <c r="GYO40" s="73"/>
      <c r="GYP40" s="73"/>
      <c r="GYQ40" s="73"/>
      <c r="GYR40" s="73"/>
      <c r="GYS40" s="73"/>
      <c r="GYT40" s="73"/>
      <c r="GYU40" s="73"/>
      <c r="GYV40" s="73"/>
      <c r="GYW40" s="73"/>
      <c r="GYX40" s="73"/>
      <c r="GYY40" s="73"/>
      <c r="GYZ40" s="73"/>
      <c r="GZA40" s="73"/>
      <c r="GZB40" s="73"/>
      <c r="GZC40" s="73"/>
      <c r="GZD40" s="73"/>
      <c r="GZE40" s="73"/>
      <c r="GZF40" s="73"/>
      <c r="GZG40" s="73"/>
      <c r="GZH40" s="73"/>
      <c r="GZI40" s="73"/>
      <c r="GZJ40" s="73"/>
      <c r="GZK40" s="73"/>
      <c r="GZL40" s="73"/>
      <c r="GZM40" s="73"/>
      <c r="GZN40" s="73"/>
      <c r="GZO40" s="73"/>
      <c r="GZP40" s="73"/>
      <c r="GZQ40" s="73"/>
      <c r="GZR40" s="73"/>
      <c r="GZS40" s="73"/>
      <c r="GZT40" s="73"/>
      <c r="GZU40" s="73"/>
      <c r="GZV40" s="73"/>
      <c r="GZW40" s="73"/>
      <c r="GZX40" s="73"/>
      <c r="GZY40" s="73"/>
      <c r="GZZ40" s="73"/>
      <c r="HAA40" s="73"/>
      <c r="HAB40" s="73"/>
      <c r="HAC40" s="73"/>
      <c r="HAD40" s="73"/>
      <c r="HAE40" s="73"/>
      <c r="HAF40" s="73"/>
      <c r="HAG40" s="73"/>
      <c r="HAH40" s="73"/>
      <c r="HAI40" s="73"/>
      <c r="HAJ40" s="73"/>
      <c r="HAK40" s="73"/>
      <c r="HAL40" s="73"/>
      <c r="HAM40" s="73"/>
      <c r="HAN40" s="73"/>
      <c r="HAO40" s="73"/>
      <c r="HAP40" s="73"/>
      <c r="HAQ40" s="73"/>
      <c r="HAR40" s="73"/>
      <c r="HAS40" s="73"/>
      <c r="HAT40" s="73"/>
      <c r="HAU40" s="73"/>
      <c r="HAV40" s="73"/>
      <c r="HAW40" s="73"/>
      <c r="HAX40" s="73"/>
      <c r="HAY40" s="73"/>
      <c r="HAZ40" s="73"/>
      <c r="HBA40" s="73"/>
      <c r="HBB40" s="73"/>
      <c r="HBC40" s="73"/>
      <c r="HBD40" s="73"/>
      <c r="HBE40" s="73"/>
      <c r="HBF40" s="73"/>
      <c r="HBG40" s="73"/>
      <c r="HBH40" s="73"/>
      <c r="HBI40" s="73"/>
      <c r="HBJ40" s="73"/>
      <c r="HBK40" s="73"/>
      <c r="HBL40" s="73"/>
      <c r="HBM40" s="73"/>
      <c r="HBN40" s="73"/>
      <c r="HBO40" s="73"/>
      <c r="HBP40" s="73"/>
      <c r="HBQ40" s="73"/>
      <c r="HBR40" s="73"/>
      <c r="HBS40" s="73"/>
      <c r="HBT40" s="73"/>
      <c r="HBU40" s="73"/>
      <c r="HBV40" s="73"/>
      <c r="HBW40" s="73"/>
      <c r="HBX40" s="73"/>
      <c r="HBY40" s="73"/>
      <c r="HBZ40" s="73"/>
      <c r="HCA40" s="73"/>
      <c r="HCB40" s="73"/>
      <c r="HCC40" s="73"/>
      <c r="HCD40" s="73"/>
      <c r="HCE40" s="73"/>
      <c r="HCF40" s="73"/>
      <c r="HCG40" s="73"/>
      <c r="HCH40" s="73"/>
      <c r="HCI40" s="73"/>
      <c r="HCJ40" s="73"/>
      <c r="HCK40" s="73"/>
      <c r="HCL40" s="73"/>
      <c r="HCM40" s="73"/>
      <c r="HCN40" s="73"/>
      <c r="HCO40" s="73"/>
      <c r="HCP40" s="73"/>
      <c r="HCQ40" s="73"/>
      <c r="HCR40" s="73"/>
      <c r="HCS40" s="73"/>
      <c r="HCT40" s="73"/>
      <c r="HCU40" s="73"/>
      <c r="HCV40" s="73"/>
      <c r="HCW40" s="73"/>
      <c r="HCX40" s="73"/>
      <c r="HCY40" s="73"/>
      <c r="HCZ40" s="73"/>
      <c r="HDA40" s="73"/>
      <c r="HDB40" s="73"/>
      <c r="HDC40" s="73"/>
      <c r="HDD40" s="73"/>
      <c r="HDE40" s="73"/>
      <c r="HDF40" s="73"/>
      <c r="HDG40" s="73"/>
      <c r="HDH40" s="73"/>
      <c r="HDI40" s="73"/>
      <c r="HDJ40" s="73"/>
      <c r="HDK40" s="73"/>
      <c r="HDL40" s="73"/>
      <c r="HDM40" s="73"/>
      <c r="HDN40" s="73"/>
      <c r="HDO40" s="73"/>
      <c r="HDP40" s="73"/>
      <c r="HDQ40" s="73"/>
      <c r="HDR40" s="73"/>
      <c r="HDS40" s="73"/>
      <c r="HDT40" s="73"/>
      <c r="HDU40" s="73"/>
      <c r="HDV40" s="73"/>
      <c r="HDW40" s="73"/>
      <c r="HDX40" s="73"/>
      <c r="HDY40" s="73"/>
      <c r="HDZ40" s="73"/>
      <c r="HEA40" s="73"/>
      <c r="HEB40" s="73"/>
      <c r="HEC40" s="73"/>
      <c r="HED40" s="73"/>
      <c r="HEE40" s="73"/>
      <c r="HEF40" s="73"/>
      <c r="HEG40" s="73"/>
      <c r="HEH40" s="73"/>
      <c r="HEI40" s="73"/>
      <c r="HEJ40" s="73"/>
      <c r="HEK40" s="73"/>
      <c r="HEL40" s="73"/>
      <c r="HEM40" s="73"/>
      <c r="HEN40" s="73"/>
      <c r="HEO40" s="73"/>
      <c r="HEP40" s="73"/>
      <c r="HEQ40" s="73"/>
      <c r="HER40" s="73"/>
      <c r="HES40" s="73"/>
      <c r="HET40" s="73"/>
      <c r="HEU40" s="73"/>
      <c r="HEV40" s="73"/>
      <c r="HEW40" s="73"/>
      <c r="HEX40" s="73"/>
      <c r="HEY40" s="73"/>
      <c r="HEZ40" s="73"/>
      <c r="HFA40" s="73"/>
      <c r="HFB40" s="73"/>
      <c r="HFC40" s="73"/>
      <c r="HFD40" s="73"/>
      <c r="HFE40" s="73"/>
      <c r="HFF40" s="73"/>
      <c r="HFG40" s="73"/>
      <c r="HFH40" s="73"/>
      <c r="HFI40" s="73"/>
      <c r="HFJ40" s="73"/>
      <c r="HFK40" s="73"/>
      <c r="HFL40" s="73"/>
      <c r="HFM40" s="73"/>
      <c r="HFN40" s="73"/>
      <c r="HFO40" s="73"/>
      <c r="HFP40" s="73"/>
      <c r="HFQ40" s="73"/>
      <c r="HFR40" s="73"/>
      <c r="HFS40" s="73"/>
      <c r="HFT40" s="73"/>
      <c r="HFU40" s="73"/>
      <c r="HFV40" s="73"/>
      <c r="HFW40" s="73"/>
      <c r="HFX40" s="73"/>
      <c r="HFY40" s="73"/>
      <c r="HFZ40" s="73"/>
      <c r="HGA40" s="73"/>
      <c r="HGB40" s="73"/>
      <c r="HGC40" s="73"/>
      <c r="HGD40" s="73"/>
      <c r="HGE40" s="73"/>
      <c r="HGF40" s="73"/>
      <c r="HGG40" s="73"/>
      <c r="HGH40" s="73"/>
      <c r="HGI40" s="73"/>
      <c r="HGJ40" s="73"/>
      <c r="HGK40" s="73"/>
      <c r="HGL40" s="73"/>
      <c r="HGM40" s="73"/>
      <c r="HGN40" s="73"/>
      <c r="HGO40" s="73"/>
      <c r="HGP40" s="73"/>
      <c r="HGQ40" s="73"/>
      <c r="HGR40" s="73"/>
      <c r="HGS40" s="73"/>
      <c r="HGT40" s="73"/>
      <c r="HGU40" s="73"/>
      <c r="HGV40" s="73"/>
      <c r="HGW40" s="73"/>
      <c r="HGX40" s="73"/>
      <c r="HGY40" s="73"/>
      <c r="HGZ40" s="73"/>
      <c r="HHA40" s="73"/>
      <c r="HHB40" s="73"/>
      <c r="HHC40" s="73"/>
      <c r="HHD40" s="73"/>
      <c r="HHE40" s="73"/>
      <c r="HHF40" s="73"/>
      <c r="HHG40" s="73"/>
      <c r="HHH40" s="73"/>
      <c r="HHI40" s="73"/>
      <c r="HHJ40" s="73"/>
      <c r="HHK40" s="73"/>
      <c r="HHL40" s="73"/>
      <c r="HHM40" s="73"/>
      <c r="HHN40" s="73"/>
      <c r="HHO40" s="73"/>
      <c r="HHP40" s="73"/>
      <c r="HHQ40" s="73"/>
      <c r="HHR40" s="73"/>
      <c r="HHS40" s="73"/>
      <c r="HHT40" s="73"/>
      <c r="HHU40" s="73"/>
      <c r="HHV40" s="73"/>
      <c r="HHW40" s="73"/>
      <c r="HHX40" s="73"/>
      <c r="HHY40" s="73"/>
      <c r="HHZ40" s="73"/>
      <c r="HIA40" s="73"/>
      <c r="HIB40" s="73"/>
      <c r="HIC40" s="73"/>
      <c r="HID40" s="73"/>
      <c r="HIE40" s="73"/>
      <c r="HIF40" s="73"/>
      <c r="HIG40" s="73"/>
      <c r="HIH40" s="73"/>
      <c r="HII40" s="73"/>
      <c r="HIJ40" s="73"/>
      <c r="HIK40" s="73"/>
      <c r="HIL40" s="73"/>
      <c r="HIM40" s="73"/>
      <c r="HIN40" s="73"/>
      <c r="HIO40" s="73"/>
      <c r="HIP40" s="73"/>
      <c r="HIQ40" s="73"/>
      <c r="HIR40" s="73"/>
      <c r="HIS40" s="73"/>
      <c r="HIT40" s="73"/>
      <c r="HIU40" s="73"/>
      <c r="HIV40" s="73"/>
      <c r="HIW40" s="73"/>
      <c r="HIX40" s="73"/>
      <c r="HIY40" s="73"/>
      <c r="HIZ40" s="73"/>
      <c r="HJA40" s="73"/>
      <c r="HJB40" s="73"/>
      <c r="HJC40" s="73"/>
      <c r="HJD40" s="73"/>
      <c r="HJE40" s="73"/>
      <c r="HJF40" s="73"/>
      <c r="HJG40" s="73"/>
      <c r="HJH40" s="73"/>
      <c r="HJI40" s="73"/>
      <c r="HJJ40" s="73"/>
      <c r="HJK40" s="73"/>
      <c r="HJL40" s="73"/>
      <c r="HJM40" s="73"/>
      <c r="HJN40" s="73"/>
      <c r="HJO40" s="73"/>
      <c r="HJP40" s="73"/>
      <c r="HJQ40" s="73"/>
      <c r="HJR40" s="73"/>
      <c r="HJS40" s="73"/>
      <c r="HJT40" s="73"/>
      <c r="HJU40" s="73"/>
      <c r="HJV40" s="73"/>
      <c r="HJW40" s="73"/>
      <c r="HJX40" s="73"/>
      <c r="HJY40" s="73"/>
      <c r="HJZ40" s="73"/>
      <c r="HKA40" s="73"/>
      <c r="HKB40" s="73"/>
      <c r="HKC40" s="73"/>
      <c r="HKD40" s="73"/>
      <c r="HKE40" s="73"/>
      <c r="HKF40" s="73"/>
      <c r="HKG40" s="73"/>
      <c r="HKH40" s="73"/>
      <c r="HKI40" s="73"/>
      <c r="HKJ40" s="73"/>
      <c r="HKK40" s="73"/>
      <c r="HKL40" s="73"/>
      <c r="HKM40" s="73"/>
      <c r="HKN40" s="73"/>
      <c r="HKO40" s="73"/>
      <c r="HKP40" s="73"/>
      <c r="HKQ40" s="73"/>
      <c r="HKR40" s="73"/>
      <c r="HKS40" s="73"/>
      <c r="HKT40" s="73"/>
      <c r="HKU40" s="73"/>
      <c r="HKV40" s="73"/>
      <c r="HKW40" s="73"/>
      <c r="HKX40" s="73"/>
      <c r="HKY40" s="73"/>
      <c r="HKZ40" s="73"/>
      <c r="HLA40" s="73"/>
      <c r="HLB40" s="73"/>
      <c r="HLC40" s="73"/>
      <c r="HLD40" s="73"/>
      <c r="HLE40" s="73"/>
      <c r="HLF40" s="73"/>
      <c r="HLG40" s="73"/>
      <c r="HLH40" s="73"/>
      <c r="HLI40" s="73"/>
      <c r="HLJ40" s="73"/>
      <c r="HLK40" s="73"/>
      <c r="HLL40" s="73"/>
      <c r="HLM40" s="73"/>
      <c r="HLN40" s="73"/>
      <c r="HLO40" s="73"/>
      <c r="HLP40" s="73"/>
      <c r="HLQ40" s="73"/>
      <c r="HLR40" s="73"/>
      <c r="HLS40" s="73"/>
      <c r="HLT40" s="73"/>
      <c r="HLU40" s="73"/>
      <c r="HLV40" s="73"/>
      <c r="HLW40" s="73"/>
      <c r="HLX40" s="73"/>
      <c r="HLY40" s="73"/>
      <c r="HLZ40" s="73"/>
      <c r="HMA40" s="73"/>
      <c r="HMB40" s="73"/>
      <c r="HMC40" s="73"/>
      <c r="HMD40" s="73"/>
      <c r="HME40" s="73"/>
      <c r="HMF40" s="73"/>
      <c r="HMG40" s="73"/>
      <c r="HMH40" s="73"/>
      <c r="HMI40" s="73"/>
      <c r="HMJ40" s="73"/>
      <c r="HMK40" s="73"/>
      <c r="HML40" s="73"/>
      <c r="HMM40" s="73"/>
      <c r="HMN40" s="73"/>
      <c r="HMO40" s="73"/>
      <c r="HMP40" s="73"/>
      <c r="HMQ40" s="73"/>
      <c r="HMR40" s="73"/>
      <c r="HMS40" s="73"/>
      <c r="HMT40" s="73"/>
      <c r="HMU40" s="73"/>
      <c r="HMV40" s="73"/>
      <c r="HMW40" s="73"/>
      <c r="HMX40" s="73"/>
      <c r="HMY40" s="73"/>
      <c r="HMZ40" s="73"/>
      <c r="HNA40" s="73"/>
      <c r="HNB40" s="73"/>
      <c r="HNC40" s="73"/>
      <c r="HND40" s="73"/>
      <c r="HNE40" s="73"/>
      <c r="HNF40" s="73"/>
      <c r="HNG40" s="73"/>
      <c r="HNH40" s="73"/>
      <c r="HNI40" s="73"/>
      <c r="HNJ40" s="73"/>
      <c r="HNK40" s="73"/>
      <c r="HNL40" s="73"/>
      <c r="HNM40" s="73"/>
      <c r="HNN40" s="73"/>
      <c r="HNO40" s="73"/>
      <c r="HNP40" s="73"/>
      <c r="HNQ40" s="73"/>
      <c r="HNR40" s="73"/>
      <c r="HNS40" s="73"/>
      <c r="HNT40" s="73"/>
      <c r="HNU40" s="73"/>
      <c r="HNV40" s="73"/>
      <c r="HNW40" s="73"/>
      <c r="HNX40" s="73"/>
      <c r="HNY40" s="73"/>
      <c r="HNZ40" s="73"/>
      <c r="HOA40" s="73"/>
      <c r="HOB40" s="73"/>
      <c r="HOC40" s="73"/>
      <c r="HOD40" s="73"/>
      <c r="HOE40" s="73"/>
      <c r="HOF40" s="73"/>
      <c r="HOG40" s="73"/>
      <c r="HOH40" s="73"/>
      <c r="HOI40" s="73"/>
      <c r="HOJ40" s="73"/>
      <c r="HOK40" s="73"/>
      <c r="HOL40" s="73"/>
      <c r="HOM40" s="73"/>
      <c r="HON40" s="73"/>
      <c r="HOO40" s="73"/>
      <c r="HOP40" s="73"/>
      <c r="HOQ40" s="73"/>
      <c r="HOR40" s="73"/>
      <c r="HOS40" s="73"/>
      <c r="HOT40" s="73"/>
      <c r="HOU40" s="73"/>
      <c r="HOV40" s="73"/>
      <c r="HOW40" s="73"/>
      <c r="HOX40" s="73"/>
      <c r="HOY40" s="73"/>
      <c r="HOZ40" s="73"/>
      <c r="HPA40" s="73"/>
      <c r="HPB40" s="73"/>
      <c r="HPC40" s="73"/>
      <c r="HPD40" s="73"/>
      <c r="HPE40" s="73"/>
      <c r="HPF40" s="73"/>
      <c r="HPG40" s="73"/>
      <c r="HPH40" s="73"/>
      <c r="HPI40" s="73"/>
      <c r="HPJ40" s="73"/>
      <c r="HPK40" s="73"/>
      <c r="HPL40" s="73"/>
      <c r="HPM40" s="73"/>
      <c r="HPN40" s="73"/>
      <c r="HPO40" s="73"/>
      <c r="HPP40" s="73"/>
      <c r="HPQ40" s="73"/>
      <c r="HPR40" s="73"/>
      <c r="HPS40" s="73"/>
      <c r="HPT40" s="73"/>
      <c r="HPU40" s="73"/>
      <c r="HPV40" s="73"/>
      <c r="HPW40" s="73"/>
      <c r="HPX40" s="73"/>
      <c r="HPY40" s="73"/>
      <c r="HPZ40" s="73"/>
      <c r="HQA40" s="73"/>
      <c r="HQB40" s="73"/>
      <c r="HQC40" s="73"/>
      <c r="HQD40" s="73"/>
      <c r="HQE40" s="73"/>
      <c r="HQF40" s="73"/>
      <c r="HQG40" s="73"/>
      <c r="HQH40" s="73"/>
      <c r="HQI40" s="73"/>
      <c r="HQJ40" s="73"/>
      <c r="HQK40" s="73"/>
      <c r="HQL40" s="73"/>
      <c r="HQM40" s="73"/>
      <c r="HQN40" s="73"/>
      <c r="HQO40" s="73"/>
      <c r="HQP40" s="73"/>
      <c r="HQQ40" s="73"/>
      <c r="HQR40" s="73"/>
      <c r="HQS40" s="73"/>
      <c r="HQT40" s="73"/>
      <c r="HQU40" s="73"/>
      <c r="HQV40" s="73"/>
      <c r="HQW40" s="73"/>
      <c r="HQX40" s="73"/>
      <c r="HQY40" s="73"/>
      <c r="HQZ40" s="73"/>
      <c r="HRA40" s="73"/>
      <c r="HRB40" s="73"/>
      <c r="HRC40" s="73"/>
      <c r="HRD40" s="73"/>
      <c r="HRE40" s="73"/>
      <c r="HRF40" s="73"/>
      <c r="HRG40" s="73"/>
      <c r="HRH40" s="73"/>
      <c r="HRI40" s="73"/>
      <c r="HRJ40" s="73"/>
      <c r="HRK40" s="73"/>
      <c r="HRL40" s="73"/>
      <c r="HRM40" s="73"/>
      <c r="HRN40" s="73"/>
      <c r="HRO40" s="73"/>
      <c r="HRP40" s="73"/>
      <c r="HRQ40" s="73"/>
      <c r="HRR40" s="73"/>
      <c r="HRS40" s="73"/>
      <c r="HRT40" s="73"/>
      <c r="HRU40" s="73"/>
      <c r="HRV40" s="73"/>
      <c r="HRW40" s="73"/>
      <c r="HRX40" s="73"/>
      <c r="HRY40" s="73"/>
      <c r="HRZ40" s="73"/>
      <c r="HSA40" s="73"/>
      <c r="HSB40" s="73"/>
      <c r="HSC40" s="73"/>
      <c r="HSD40" s="73"/>
      <c r="HSE40" s="73"/>
      <c r="HSF40" s="73"/>
      <c r="HSG40" s="73"/>
      <c r="HSH40" s="73"/>
      <c r="HSI40" s="73"/>
      <c r="HSJ40" s="73"/>
      <c r="HSK40" s="73"/>
      <c r="HSL40" s="73"/>
      <c r="HSM40" s="73"/>
      <c r="HSN40" s="73"/>
      <c r="HSO40" s="73"/>
      <c r="HSP40" s="73"/>
      <c r="HSQ40" s="73"/>
      <c r="HSR40" s="73"/>
      <c r="HSS40" s="73"/>
      <c r="HST40" s="73"/>
      <c r="HSU40" s="73"/>
      <c r="HSV40" s="73"/>
      <c r="HSW40" s="73"/>
      <c r="HSX40" s="73"/>
      <c r="HSY40" s="73"/>
      <c r="HSZ40" s="73"/>
      <c r="HTA40" s="73"/>
      <c r="HTB40" s="73"/>
      <c r="HTC40" s="73"/>
      <c r="HTD40" s="73"/>
      <c r="HTE40" s="73"/>
      <c r="HTF40" s="73"/>
      <c r="HTG40" s="73"/>
      <c r="HTH40" s="73"/>
      <c r="HTI40" s="73"/>
      <c r="HTJ40" s="73"/>
      <c r="HTK40" s="73"/>
      <c r="HTL40" s="73"/>
      <c r="HTM40" s="73"/>
      <c r="HTN40" s="73"/>
      <c r="HTO40" s="73"/>
      <c r="HTP40" s="73"/>
      <c r="HTQ40" s="73"/>
      <c r="HTR40" s="73"/>
      <c r="HTS40" s="73"/>
      <c r="HTT40" s="73"/>
      <c r="HTU40" s="73"/>
      <c r="HTV40" s="73"/>
      <c r="HTW40" s="73"/>
      <c r="HTX40" s="73"/>
      <c r="HTY40" s="73"/>
      <c r="HTZ40" s="73"/>
      <c r="HUA40" s="73"/>
      <c r="HUB40" s="73"/>
      <c r="HUC40" s="73"/>
      <c r="HUD40" s="73"/>
      <c r="HUE40" s="73"/>
      <c r="HUF40" s="73"/>
      <c r="HUG40" s="73"/>
      <c r="HUH40" s="73"/>
      <c r="HUI40" s="73"/>
      <c r="HUJ40" s="73"/>
      <c r="HUK40" s="73"/>
      <c r="HUL40" s="73"/>
      <c r="HUM40" s="73"/>
      <c r="HUN40" s="73"/>
      <c r="HUO40" s="73"/>
      <c r="HUP40" s="73"/>
      <c r="HUQ40" s="73"/>
      <c r="HUR40" s="73"/>
      <c r="HUS40" s="73"/>
      <c r="HUT40" s="73"/>
      <c r="HUU40" s="73"/>
      <c r="HUV40" s="73"/>
      <c r="HUW40" s="73"/>
      <c r="HUX40" s="73"/>
      <c r="HUY40" s="73"/>
      <c r="HUZ40" s="73"/>
      <c r="HVA40" s="73"/>
      <c r="HVB40" s="73"/>
      <c r="HVC40" s="73"/>
      <c r="HVD40" s="73"/>
      <c r="HVE40" s="73"/>
      <c r="HVF40" s="73"/>
      <c r="HVG40" s="73"/>
      <c r="HVH40" s="73"/>
      <c r="HVI40" s="73"/>
      <c r="HVJ40" s="73"/>
      <c r="HVK40" s="73"/>
      <c r="HVL40" s="73"/>
      <c r="HVM40" s="73"/>
      <c r="HVN40" s="73"/>
      <c r="HVO40" s="73"/>
      <c r="HVP40" s="73"/>
      <c r="HVQ40" s="73"/>
      <c r="HVR40" s="73"/>
      <c r="HVS40" s="73"/>
      <c r="HVT40" s="73"/>
      <c r="HVU40" s="73"/>
      <c r="HVV40" s="73"/>
      <c r="HVW40" s="73"/>
      <c r="HVX40" s="73"/>
      <c r="HVY40" s="73"/>
      <c r="HVZ40" s="73"/>
      <c r="HWA40" s="73"/>
      <c r="HWB40" s="73"/>
      <c r="HWC40" s="73"/>
      <c r="HWD40" s="73"/>
      <c r="HWE40" s="73"/>
      <c r="HWF40" s="73"/>
      <c r="HWG40" s="73"/>
      <c r="HWH40" s="73"/>
      <c r="HWI40" s="73"/>
      <c r="HWJ40" s="73"/>
      <c r="HWK40" s="73"/>
      <c r="HWL40" s="73"/>
      <c r="HWM40" s="73"/>
      <c r="HWN40" s="73"/>
      <c r="HWO40" s="73"/>
      <c r="HWP40" s="73"/>
      <c r="HWQ40" s="73"/>
      <c r="HWR40" s="73"/>
      <c r="HWS40" s="73"/>
      <c r="HWT40" s="73"/>
      <c r="HWU40" s="73"/>
      <c r="HWV40" s="73"/>
      <c r="HWW40" s="73"/>
      <c r="HWX40" s="73"/>
      <c r="HWY40" s="73"/>
      <c r="HWZ40" s="73"/>
      <c r="HXA40" s="73"/>
      <c r="HXB40" s="73"/>
      <c r="HXC40" s="73"/>
      <c r="HXD40" s="73"/>
      <c r="HXE40" s="73"/>
      <c r="HXF40" s="73"/>
      <c r="HXG40" s="73"/>
      <c r="HXH40" s="73"/>
      <c r="HXI40" s="73"/>
      <c r="HXJ40" s="73"/>
      <c r="HXK40" s="73"/>
      <c r="HXL40" s="73"/>
      <c r="HXM40" s="73"/>
      <c r="HXN40" s="73"/>
      <c r="HXO40" s="73"/>
      <c r="HXP40" s="73"/>
      <c r="HXQ40" s="73"/>
      <c r="HXR40" s="73"/>
      <c r="HXS40" s="73"/>
      <c r="HXT40" s="73"/>
      <c r="HXU40" s="73"/>
      <c r="HXV40" s="73"/>
      <c r="HXW40" s="73"/>
      <c r="HXX40" s="73"/>
      <c r="HXY40" s="73"/>
      <c r="HXZ40" s="73"/>
      <c r="HYA40" s="73"/>
      <c r="HYB40" s="73"/>
      <c r="HYC40" s="73"/>
      <c r="HYD40" s="73"/>
      <c r="HYE40" s="73"/>
      <c r="HYF40" s="73"/>
      <c r="HYG40" s="73"/>
      <c r="HYH40" s="73"/>
      <c r="HYI40" s="73"/>
      <c r="HYJ40" s="73"/>
      <c r="HYK40" s="73"/>
      <c r="HYL40" s="73"/>
      <c r="HYM40" s="73"/>
      <c r="HYN40" s="73"/>
      <c r="HYO40" s="73"/>
      <c r="HYP40" s="73"/>
      <c r="HYQ40" s="73"/>
      <c r="HYR40" s="73"/>
      <c r="HYS40" s="73"/>
      <c r="HYT40" s="73"/>
      <c r="HYU40" s="73"/>
      <c r="HYV40" s="73"/>
      <c r="HYW40" s="73"/>
      <c r="HYX40" s="73"/>
      <c r="HYY40" s="73"/>
      <c r="HYZ40" s="73"/>
      <c r="HZA40" s="73"/>
      <c r="HZB40" s="73"/>
      <c r="HZC40" s="73"/>
      <c r="HZD40" s="73"/>
      <c r="HZE40" s="73"/>
      <c r="HZF40" s="73"/>
      <c r="HZG40" s="73"/>
      <c r="HZH40" s="73"/>
      <c r="HZI40" s="73"/>
      <c r="HZJ40" s="73"/>
      <c r="HZK40" s="73"/>
      <c r="HZL40" s="73"/>
      <c r="HZM40" s="73"/>
      <c r="HZN40" s="73"/>
      <c r="HZO40" s="73"/>
      <c r="HZP40" s="73"/>
      <c r="HZQ40" s="73"/>
      <c r="HZR40" s="73"/>
      <c r="HZS40" s="73"/>
      <c r="HZT40" s="73"/>
      <c r="HZU40" s="73"/>
      <c r="HZV40" s="73"/>
      <c r="HZW40" s="73"/>
      <c r="HZX40" s="73"/>
      <c r="HZY40" s="73"/>
      <c r="HZZ40" s="73"/>
      <c r="IAA40" s="73"/>
      <c r="IAB40" s="73"/>
      <c r="IAC40" s="73"/>
      <c r="IAD40" s="73"/>
      <c r="IAE40" s="73"/>
      <c r="IAF40" s="73"/>
      <c r="IAG40" s="73"/>
      <c r="IAH40" s="73"/>
      <c r="IAI40" s="73"/>
      <c r="IAJ40" s="73"/>
      <c r="IAK40" s="73"/>
      <c r="IAL40" s="73"/>
      <c r="IAM40" s="73"/>
      <c r="IAN40" s="73"/>
      <c r="IAO40" s="73"/>
      <c r="IAP40" s="73"/>
      <c r="IAQ40" s="73"/>
      <c r="IAR40" s="73"/>
      <c r="IAS40" s="73"/>
      <c r="IAT40" s="73"/>
      <c r="IAU40" s="73"/>
      <c r="IAV40" s="73"/>
      <c r="IAW40" s="73"/>
      <c r="IAX40" s="73"/>
      <c r="IAY40" s="73"/>
      <c r="IAZ40" s="73"/>
      <c r="IBA40" s="73"/>
      <c r="IBB40" s="73"/>
      <c r="IBC40" s="73"/>
      <c r="IBD40" s="73"/>
      <c r="IBE40" s="73"/>
      <c r="IBF40" s="73"/>
      <c r="IBG40" s="73"/>
      <c r="IBH40" s="73"/>
      <c r="IBI40" s="73"/>
      <c r="IBJ40" s="73"/>
      <c r="IBK40" s="73"/>
      <c r="IBL40" s="73"/>
      <c r="IBM40" s="73"/>
      <c r="IBN40" s="73"/>
      <c r="IBO40" s="73"/>
      <c r="IBP40" s="73"/>
      <c r="IBQ40" s="73"/>
      <c r="IBR40" s="73"/>
      <c r="IBS40" s="73"/>
      <c r="IBT40" s="73"/>
      <c r="IBU40" s="73"/>
      <c r="IBV40" s="73"/>
      <c r="IBW40" s="73"/>
      <c r="IBX40" s="73"/>
      <c r="IBY40" s="73"/>
      <c r="IBZ40" s="73"/>
      <c r="ICA40" s="73"/>
      <c r="ICB40" s="73"/>
      <c r="ICC40" s="73"/>
      <c r="ICD40" s="73"/>
      <c r="ICE40" s="73"/>
      <c r="ICF40" s="73"/>
      <c r="ICG40" s="73"/>
      <c r="ICH40" s="73"/>
      <c r="ICI40" s="73"/>
      <c r="ICJ40" s="73"/>
      <c r="ICK40" s="73"/>
      <c r="ICL40" s="73"/>
      <c r="ICM40" s="73"/>
      <c r="ICN40" s="73"/>
      <c r="ICO40" s="73"/>
      <c r="ICP40" s="73"/>
      <c r="ICQ40" s="73"/>
      <c r="ICR40" s="73"/>
      <c r="ICS40" s="73"/>
      <c r="ICT40" s="73"/>
      <c r="ICU40" s="73"/>
      <c r="ICV40" s="73"/>
      <c r="ICW40" s="73"/>
      <c r="ICX40" s="73"/>
      <c r="ICY40" s="73"/>
      <c r="ICZ40" s="73"/>
      <c r="IDA40" s="73"/>
      <c r="IDB40" s="73"/>
      <c r="IDC40" s="73"/>
      <c r="IDD40" s="73"/>
      <c r="IDE40" s="73"/>
      <c r="IDF40" s="73"/>
      <c r="IDG40" s="73"/>
      <c r="IDH40" s="73"/>
      <c r="IDI40" s="73"/>
      <c r="IDJ40" s="73"/>
      <c r="IDK40" s="73"/>
      <c r="IDL40" s="73"/>
      <c r="IDM40" s="73"/>
      <c r="IDN40" s="73"/>
      <c r="IDO40" s="73"/>
      <c r="IDP40" s="73"/>
      <c r="IDQ40" s="73"/>
      <c r="IDR40" s="73"/>
      <c r="IDS40" s="73"/>
      <c r="IDT40" s="73"/>
      <c r="IDU40" s="73"/>
      <c r="IDV40" s="73"/>
      <c r="IDW40" s="73"/>
      <c r="IDX40" s="73"/>
      <c r="IDY40" s="73"/>
      <c r="IDZ40" s="73"/>
      <c r="IEA40" s="73"/>
      <c r="IEB40" s="73"/>
      <c r="IEC40" s="73"/>
      <c r="IED40" s="73"/>
      <c r="IEE40" s="73"/>
      <c r="IEF40" s="73"/>
      <c r="IEG40" s="73"/>
      <c r="IEH40" s="73"/>
      <c r="IEI40" s="73"/>
      <c r="IEJ40" s="73"/>
      <c r="IEK40" s="73"/>
      <c r="IEL40" s="73"/>
      <c r="IEM40" s="73"/>
      <c r="IEN40" s="73"/>
      <c r="IEO40" s="73"/>
      <c r="IEP40" s="73"/>
      <c r="IEQ40" s="73"/>
      <c r="IER40" s="73"/>
      <c r="IES40" s="73"/>
      <c r="IET40" s="73"/>
      <c r="IEU40" s="73"/>
      <c r="IEV40" s="73"/>
      <c r="IEW40" s="73"/>
      <c r="IEX40" s="73"/>
      <c r="IEY40" s="73"/>
      <c r="IEZ40" s="73"/>
      <c r="IFA40" s="73"/>
      <c r="IFB40" s="73"/>
      <c r="IFC40" s="73"/>
      <c r="IFD40" s="73"/>
      <c r="IFE40" s="73"/>
      <c r="IFF40" s="73"/>
      <c r="IFG40" s="73"/>
      <c r="IFH40" s="73"/>
      <c r="IFI40" s="73"/>
      <c r="IFJ40" s="73"/>
      <c r="IFK40" s="73"/>
      <c r="IFL40" s="73"/>
      <c r="IFM40" s="73"/>
      <c r="IFN40" s="73"/>
      <c r="IFO40" s="73"/>
      <c r="IFP40" s="73"/>
      <c r="IFQ40" s="73"/>
      <c r="IFR40" s="73"/>
      <c r="IFS40" s="73"/>
      <c r="IFT40" s="73"/>
      <c r="IFU40" s="73"/>
      <c r="IFV40" s="73"/>
      <c r="IFW40" s="73"/>
      <c r="IFX40" s="73"/>
      <c r="IFY40" s="73"/>
      <c r="IFZ40" s="73"/>
      <c r="IGA40" s="73"/>
      <c r="IGB40" s="73"/>
      <c r="IGC40" s="73"/>
      <c r="IGD40" s="73"/>
      <c r="IGE40" s="73"/>
      <c r="IGF40" s="73"/>
      <c r="IGG40" s="73"/>
      <c r="IGH40" s="73"/>
      <c r="IGI40" s="73"/>
      <c r="IGJ40" s="73"/>
      <c r="IGK40" s="73"/>
      <c r="IGL40" s="73"/>
      <c r="IGM40" s="73"/>
      <c r="IGN40" s="73"/>
      <c r="IGO40" s="73"/>
      <c r="IGP40" s="73"/>
      <c r="IGQ40" s="73"/>
      <c r="IGR40" s="73"/>
      <c r="IGS40" s="73"/>
      <c r="IGT40" s="73"/>
      <c r="IGU40" s="73"/>
      <c r="IGV40" s="73"/>
      <c r="IGW40" s="73"/>
      <c r="IGX40" s="73"/>
      <c r="IGY40" s="73"/>
      <c r="IGZ40" s="73"/>
      <c r="IHA40" s="73"/>
      <c r="IHB40" s="73"/>
      <c r="IHC40" s="73"/>
      <c r="IHD40" s="73"/>
      <c r="IHE40" s="73"/>
      <c r="IHF40" s="73"/>
      <c r="IHG40" s="73"/>
      <c r="IHH40" s="73"/>
      <c r="IHI40" s="73"/>
      <c r="IHJ40" s="73"/>
      <c r="IHK40" s="73"/>
      <c r="IHL40" s="73"/>
      <c r="IHM40" s="73"/>
      <c r="IHN40" s="73"/>
      <c r="IHO40" s="73"/>
      <c r="IHP40" s="73"/>
      <c r="IHQ40" s="73"/>
      <c r="IHR40" s="73"/>
      <c r="IHS40" s="73"/>
      <c r="IHT40" s="73"/>
      <c r="IHU40" s="73"/>
      <c r="IHV40" s="73"/>
      <c r="IHW40" s="73"/>
      <c r="IHX40" s="73"/>
      <c r="IHY40" s="73"/>
      <c r="IHZ40" s="73"/>
      <c r="IIA40" s="73"/>
      <c r="IIB40" s="73"/>
      <c r="IIC40" s="73"/>
      <c r="IID40" s="73"/>
      <c r="IIE40" s="73"/>
      <c r="IIF40" s="73"/>
      <c r="IIG40" s="73"/>
      <c r="IIH40" s="73"/>
      <c r="III40" s="73"/>
      <c r="IIJ40" s="73"/>
      <c r="IIK40" s="73"/>
      <c r="IIL40" s="73"/>
      <c r="IIM40" s="73"/>
      <c r="IIN40" s="73"/>
      <c r="IIO40" s="73"/>
      <c r="IIP40" s="73"/>
      <c r="IIQ40" s="73"/>
      <c r="IIR40" s="73"/>
      <c r="IIS40" s="73"/>
      <c r="IIT40" s="73"/>
      <c r="IIU40" s="73"/>
      <c r="IIV40" s="73"/>
      <c r="IIW40" s="73"/>
      <c r="IIX40" s="73"/>
      <c r="IIY40" s="73"/>
      <c r="IIZ40" s="73"/>
      <c r="IJA40" s="73"/>
      <c r="IJB40" s="73"/>
      <c r="IJC40" s="73"/>
      <c r="IJD40" s="73"/>
      <c r="IJE40" s="73"/>
      <c r="IJF40" s="73"/>
      <c r="IJG40" s="73"/>
      <c r="IJH40" s="73"/>
      <c r="IJI40" s="73"/>
      <c r="IJJ40" s="73"/>
      <c r="IJK40" s="73"/>
      <c r="IJL40" s="73"/>
      <c r="IJM40" s="73"/>
      <c r="IJN40" s="73"/>
      <c r="IJO40" s="73"/>
      <c r="IJP40" s="73"/>
      <c r="IJQ40" s="73"/>
      <c r="IJR40" s="73"/>
      <c r="IJS40" s="73"/>
      <c r="IJT40" s="73"/>
      <c r="IJU40" s="73"/>
      <c r="IJV40" s="73"/>
      <c r="IJW40" s="73"/>
      <c r="IJX40" s="73"/>
      <c r="IJY40" s="73"/>
      <c r="IJZ40" s="73"/>
      <c r="IKA40" s="73"/>
      <c r="IKB40" s="73"/>
      <c r="IKC40" s="73"/>
      <c r="IKD40" s="73"/>
      <c r="IKE40" s="73"/>
      <c r="IKF40" s="73"/>
      <c r="IKG40" s="73"/>
      <c r="IKH40" s="73"/>
      <c r="IKI40" s="73"/>
      <c r="IKJ40" s="73"/>
      <c r="IKK40" s="73"/>
      <c r="IKL40" s="73"/>
      <c r="IKM40" s="73"/>
      <c r="IKN40" s="73"/>
      <c r="IKO40" s="73"/>
      <c r="IKP40" s="73"/>
      <c r="IKQ40" s="73"/>
      <c r="IKR40" s="73"/>
      <c r="IKS40" s="73"/>
      <c r="IKT40" s="73"/>
      <c r="IKU40" s="73"/>
      <c r="IKV40" s="73"/>
      <c r="IKW40" s="73"/>
      <c r="IKX40" s="73"/>
      <c r="IKY40" s="73"/>
      <c r="IKZ40" s="73"/>
      <c r="ILA40" s="73"/>
      <c r="ILB40" s="73"/>
      <c r="ILC40" s="73"/>
      <c r="ILD40" s="73"/>
      <c r="ILE40" s="73"/>
      <c r="ILF40" s="73"/>
      <c r="ILG40" s="73"/>
      <c r="ILH40" s="73"/>
      <c r="ILI40" s="73"/>
      <c r="ILJ40" s="73"/>
      <c r="ILK40" s="73"/>
      <c r="ILL40" s="73"/>
      <c r="ILM40" s="73"/>
      <c r="ILN40" s="73"/>
      <c r="ILO40" s="73"/>
      <c r="ILP40" s="73"/>
      <c r="ILQ40" s="73"/>
      <c r="ILR40" s="73"/>
      <c r="ILS40" s="73"/>
      <c r="ILT40" s="73"/>
      <c r="ILU40" s="73"/>
      <c r="ILV40" s="73"/>
      <c r="ILW40" s="73"/>
      <c r="ILX40" s="73"/>
      <c r="ILY40" s="73"/>
      <c r="ILZ40" s="73"/>
      <c r="IMA40" s="73"/>
      <c r="IMB40" s="73"/>
      <c r="IMC40" s="73"/>
      <c r="IMD40" s="73"/>
      <c r="IME40" s="73"/>
      <c r="IMF40" s="73"/>
      <c r="IMG40" s="73"/>
      <c r="IMH40" s="73"/>
      <c r="IMI40" s="73"/>
      <c r="IMJ40" s="73"/>
      <c r="IMK40" s="73"/>
      <c r="IML40" s="73"/>
      <c r="IMM40" s="73"/>
      <c r="IMN40" s="73"/>
      <c r="IMO40" s="73"/>
      <c r="IMP40" s="73"/>
      <c r="IMQ40" s="73"/>
      <c r="IMR40" s="73"/>
      <c r="IMS40" s="73"/>
      <c r="IMT40" s="73"/>
      <c r="IMU40" s="73"/>
      <c r="IMV40" s="73"/>
      <c r="IMW40" s="73"/>
      <c r="IMX40" s="73"/>
      <c r="IMY40" s="73"/>
      <c r="IMZ40" s="73"/>
      <c r="INA40" s="73"/>
      <c r="INB40" s="73"/>
      <c r="INC40" s="73"/>
      <c r="IND40" s="73"/>
      <c r="INE40" s="73"/>
      <c r="INF40" s="73"/>
      <c r="ING40" s="73"/>
      <c r="INH40" s="73"/>
      <c r="INI40" s="73"/>
      <c r="INJ40" s="73"/>
      <c r="INK40" s="73"/>
      <c r="INL40" s="73"/>
      <c r="INM40" s="73"/>
      <c r="INN40" s="73"/>
      <c r="INO40" s="73"/>
      <c r="INP40" s="73"/>
      <c r="INQ40" s="73"/>
      <c r="INR40" s="73"/>
      <c r="INS40" s="73"/>
      <c r="INT40" s="73"/>
      <c r="INU40" s="73"/>
      <c r="INV40" s="73"/>
      <c r="INW40" s="73"/>
      <c r="INX40" s="73"/>
      <c r="INY40" s="73"/>
      <c r="INZ40" s="73"/>
      <c r="IOA40" s="73"/>
      <c r="IOB40" s="73"/>
      <c r="IOC40" s="73"/>
      <c r="IOD40" s="73"/>
      <c r="IOE40" s="73"/>
      <c r="IOF40" s="73"/>
      <c r="IOG40" s="73"/>
      <c r="IOH40" s="73"/>
      <c r="IOI40" s="73"/>
      <c r="IOJ40" s="73"/>
      <c r="IOK40" s="73"/>
      <c r="IOL40" s="73"/>
      <c r="IOM40" s="73"/>
      <c r="ION40" s="73"/>
      <c r="IOO40" s="73"/>
      <c r="IOP40" s="73"/>
      <c r="IOQ40" s="73"/>
      <c r="IOR40" s="73"/>
      <c r="IOS40" s="73"/>
      <c r="IOT40" s="73"/>
      <c r="IOU40" s="73"/>
      <c r="IOV40" s="73"/>
      <c r="IOW40" s="73"/>
      <c r="IOX40" s="73"/>
      <c r="IOY40" s="73"/>
      <c r="IOZ40" s="73"/>
      <c r="IPA40" s="73"/>
      <c r="IPB40" s="73"/>
      <c r="IPC40" s="73"/>
      <c r="IPD40" s="73"/>
      <c r="IPE40" s="73"/>
      <c r="IPF40" s="73"/>
      <c r="IPG40" s="73"/>
      <c r="IPH40" s="73"/>
      <c r="IPI40" s="73"/>
      <c r="IPJ40" s="73"/>
      <c r="IPK40" s="73"/>
      <c r="IPL40" s="73"/>
      <c r="IPM40" s="73"/>
      <c r="IPN40" s="73"/>
      <c r="IPO40" s="73"/>
      <c r="IPP40" s="73"/>
      <c r="IPQ40" s="73"/>
      <c r="IPR40" s="73"/>
      <c r="IPS40" s="73"/>
      <c r="IPT40" s="73"/>
      <c r="IPU40" s="73"/>
      <c r="IPV40" s="73"/>
      <c r="IPW40" s="73"/>
      <c r="IPX40" s="73"/>
      <c r="IPY40" s="73"/>
      <c r="IPZ40" s="73"/>
      <c r="IQA40" s="73"/>
      <c r="IQB40" s="73"/>
      <c r="IQC40" s="73"/>
      <c r="IQD40" s="73"/>
      <c r="IQE40" s="73"/>
      <c r="IQF40" s="73"/>
      <c r="IQG40" s="73"/>
      <c r="IQH40" s="73"/>
      <c r="IQI40" s="73"/>
      <c r="IQJ40" s="73"/>
      <c r="IQK40" s="73"/>
      <c r="IQL40" s="73"/>
      <c r="IQM40" s="73"/>
      <c r="IQN40" s="73"/>
      <c r="IQO40" s="73"/>
      <c r="IQP40" s="73"/>
      <c r="IQQ40" s="73"/>
      <c r="IQR40" s="73"/>
      <c r="IQS40" s="73"/>
      <c r="IQT40" s="73"/>
      <c r="IQU40" s="73"/>
      <c r="IQV40" s="73"/>
      <c r="IQW40" s="73"/>
      <c r="IQX40" s="73"/>
      <c r="IQY40" s="73"/>
      <c r="IQZ40" s="73"/>
      <c r="IRA40" s="73"/>
      <c r="IRB40" s="73"/>
      <c r="IRC40" s="73"/>
      <c r="IRD40" s="73"/>
      <c r="IRE40" s="73"/>
      <c r="IRF40" s="73"/>
      <c r="IRG40" s="73"/>
      <c r="IRH40" s="73"/>
      <c r="IRI40" s="73"/>
      <c r="IRJ40" s="73"/>
      <c r="IRK40" s="73"/>
      <c r="IRL40" s="73"/>
      <c r="IRM40" s="73"/>
      <c r="IRN40" s="73"/>
      <c r="IRO40" s="73"/>
      <c r="IRP40" s="73"/>
      <c r="IRQ40" s="73"/>
      <c r="IRR40" s="73"/>
      <c r="IRS40" s="73"/>
      <c r="IRT40" s="73"/>
      <c r="IRU40" s="73"/>
      <c r="IRV40" s="73"/>
      <c r="IRW40" s="73"/>
      <c r="IRX40" s="73"/>
      <c r="IRY40" s="73"/>
      <c r="IRZ40" s="73"/>
      <c r="ISA40" s="73"/>
      <c r="ISB40" s="73"/>
      <c r="ISC40" s="73"/>
      <c r="ISD40" s="73"/>
      <c r="ISE40" s="73"/>
      <c r="ISF40" s="73"/>
      <c r="ISG40" s="73"/>
      <c r="ISH40" s="73"/>
      <c r="ISI40" s="73"/>
      <c r="ISJ40" s="73"/>
      <c r="ISK40" s="73"/>
      <c r="ISL40" s="73"/>
      <c r="ISM40" s="73"/>
      <c r="ISN40" s="73"/>
      <c r="ISO40" s="73"/>
      <c r="ISP40" s="73"/>
      <c r="ISQ40" s="73"/>
      <c r="ISR40" s="73"/>
      <c r="ISS40" s="73"/>
      <c r="IST40" s="73"/>
      <c r="ISU40" s="73"/>
      <c r="ISV40" s="73"/>
      <c r="ISW40" s="73"/>
      <c r="ISX40" s="73"/>
      <c r="ISY40" s="73"/>
      <c r="ISZ40" s="73"/>
      <c r="ITA40" s="73"/>
      <c r="ITB40" s="73"/>
      <c r="ITC40" s="73"/>
      <c r="ITD40" s="73"/>
      <c r="ITE40" s="73"/>
      <c r="ITF40" s="73"/>
      <c r="ITG40" s="73"/>
      <c r="ITH40" s="73"/>
      <c r="ITI40" s="73"/>
      <c r="ITJ40" s="73"/>
      <c r="ITK40" s="73"/>
      <c r="ITL40" s="73"/>
      <c r="ITM40" s="73"/>
      <c r="ITN40" s="73"/>
      <c r="ITO40" s="73"/>
      <c r="ITP40" s="73"/>
      <c r="ITQ40" s="73"/>
      <c r="ITR40" s="73"/>
      <c r="ITS40" s="73"/>
      <c r="ITT40" s="73"/>
      <c r="ITU40" s="73"/>
      <c r="ITV40" s="73"/>
      <c r="ITW40" s="73"/>
      <c r="ITX40" s="73"/>
      <c r="ITY40" s="73"/>
      <c r="ITZ40" s="73"/>
      <c r="IUA40" s="73"/>
      <c r="IUB40" s="73"/>
      <c r="IUC40" s="73"/>
      <c r="IUD40" s="73"/>
      <c r="IUE40" s="73"/>
      <c r="IUF40" s="73"/>
      <c r="IUG40" s="73"/>
      <c r="IUH40" s="73"/>
      <c r="IUI40" s="73"/>
      <c r="IUJ40" s="73"/>
      <c r="IUK40" s="73"/>
      <c r="IUL40" s="73"/>
      <c r="IUM40" s="73"/>
      <c r="IUN40" s="73"/>
      <c r="IUO40" s="73"/>
      <c r="IUP40" s="73"/>
      <c r="IUQ40" s="73"/>
      <c r="IUR40" s="73"/>
      <c r="IUS40" s="73"/>
      <c r="IUT40" s="73"/>
      <c r="IUU40" s="73"/>
      <c r="IUV40" s="73"/>
      <c r="IUW40" s="73"/>
      <c r="IUX40" s="73"/>
      <c r="IUY40" s="73"/>
      <c r="IUZ40" s="73"/>
      <c r="IVA40" s="73"/>
      <c r="IVB40" s="73"/>
      <c r="IVC40" s="73"/>
      <c r="IVD40" s="73"/>
      <c r="IVE40" s="73"/>
      <c r="IVF40" s="73"/>
      <c r="IVG40" s="73"/>
      <c r="IVH40" s="73"/>
      <c r="IVI40" s="73"/>
      <c r="IVJ40" s="73"/>
      <c r="IVK40" s="73"/>
      <c r="IVL40" s="73"/>
      <c r="IVM40" s="73"/>
      <c r="IVN40" s="73"/>
      <c r="IVO40" s="73"/>
      <c r="IVP40" s="73"/>
      <c r="IVQ40" s="73"/>
      <c r="IVR40" s="73"/>
      <c r="IVS40" s="73"/>
      <c r="IVT40" s="73"/>
      <c r="IVU40" s="73"/>
      <c r="IVV40" s="73"/>
      <c r="IVW40" s="73"/>
      <c r="IVX40" s="73"/>
      <c r="IVY40" s="73"/>
      <c r="IVZ40" s="73"/>
      <c r="IWA40" s="73"/>
      <c r="IWB40" s="73"/>
      <c r="IWC40" s="73"/>
      <c r="IWD40" s="73"/>
      <c r="IWE40" s="73"/>
      <c r="IWF40" s="73"/>
      <c r="IWG40" s="73"/>
      <c r="IWH40" s="73"/>
      <c r="IWI40" s="73"/>
      <c r="IWJ40" s="73"/>
      <c r="IWK40" s="73"/>
      <c r="IWL40" s="73"/>
      <c r="IWM40" s="73"/>
      <c r="IWN40" s="73"/>
      <c r="IWO40" s="73"/>
      <c r="IWP40" s="73"/>
      <c r="IWQ40" s="73"/>
      <c r="IWR40" s="73"/>
      <c r="IWS40" s="73"/>
      <c r="IWT40" s="73"/>
      <c r="IWU40" s="73"/>
      <c r="IWV40" s="73"/>
      <c r="IWW40" s="73"/>
      <c r="IWX40" s="73"/>
      <c r="IWY40" s="73"/>
      <c r="IWZ40" s="73"/>
      <c r="IXA40" s="73"/>
      <c r="IXB40" s="73"/>
      <c r="IXC40" s="73"/>
      <c r="IXD40" s="73"/>
      <c r="IXE40" s="73"/>
      <c r="IXF40" s="73"/>
      <c r="IXG40" s="73"/>
      <c r="IXH40" s="73"/>
      <c r="IXI40" s="73"/>
      <c r="IXJ40" s="73"/>
      <c r="IXK40" s="73"/>
      <c r="IXL40" s="73"/>
      <c r="IXM40" s="73"/>
      <c r="IXN40" s="73"/>
      <c r="IXO40" s="73"/>
      <c r="IXP40" s="73"/>
      <c r="IXQ40" s="73"/>
      <c r="IXR40" s="73"/>
      <c r="IXS40" s="73"/>
      <c r="IXT40" s="73"/>
      <c r="IXU40" s="73"/>
      <c r="IXV40" s="73"/>
      <c r="IXW40" s="73"/>
      <c r="IXX40" s="73"/>
      <c r="IXY40" s="73"/>
      <c r="IXZ40" s="73"/>
      <c r="IYA40" s="73"/>
      <c r="IYB40" s="73"/>
      <c r="IYC40" s="73"/>
      <c r="IYD40" s="73"/>
      <c r="IYE40" s="73"/>
      <c r="IYF40" s="73"/>
      <c r="IYG40" s="73"/>
      <c r="IYH40" s="73"/>
      <c r="IYI40" s="73"/>
      <c r="IYJ40" s="73"/>
      <c r="IYK40" s="73"/>
      <c r="IYL40" s="73"/>
      <c r="IYM40" s="73"/>
      <c r="IYN40" s="73"/>
      <c r="IYO40" s="73"/>
      <c r="IYP40" s="73"/>
      <c r="IYQ40" s="73"/>
      <c r="IYR40" s="73"/>
      <c r="IYS40" s="73"/>
      <c r="IYT40" s="73"/>
      <c r="IYU40" s="73"/>
      <c r="IYV40" s="73"/>
      <c r="IYW40" s="73"/>
      <c r="IYX40" s="73"/>
      <c r="IYY40" s="73"/>
      <c r="IYZ40" s="73"/>
      <c r="IZA40" s="73"/>
      <c r="IZB40" s="73"/>
      <c r="IZC40" s="73"/>
      <c r="IZD40" s="73"/>
      <c r="IZE40" s="73"/>
      <c r="IZF40" s="73"/>
      <c r="IZG40" s="73"/>
      <c r="IZH40" s="73"/>
      <c r="IZI40" s="73"/>
      <c r="IZJ40" s="73"/>
      <c r="IZK40" s="73"/>
      <c r="IZL40" s="73"/>
      <c r="IZM40" s="73"/>
      <c r="IZN40" s="73"/>
      <c r="IZO40" s="73"/>
      <c r="IZP40" s="73"/>
      <c r="IZQ40" s="73"/>
      <c r="IZR40" s="73"/>
      <c r="IZS40" s="73"/>
      <c r="IZT40" s="73"/>
      <c r="IZU40" s="73"/>
      <c r="IZV40" s="73"/>
      <c r="IZW40" s="73"/>
      <c r="IZX40" s="73"/>
      <c r="IZY40" s="73"/>
      <c r="IZZ40" s="73"/>
      <c r="JAA40" s="73"/>
      <c r="JAB40" s="73"/>
      <c r="JAC40" s="73"/>
      <c r="JAD40" s="73"/>
      <c r="JAE40" s="73"/>
      <c r="JAF40" s="73"/>
      <c r="JAG40" s="73"/>
      <c r="JAH40" s="73"/>
      <c r="JAI40" s="73"/>
      <c r="JAJ40" s="73"/>
      <c r="JAK40" s="73"/>
      <c r="JAL40" s="73"/>
      <c r="JAM40" s="73"/>
      <c r="JAN40" s="73"/>
      <c r="JAO40" s="73"/>
      <c r="JAP40" s="73"/>
      <c r="JAQ40" s="73"/>
      <c r="JAR40" s="73"/>
      <c r="JAS40" s="73"/>
      <c r="JAT40" s="73"/>
      <c r="JAU40" s="73"/>
      <c r="JAV40" s="73"/>
      <c r="JAW40" s="73"/>
      <c r="JAX40" s="73"/>
      <c r="JAY40" s="73"/>
      <c r="JAZ40" s="73"/>
      <c r="JBA40" s="73"/>
      <c r="JBB40" s="73"/>
      <c r="JBC40" s="73"/>
      <c r="JBD40" s="73"/>
      <c r="JBE40" s="73"/>
      <c r="JBF40" s="73"/>
      <c r="JBG40" s="73"/>
      <c r="JBH40" s="73"/>
      <c r="JBI40" s="73"/>
      <c r="JBJ40" s="73"/>
      <c r="JBK40" s="73"/>
      <c r="JBL40" s="73"/>
      <c r="JBM40" s="73"/>
      <c r="JBN40" s="73"/>
      <c r="JBO40" s="73"/>
      <c r="JBP40" s="73"/>
      <c r="JBQ40" s="73"/>
      <c r="JBR40" s="73"/>
      <c r="JBS40" s="73"/>
      <c r="JBT40" s="73"/>
      <c r="JBU40" s="73"/>
      <c r="JBV40" s="73"/>
      <c r="JBW40" s="73"/>
      <c r="JBX40" s="73"/>
      <c r="JBY40" s="73"/>
      <c r="JBZ40" s="73"/>
      <c r="JCA40" s="73"/>
      <c r="JCB40" s="73"/>
      <c r="JCC40" s="73"/>
      <c r="JCD40" s="73"/>
      <c r="JCE40" s="73"/>
      <c r="JCF40" s="73"/>
      <c r="JCG40" s="73"/>
      <c r="JCH40" s="73"/>
      <c r="JCI40" s="73"/>
      <c r="JCJ40" s="73"/>
      <c r="JCK40" s="73"/>
      <c r="JCL40" s="73"/>
      <c r="JCM40" s="73"/>
      <c r="JCN40" s="73"/>
      <c r="JCO40" s="73"/>
      <c r="JCP40" s="73"/>
      <c r="JCQ40" s="73"/>
      <c r="JCR40" s="73"/>
      <c r="JCS40" s="73"/>
      <c r="JCT40" s="73"/>
      <c r="JCU40" s="73"/>
      <c r="JCV40" s="73"/>
      <c r="JCW40" s="73"/>
      <c r="JCX40" s="73"/>
      <c r="JCY40" s="73"/>
      <c r="JCZ40" s="73"/>
      <c r="JDA40" s="73"/>
      <c r="JDB40" s="73"/>
      <c r="JDC40" s="73"/>
      <c r="JDD40" s="73"/>
      <c r="JDE40" s="73"/>
      <c r="JDF40" s="73"/>
      <c r="JDG40" s="73"/>
      <c r="JDH40" s="73"/>
      <c r="JDI40" s="73"/>
      <c r="JDJ40" s="73"/>
      <c r="JDK40" s="73"/>
      <c r="JDL40" s="73"/>
      <c r="JDM40" s="73"/>
      <c r="JDN40" s="73"/>
      <c r="JDO40" s="73"/>
      <c r="JDP40" s="73"/>
      <c r="JDQ40" s="73"/>
      <c r="JDR40" s="73"/>
      <c r="JDS40" s="73"/>
      <c r="JDT40" s="73"/>
      <c r="JDU40" s="73"/>
      <c r="JDV40" s="73"/>
      <c r="JDW40" s="73"/>
      <c r="JDX40" s="73"/>
      <c r="JDY40" s="73"/>
      <c r="JDZ40" s="73"/>
      <c r="JEA40" s="73"/>
      <c r="JEB40" s="73"/>
      <c r="JEC40" s="73"/>
      <c r="JED40" s="73"/>
      <c r="JEE40" s="73"/>
      <c r="JEF40" s="73"/>
      <c r="JEG40" s="73"/>
      <c r="JEH40" s="73"/>
      <c r="JEI40" s="73"/>
      <c r="JEJ40" s="73"/>
      <c r="JEK40" s="73"/>
      <c r="JEL40" s="73"/>
      <c r="JEM40" s="73"/>
      <c r="JEN40" s="73"/>
      <c r="JEO40" s="73"/>
      <c r="JEP40" s="73"/>
      <c r="JEQ40" s="73"/>
      <c r="JER40" s="73"/>
      <c r="JES40" s="73"/>
      <c r="JET40" s="73"/>
      <c r="JEU40" s="73"/>
      <c r="JEV40" s="73"/>
      <c r="JEW40" s="73"/>
      <c r="JEX40" s="73"/>
      <c r="JEY40" s="73"/>
      <c r="JEZ40" s="73"/>
      <c r="JFA40" s="73"/>
      <c r="JFB40" s="73"/>
      <c r="JFC40" s="73"/>
      <c r="JFD40" s="73"/>
      <c r="JFE40" s="73"/>
      <c r="JFF40" s="73"/>
      <c r="JFG40" s="73"/>
      <c r="JFH40" s="73"/>
      <c r="JFI40" s="73"/>
      <c r="JFJ40" s="73"/>
      <c r="JFK40" s="73"/>
      <c r="JFL40" s="73"/>
      <c r="JFM40" s="73"/>
      <c r="JFN40" s="73"/>
      <c r="JFO40" s="73"/>
      <c r="JFP40" s="73"/>
      <c r="JFQ40" s="73"/>
      <c r="JFR40" s="73"/>
      <c r="JFS40" s="73"/>
      <c r="JFT40" s="73"/>
      <c r="JFU40" s="73"/>
      <c r="JFV40" s="73"/>
      <c r="JFW40" s="73"/>
      <c r="JFX40" s="73"/>
      <c r="JFY40" s="73"/>
      <c r="JFZ40" s="73"/>
      <c r="JGA40" s="73"/>
      <c r="JGB40" s="73"/>
      <c r="JGC40" s="73"/>
      <c r="JGD40" s="73"/>
      <c r="JGE40" s="73"/>
      <c r="JGF40" s="73"/>
      <c r="JGG40" s="73"/>
      <c r="JGH40" s="73"/>
      <c r="JGI40" s="73"/>
      <c r="JGJ40" s="73"/>
      <c r="JGK40" s="73"/>
      <c r="JGL40" s="73"/>
      <c r="JGM40" s="73"/>
      <c r="JGN40" s="73"/>
      <c r="JGO40" s="73"/>
      <c r="JGP40" s="73"/>
      <c r="JGQ40" s="73"/>
      <c r="JGR40" s="73"/>
      <c r="JGS40" s="73"/>
      <c r="JGT40" s="73"/>
      <c r="JGU40" s="73"/>
      <c r="JGV40" s="73"/>
      <c r="JGW40" s="73"/>
      <c r="JGX40" s="73"/>
      <c r="JGY40" s="73"/>
      <c r="JGZ40" s="73"/>
      <c r="JHA40" s="73"/>
      <c r="JHB40" s="73"/>
      <c r="JHC40" s="73"/>
      <c r="JHD40" s="73"/>
      <c r="JHE40" s="73"/>
      <c r="JHF40" s="73"/>
      <c r="JHG40" s="73"/>
      <c r="JHH40" s="73"/>
      <c r="JHI40" s="73"/>
      <c r="JHJ40" s="73"/>
      <c r="JHK40" s="73"/>
      <c r="JHL40" s="73"/>
      <c r="JHM40" s="73"/>
      <c r="JHN40" s="73"/>
      <c r="JHO40" s="73"/>
      <c r="JHP40" s="73"/>
      <c r="JHQ40" s="73"/>
      <c r="JHR40" s="73"/>
      <c r="JHS40" s="73"/>
      <c r="JHT40" s="73"/>
      <c r="JHU40" s="73"/>
      <c r="JHV40" s="73"/>
      <c r="JHW40" s="73"/>
      <c r="JHX40" s="73"/>
      <c r="JHY40" s="73"/>
      <c r="JHZ40" s="73"/>
      <c r="JIA40" s="73"/>
      <c r="JIB40" s="73"/>
      <c r="JIC40" s="73"/>
      <c r="JID40" s="73"/>
      <c r="JIE40" s="73"/>
      <c r="JIF40" s="73"/>
      <c r="JIG40" s="73"/>
      <c r="JIH40" s="73"/>
      <c r="JII40" s="73"/>
      <c r="JIJ40" s="73"/>
      <c r="JIK40" s="73"/>
      <c r="JIL40" s="73"/>
      <c r="JIM40" s="73"/>
      <c r="JIN40" s="73"/>
      <c r="JIO40" s="73"/>
      <c r="JIP40" s="73"/>
      <c r="JIQ40" s="73"/>
      <c r="JIR40" s="73"/>
      <c r="JIS40" s="73"/>
      <c r="JIT40" s="73"/>
      <c r="JIU40" s="73"/>
      <c r="JIV40" s="73"/>
      <c r="JIW40" s="73"/>
      <c r="JIX40" s="73"/>
      <c r="JIY40" s="73"/>
      <c r="JIZ40" s="73"/>
      <c r="JJA40" s="73"/>
      <c r="JJB40" s="73"/>
      <c r="JJC40" s="73"/>
      <c r="JJD40" s="73"/>
      <c r="JJE40" s="73"/>
      <c r="JJF40" s="73"/>
      <c r="JJG40" s="73"/>
      <c r="JJH40" s="73"/>
      <c r="JJI40" s="73"/>
      <c r="JJJ40" s="73"/>
      <c r="JJK40" s="73"/>
      <c r="JJL40" s="73"/>
      <c r="JJM40" s="73"/>
      <c r="JJN40" s="73"/>
      <c r="JJO40" s="73"/>
      <c r="JJP40" s="73"/>
      <c r="JJQ40" s="73"/>
      <c r="JJR40" s="73"/>
      <c r="JJS40" s="73"/>
      <c r="JJT40" s="73"/>
      <c r="JJU40" s="73"/>
      <c r="JJV40" s="73"/>
      <c r="JJW40" s="73"/>
      <c r="JJX40" s="73"/>
      <c r="JJY40" s="73"/>
      <c r="JJZ40" s="73"/>
      <c r="JKA40" s="73"/>
      <c r="JKB40" s="73"/>
      <c r="JKC40" s="73"/>
      <c r="JKD40" s="73"/>
      <c r="JKE40" s="73"/>
      <c r="JKF40" s="73"/>
      <c r="JKG40" s="73"/>
      <c r="JKH40" s="73"/>
      <c r="JKI40" s="73"/>
      <c r="JKJ40" s="73"/>
      <c r="JKK40" s="73"/>
      <c r="JKL40" s="73"/>
      <c r="JKM40" s="73"/>
      <c r="JKN40" s="73"/>
      <c r="JKO40" s="73"/>
      <c r="JKP40" s="73"/>
      <c r="JKQ40" s="73"/>
      <c r="JKR40" s="73"/>
      <c r="JKS40" s="73"/>
      <c r="JKT40" s="73"/>
      <c r="JKU40" s="73"/>
      <c r="JKV40" s="73"/>
      <c r="JKW40" s="73"/>
      <c r="JKX40" s="73"/>
      <c r="JKY40" s="73"/>
      <c r="JKZ40" s="73"/>
      <c r="JLA40" s="73"/>
      <c r="JLB40" s="73"/>
      <c r="JLC40" s="73"/>
      <c r="JLD40" s="73"/>
      <c r="JLE40" s="73"/>
      <c r="JLF40" s="73"/>
      <c r="JLG40" s="73"/>
      <c r="JLH40" s="73"/>
      <c r="JLI40" s="73"/>
      <c r="JLJ40" s="73"/>
      <c r="JLK40" s="73"/>
      <c r="JLL40" s="73"/>
      <c r="JLM40" s="73"/>
      <c r="JLN40" s="73"/>
      <c r="JLO40" s="73"/>
      <c r="JLP40" s="73"/>
      <c r="JLQ40" s="73"/>
      <c r="JLR40" s="73"/>
      <c r="JLS40" s="73"/>
      <c r="JLT40" s="73"/>
      <c r="JLU40" s="73"/>
      <c r="JLV40" s="73"/>
      <c r="JLW40" s="73"/>
      <c r="JLX40" s="73"/>
      <c r="JLY40" s="73"/>
      <c r="JLZ40" s="73"/>
      <c r="JMA40" s="73"/>
      <c r="JMB40" s="73"/>
      <c r="JMC40" s="73"/>
      <c r="JMD40" s="73"/>
      <c r="JME40" s="73"/>
      <c r="JMF40" s="73"/>
      <c r="JMG40" s="73"/>
      <c r="JMH40" s="73"/>
      <c r="JMI40" s="73"/>
      <c r="JMJ40" s="73"/>
      <c r="JMK40" s="73"/>
      <c r="JML40" s="73"/>
      <c r="JMM40" s="73"/>
      <c r="JMN40" s="73"/>
      <c r="JMO40" s="73"/>
      <c r="JMP40" s="73"/>
      <c r="JMQ40" s="73"/>
      <c r="JMR40" s="73"/>
      <c r="JMS40" s="73"/>
      <c r="JMT40" s="73"/>
      <c r="JMU40" s="73"/>
      <c r="JMV40" s="73"/>
      <c r="JMW40" s="73"/>
      <c r="JMX40" s="73"/>
      <c r="JMY40" s="73"/>
      <c r="JMZ40" s="73"/>
      <c r="JNA40" s="73"/>
      <c r="JNB40" s="73"/>
      <c r="JNC40" s="73"/>
      <c r="JND40" s="73"/>
      <c r="JNE40" s="73"/>
      <c r="JNF40" s="73"/>
      <c r="JNG40" s="73"/>
      <c r="JNH40" s="73"/>
      <c r="JNI40" s="73"/>
      <c r="JNJ40" s="73"/>
      <c r="JNK40" s="73"/>
      <c r="JNL40" s="73"/>
      <c r="JNM40" s="73"/>
      <c r="JNN40" s="73"/>
      <c r="JNO40" s="73"/>
      <c r="JNP40" s="73"/>
      <c r="JNQ40" s="73"/>
      <c r="JNR40" s="73"/>
      <c r="JNS40" s="73"/>
      <c r="JNT40" s="73"/>
      <c r="JNU40" s="73"/>
      <c r="JNV40" s="73"/>
      <c r="JNW40" s="73"/>
      <c r="JNX40" s="73"/>
      <c r="JNY40" s="73"/>
      <c r="JNZ40" s="73"/>
      <c r="JOA40" s="73"/>
      <c r="JOB40" s="73"/>
      <c r="JOC40" s="73"/>
      <c r="JOD40" s="73"/>
      <c r="JOE40" s="73"/>
      <c r="JOF40" s="73"/>
      <c r="JOG40" s="73"/>
      <c r="JOH40" s="73"/>
      <c r="JOI40" s="73"/>
      <c r="JOJ40" s="73"/>
      <c r="JOK40" s="73"/>
      <c r="JOL40" s="73"/>
      <c r="JOM40" s="73"/>
      <c r="JON40" s="73"/>
      <c r="JOO40" s="73"/>
      <c r="JOP40" s="73"/>
      <c r="JOQ40" s="73"/>
      <c r="JOR40" s="73"/>
      <c r="JOS40" s="73"/>
      <c r="JOT40" s="73"/>
      <c r="JOU40" s="73"/>
      <c r="JOV40" s="73"/>
      <c r="JOW40" s="73"/>
      <c r="JOX40" s="73"/>
      <c r="JOY40" s="73"/>
      <c r="JOZ40" s="73"/>
      <c r="JPA40" s="73"/>
      <c r="JPB40" s="73"/>
      <c r="JPC40" s="73"/>
      <c r="JPD40" s="73"/>
      <c r="JPE40" s="73"/>
      <c r="JPF40" s="73"/>
      <c r="JPG40" s="73"/>
      <c r="JPH40" s="73"/>
      <c r="JPI40" s="73"/>
      <c r="JPJ40" s="73"/>
      <c r="JPK40" s="73"/>
      <c r="JPL40" s="73"/>
      <c r="JPM40" s="73"/>
      <c r="JPN40" s="73"/>
      <c r="JPO40" s="73"/>
      <c r="JPP40" s="73"/>
      <c r="JPQ40" s="73"/>
      <c r="JPR40" s="73"/>
      <c r="JPS40" s="73"/>
      <c r="JPT40" s="73"/>
      <c r="JPU40" s="73"/>
      <c r="JPV40" s="73"/>
      <c r="JPW40" s="73"/>
      <c r="JPX40" s="73"/>
      <c r="JPY40" s="73"/>
      <c r="JPZ40" s="73"/>
      <c r="JQA40" s="73"/>
      <c r="JQB40" s="73"/>
      <c r="JQC40" s="73"/>
      <c r="JQD40" s="73"/>
      <c r="JQE40" s="73"/>
      <c r="JQF40" s="73"/>
      <c r="JQG40" s="73"/>
      <c r="JQH40" s="73"/>
      <c r="JQI40" s="73"/>
      <c r="JQJ40" s="73"/>
      <c r="JQK40" s="73"/>
      <c r="JQL40" s="73"/>
      <c r="JQM40" s="73"/>
      <c r="JQN40" s="73"/>
      <c r="JQO40" s="73"/>
      <c r="JQP40" s="73"/>
      <c r="JQQ40" s="73"/>
      <c r="JQR40" s="73"/>
      <c r="JQS40" s="73"/>
      <c r="JQT40" s="73"/>
      <c r="JQU40" s="73"/>
      <c r="JQV40" s="73"/>
      <c r="JQW40" s="73"/>
      <c r="JQX40" s="73"/>
      <c r="JQY40" s="73"/>
      <c r="JQZ40" s="73"/>
      <c r="JRA40" s="73"/>
      <c r="JRB40" s="73"/>
      <c r="JRC40" s="73"/>
      <c r="JRD40" s="73"/>
      <c r="JRE40" s="73"/>
      <c r="JRF40" s="73"/>
      <c r="JRG40" s="73"/>
      <c r="JRH40" s="73"/>
      <c r="JRI40" s="73"/>
      <c r="JRJ40" s="73"/>
      <c r="JRK40" s="73"/>
      <c r="JRL40" s="73"/>
      <c r="JRM40" s="73"/>
      <c r="JRN40" s="73"/>
      <c r="JRO40" s="73"/>
      <c r="JRP40" s="73"/>
      <c r="JRQ40" s="73"/>
      <c r="JRR40" s="73"/>
      <c r="JRS40" s="73"/>
      <c r="JRT40" s="73"/>
      <c r="JRU40" s="73"/>
      <c r="JRV40" s="73"/>
      <c r="JRW40" s="73"/>
      <c r="JRX40" s="73"/>
      <c r="JRY40" s="73"/>
      <c r="JRZ40" s="73"/>
      <c r="JSA40" s="73"/>
      <c r="JSB40" s="73"/>
      <c r="JSC40" s="73"/>
      <c r="JSD40" s="73"/>
      <c r="JSE40" s="73"/>
      <c r="JSF40" s="73"/>
      <c r="JSG40" s="73"/>
      <c r="JSH40" s="73"/>
      <c r="JSI40" s="73"/>
      <c r="JSJ40" s="73"/>
      <c r="JSK40" s="73"/>
      <c r="JSL40" s="73"/>
      <c r="JSM40" s="73"/>
      <c r="JSN40" s="73"/>
      <c r="JSO40" s="73"/>
      <c r="JSP40" s="73"/>
      <c r="JSQ40" s="73"/>
      <c r="JSR40" s="73"/>
      <c r="JSS40" s="73"/>
      <c r="JST40" s="73"/>
      <c r="JSU40" s="73"/>
      <c r="JSV40" s="73"/>
      <c r="JSW40" s="73"/>
      <c r="JSX40" s="73"/>
      <c r="JSY40" s="73"/>
      <c r="JSZ40" s="73"/>
      <c r="JTA40" s="73"/>
      <c r="JTB40" s="73"/>
      <c r="JTC40" s="73"/>
      <c r="JTD40" s="73"/>
      <c r="JTE40" s="73"/>
      <c r="JTF40" s="73"/>
      <c r="JTG40" s="73"/>
      <c r="JTH40" s="73"/>
      <c r="JTI40" s="73"/>
      <c r="JTJ40" s="73"/>
      <c r="JTK40" s="73"/>
      <c r="JTL40" s="73"/>
      <c r="JTM40" s="73"/>
      <c r="JTN40" s="73"/>
      <c r="JTO40" s="73"/>
      <c r="JTP40" s="73"/>
      <c r="JTQ40" s="73"/>
      <c r="JTR40" s="73"/>
      <c r="JTS40" s="73"/>
      <c r="JTT40" s="73"/>
      <c r="JTU40" s="73"/>
      <c r="JTV40" s="73"/>
      <c r="JTW40" s="73"/>
      <c r="JTX40" s="73"/>
      <c r="JTY40" s="73"/>
      <c r="JTZ40" s="73"/>
      <c r="JUA40" s="73"/>
      <c r="JUB40" s="73"/>
      <c r="JUC40" s="73"/>
      <c r="JUD40" s="73"/>
      <c r="JUE40" s="73"/>
      <c r="JUF40" s="73"/>
      <c r="JUG40" s="73"/>
      <c r="JUH40" s="73"/>
      <c r="JUI40" s="73"/>
      <c r="JUJ40" s="73"/>
      <c r="JUK40" s="73"/>
      <c r="JUL40" s="73"/>
      <c r="JUM40" s="73"/>
      <c r="JUN40" s="73"/>
      <c r="JUO40" s="73"/>
      <c r="JUP40" s="73"/>
      <c r="JUQ40" s="73"/>
      <c r="JUR40" s="73"/>
      <c r="JUS40" s="73"/>
      <c r="JUT40" s="73"/>
      <c r="JUU40" s="73"/>
      <c r="JUV40" s="73"/>
      <c r="JUW40" s="73"/>
      <c r="JUX40" s="73"/>
      <c r="JUY40" s="73"/>
      <c r="JUZ40" s="73"/>
      <c r="JVA40" s="73"/>
      <c r="JVB40" s="73"/>
      <c r="JVC40" s="73"/>
      <c r="JVD40" s="73"/>
      <c r="JVE40" s="73"/>
      <c r="JVF40" s="73"/>
      <c r="JVG40" s="73"/>
      <c r="JVH40" s="73"/>
      <c r="JVI40" s="73"/>
      <c r="JVJ40" s="73"/>
      <c r="JVK40" s="73"/>
      <c r="JVL40" s="73"/>
      <c r="JVM40" s="73"/>
      <c r="JVN40" s="73"/>
      <c r="JVO40" s="73"/>
      <c r="JVP40" s="73"/>
      <c r="JVQ40" s="73"/>
      <c r="JVR40" s="73"/>
      <c r="JVS40" s="73"/>
      <c r="JVT40" s="73"/>
      <c r="JVU40" s="73"/>
      <c r="JVV40" s="73"/>
      <c r="JVW40" s="73"/>
      <c r="JVX40" s="73"/>
      <c r="JVY40" s="73"/>
      <c r="JVZ40" s="73"/>
      <c r="JWA40" s="73"/>
      <c r="JWB40" s="73"/>
      <c r="JWC40" s="73"/>
      <c r="JWD40" s="73"/>
      <c r="JWE40" s="73"/>
      <c r="JWF40" s="73"/>
      <c r="JWG40" s="73"/>
      <c r="JWH40" s="73"/>
      <c r="JWI40" s="73"/>
      <c r="JWJ40" s="73"/>
      <c r="JWK40" s="73"/>
      <c r="JWL40" s="73"/>
      <c r="JWM40" s="73"/>
      <c r="JWN40" s="73"/>
      <c r="JWO40" s="73"/>
      <c r="JWP40" s="73"/>
      <c r="JWQ40" s="73"/>
      <c r="JWR40" s="73"/>
      <c r="JWS40" s="73"/>
      <c r="JWT40" s="73"/>
      <c r="JWU40" s="73"/>
      <c r="JWV40" s="73"/>
      <c r="JWW40" s="73"/>
      <c r="JWX40" s="73"/>
      <c r="JWY40" s="73"/>
      <c r="JWZ40" s="73"/>
      <c r="JXA40" s="73"/>
      <c r="JXB40" s="73"/>
      <c r="JXC40" s="73"/>
      <c r="JXD40" s="73"/>
      <c r="JXE40" s="73"/>
      <c r="JXF40" s="73"/>
      <c r="JXG40" s="73"/>
      <c r="JXH40" s="73"/>
      <c r="JXI40" s="73"/>
      <c r="JXJ40" s="73"/>
      <c r="JXK40" s="73"/>
      <c r="JXL40" s="73"/>
      <c r="JXM40" s="73"/>
      <c r="JXN40" s="73"/>
      <c r="JXO40" s="73"/>
      <c r="JXP40" s="73"/>
      <c r="JXQ40" s="73"/>
      <c r="JXR40" s="73"/>
      <c r="JXS40" s="73"/>
      <c r="JXT40" s="73"/>
      <c r="JXU40" s="73"/>
      <c r="JXV40" s="73"/>
      <c r="JXW40" s="73"/>
      <c r="JXX40" s="73"/>
      <c r="JXY40" s="73"/>
      <c r="JXZ40" s="73"/>
      <c r="JYA40" s="73"/>
      <c r="JYB40" s="73"/>
      <c r="JYC40" s="73"/>
      <c r="JYD40" s="73"/>
      <c r="JYE40" s="73"/>
      <c r="JYF40" s="73"/>
      <c r="JYG40" s="73"/>
      <c r="JYH40" s="73"/>
      <c r="JYI40" s="73"/>
      <c r="JYJ40" s="73"/>
      <c r="JYK40" s="73"/>
      <c r="JYL40" s="73"/>
      <c r="JYM40" s="73"/>
      <c r="JYN40" s="73"/>
      <c r="JYO40" s="73"/>
      <c r="JYP40" s="73"/>
      <c r="JYQ40" s="73"/>
      <c r="JYR40" s="73"/>
      <c r="JYS40" s="73"/>
      <c r="JYT40" s="73"/>
      <c r="JYU40" s="73"/>
      <c r="JYV40" s="73"/>
      <c r="JYW40" s="73"/>
      <c r="JYX40" s="73"/>
      <c r="JYY40" s="73"/>
      <c r="JYZ40" s="73"/>
      <c r="JZA40" s="73"/>
      <c r="JZB40" s="73"/>
      <c r="JZC40" s="73"/>
      <c r="JZD40" s="73"/>
      <c r="JZE40" s="73"/>
      <c r="JZF40" s="73"/>
      <c r="JZG40" s="73"/>
      <c r="JZH40" s="73"/>
      <c r="JZI40" s="73"/>
      <c r="JZJ40" s="73"/>
      <c r="JZK40" s="73"/>
      <c r="JZL40" s="73"/>
      <c r="JZM40" s="73"/>
      <c r="JZN40" s="73"/>
      <c r="JZO40" s="73"/>
      <c r="JZP40" s="73"/>
      <c r="JZQ40" s="73"/>
      <c r="JZR40" s="73"/>
      <c r="JZS40" s="73"/>
      <c r="JZT40" s="73"/>
      <c r="JZU40" s="73"/>
      <c r="JZV40" s="73"/>
      <c r="JZW40" s="73"/>
      <c r="JZX40" s="73"/>
      <c r="JZY40" s="73"/>
      <c r="JZZ40" s="73"/>
      <c r="KAA40" s="73"/>
      <c r="KAB40" s="73"/>
      <c r="KAC40" s="73"/>
      <c r="KAD40" s="73"/>
      <c r="KAE40" s="73"/>
      <c r="KAF40" s="73"/>
      <c r="KAG40" s="73"/>
      <c r="KAH40" s="73"/>
      <c r="KAI40" s="73"/>
      <c r="KAJ40" s="73"/>
      <c r="KAK40" s="73"/>
      <c r="KAL40" s="73"/>
      <c r="KAM40" s="73"/>
      <c r="KAN40" s="73"/>
      <c r="KAO40" s="73"/>
      <c r="KAP40" s="73"/>
      <c r="KAQ40" s="73"/>
      <c r="KAR40" s="73"/>
      <c r="KAS40" s="73"/>
      <c r="KAT40" s="73"/>
      <c r="KAU40" s="73"/>
      <c r="KAV40" s="73"/>
      <c r="KAW40" s="73"/>
      <c r="KAX40" s="73"/>
      <c r="KAY40" s="73"/>
      <c r="KAZ40" s="73"/>
      <c r="KBA40" s="73"/>
      <c r="KBB40" s="73"/>
      <c r="KBC40" s="73"/>
      <c r="KBD40" s="73"/>
      <c r="KBE40" s="73"/>
      <c r="KBF40" s="73"/>
      <c r="KBG40" s="73"/>
      <c r="KBH40" s="73"/>
      <c r="KBI40" s="73"/>
      <c r="KBJ40" s="73"/>
      <c r="KBK40" s="73"/>
      <c r="KBL40" s="73"/>
      <c r="KBM40" s="73"/>
      <c r="KBN40" s="73"/>
      <c r="KBO40" s="73"/>
      <c r="KBP40" s="73"/>
      <c r="KBQ40" s="73"/>
      <c r="KBR40" s="73"/>
      <c r="KBS40" s="73"/>
      <c r="KBT40" s="73"/>
      <c r="KBU40" s="73"/>
      <c r="KBV40" s="73"/>
      <c r="KBW40" s="73"/>
      <c r="KBX40" s="73"/>
      <c r="KBY40" s="73"/>
      <c r="KBZ40" s="73"/>
      <c r="KCA40" s="73"/>
      <c r="KCB40" s="73"/>
      <c r="KCC40" s="73"/>
      <c r="KCD40" s="73"/>
      <c r="KCE40" s="73"/>
      <c r="KCF40" s="73"/>
      <c r="KCG40" s="73"/>
      <c r="KCH40" s="73"/>
      <c r="KCI40" s="73"/>
      <c r="KCJ40" s="73"/>
      <c r="KCK40" s="73"/>
      <c r="KCL40" s="73"/>
      <c r="KCM40" s="73"/>
      <c r="KCN40" s="73"/>
      <c r="KCO40" s="73"/>
      <c r="KCP40" s="73"/>
      <c r="KCQ40" s="73"/>
      <c r="KCR40" s="73"/>
      <c r="KCS40" s="73"/>
      <c r="KCT40" s="73"/>
      <c r="KCU40" s="73"/>
      <c r="KCV40" s="73"/>
      <c r="KCW40" s="73"/>
      <c r="KCX40" s="73"/>
      <c r="KCY40" s="73"/>
      <c r="KCZ40" s="73"/>
      <c r="KDA40" s="73"/>
      <c r="KDB40" s="73"/>
      <c r="KDC40" s="73"/>
      <c r="KDD40" s="73"/>
      <c r="KDE40" s="73"/>
      <c r="KDF40" s="73"/>
      <c r="KDG40" s="73"/>
      <c r="KDH40" s="73"/>
      <c r="KDI40" s="73"/>
      <c r="KDJ40" s="73"/>
      <c r="KDK40" s="73"/>
      <c r="KDL40" s="73"/>
      <c r="KDM40" s="73"/>
      <c r="KDN40" s="73"/>
      <c r="KDO40" s="73"/>
      <c r="KDP40" s="73"/>
      <c r="KDQ40" s="73"/>
      <c r="KDR40" s="73"/>
      <c r="KDS40" s="73"/>
      <c r="KDT40" s="73"/>
      <c r="KDU40" s="73"/>
      <c r="KDV40" s="73"/>
      <c r="KDW40" s="73"/>
      <c r="KDX40" s="73"/>
      <c r="KDY40" s="73"/>
      <c r="KDZ40" s="73"/>
      <c r="KEA40" s="73"/>
      <c r="KEB40" s="73"/>
      <c r="KEC40" s="73"/>
      <c r="KED40" s="73"/>
      <c r="KEE40" s="73"/>
      <c r="KEF40" s="73"/>
      <c r="KEG40" s="73"/>
      <c r="KEH40" s="73"/>
      <c r="KEI40" s="73"/>
      <c r="KEJ40" s="73"/>
      <c r="KEK40" s="73"/>
      <c r="KEL40" s="73"/>
      <c r="KEM40" s="73"/>
      <c r="KEN40" s="73"/>
      <c r="KEO40" s="73"/>
      <c r="KEP40" s="73"/>
      <c r="KEQ40" s="73"/>
      <c r="KER40" s="73"/>
      <c r="KES40" s="73"/>
      <c r="KET40" s="73"/>
      <c r="KEU40" s="73"/>
      <c r="KEV40" s="73"/>
      <c r="KEW40" s="73"/>
      <c r="KEX40" s="73"/>
      <c r="KEY40" s="73"/>
      <c r="KEZ40" s="73"/>
      <c r="KFA40" s="73"/>
      <c r="KFB40" s="73"/>
      <c r="KFC40" s="73"/>
      <c r="KFD40" s="73"/>
      <c r="KFE40" s="73"/>
      <c r="KFF40" s="73"/>
      <c r="KFG40" s="73"/>
      <c r="KFH40" s="73"/>
      <c r="KFI40" s="73"/>
      <c r="KFJ40" s="73"/>
      <c r="KFK40" s="73"/>
      <c r="KFL40" s="73"/>
      <c r="KFM40" s="73"/>
      <c r="KFN40" s="73"/>
      <c r="KFO40" s="73"/>
      <c r="KFP40" s="73"/>
      <c r="KFQ40" s="73"/>
      <c r="KFR40" s="73"/>
      <c r="KFS40" s="73"/>
      <c r="KFT40" s="73"/>
      <c r="KFU40" s="73"/>
      <c r="KFV40" s="73"/>
      <c r="KFW40" s="73"/>
      <c r="KFX40" s="73"/>
      <c r="KFY40" s="73"/>
      <c r="KFZ40" s="73"/>
      <c r="KGA40" s="73"/>
      <c r="KGB40" s="73"/>
      <c r="KGC40" s="73"/>
      <c r="KGD40" s="73"/>
      <c r="KGE40" s="73"/>
      <c r="KGF40" s="73"/>
      <c r="KGG40" s="73"/>
      <c r="KGH40" s="73"/>
      <c r="KGI40" s="73"/>
      <c r="KGJ40" s="73"/>
      <c r="KGK40" s="73"/>
      <c r="KGL40" s="73"/>
      <c r="KGM40" s="73"/>
      <c r="KGN40" s="73"/>
      <c r="KGO40" s="73"/>
      <c r="KGP40" s="73"/>
      <c r="KGQ40" s="73"/>
      <c r="KGR40" s="73"/>
      <c r="KGS40" s="73"/>
      <c r="KGT40" s="73"/>
      <c r="KGU40" s="73"/>
      <c r="KGV40" s="73"/>
      <c r="KGW40" s="73"/>
      <c r="KGX40" s="73"/>
      <c r="KGY40" s="73"/>
      <c r="KGZ40" s="73"/>
      <c r="KHA40" s="73"/>
      <c r="KHB40" s="73"/>
      <c r="KHC40" s="73"/>
      <c r="KHD40" s="73"/>
      <c r="KHE40" s="73"/>
      <c r="KHF40" s="73"/>
      <c r="KHG40" s="73"/>
      <c r="KHH40" s="73"/>
      <c r="KHI40" s="73"/>
      <c r="KHJ40" s="73"/>
      <c r="KHK40" s="73"/>
      <c r="KHL40" s="73"/>
      <c r="KHM40" s="73"/>
      <c r="KHN40" s="73"/>
      <c r="KHO40" s="73"/>
      <c r="KHP40" s="73"/>
      <c r="KHQ40" s="73"/>
      <c r="KHR40" s="73"/>
      <c r="KHS40" s="73"/>
      <c r="KHT40" s="73"/>
      <c r="KHU40" s="73"/>
      <c r="KHV40" s="73"/>
      <c r="KHW40" s="73"/>
      <c r="KHX40" s="73"/>
      <c r="KHY40" s="73"/>
      <c r="KHZ40" s="73"/>
      <c r="KIA40" s="73"/>
      <c r="KIB40" s="73"/>
      <c r="KIC40" s="73"/>
      <c r="KID40" s="73"/>
      <c r="KIE40" s="73"/>
      <c r="KIF40" s="73"/>
      <c r="KIG40" s="73"/>
      <c r="KIH40" s="73"/>
      <c r="KII40" s="73"/>
      <c r="KIJ40" s="73"/>
      <c r="KIK40" s="73"/>
      <c r="KIL40" s="73"/>
      <c r="KIM40" s="73"/>
      <c r="KIN40" s="73"/>
      <c r="KIO40" s="73"/>
      <c r="KIP40" s="73"/>
      <c r="KIQ40" s="73"/>
      <c r="KIR40" s="73"/>
      <c r="KIS40" s="73"/>
      <c r="KIT40" s="73"/>
      <c r="KIU40" s="73"/>
      <c r="KIV40" s="73"/>
      <c r="KIW40" s="73"/>
      <c r="KIX40" s="73"/>
      <c r="KIY40" s="73"/>
      <c r="KIZ40" s="73"/>
      <c r="KJA40" s="73"/>
      <c r="KJB40" s="73"/>
      <c r="KJC40" s="73"/>
      <c r="KJD40" s="73"/>
      <c r="KJE40" s="73"/>
      <c r="KJF40" s="73"/>
      <c r="KJG40" s="73"/>
      <c r="KJH40" s="73"/>
      <c r="KJI40" s="73"/>
      <c r="KJJ40" s="73"/>
      <c r="KJK40" s="73"/>
      <c r="KJL40" s="73"/>
      <c r="KJM40" s="73"/>
      <c r="KJN40" s="73"/>
      <c r="KJO40" s="73"/>
      <c r="KJP40" s="73"/>
      <c r="KJQ40" s="73"/>
      <c r="KJR40" s="73"/>
      <c r="KJS40" s="73"/>
      <c r="KJT40" s="73"/>
      <c r="KJU40" s="73"/>
      <c r="KJV40" s="73"/>
      <c r="KJW40" s="73"/>
      <c r="KJX40" s="73"/>
      <c r="KJY40" s="73"/>
      <c r="KJZ40" s="73"/>
      <c r="KKA40" s="73"/>
      <c r="KKB40" s="73"/>
      <c r="KKC40" s="73"/>
      <c r="KKD40" s="73"/>
      <c r="KKE40" s="73"/>
      <c r="KKF40" s="73"/>
      <c r="KKG40" s="73"/>
      <c r="KKH40" s="73"/>
      <c r="KKI40" s="73"/>
      <c r="KKJ40" s="73"/>
      <c r="KKK40" s="73"/>
      <c r="KKL40" s="73"/>
      <c r="KKM40" s="73"/>
      <c r="KKN40" s="73"/>
      <c r="KKO40" s="73"/>
      <c r="KKP40" s="73"/>
      <c r="KKQ40" s="73"/>
      <c r="KKR40" s="73"/>
      <c r="KKS40" s="73"/>
      <c r="KKT40" s="73"/>
      <c r="KKU40" s="73"/>
      <c r="KKV40" s="73"/>
      <c r="KKW40" s="73"/>
      <c r="KKX40" s="73"/>
      <c r="KKY40" s="73"/>
      <c r="KKZ40" s="73"/>
      <c r="KLA40" s="73"/>
      <c r="KLB40" s="73"/>
      <c r="KLC40" s="73"/>
      <c r="KLD40" s="73"/>
      <c r="KLE40" s="73"/>
      <c r="KLF40" s="73"/>
      <c r="KLG40" s="73"/>
      <c r="KLH40" s="73"/>
      <c r="KLI40" s="73"/>
      <c r="KLJ40" s="73"/>
      <c r="KLK40" s="73"/>
      <c r="KLL40" s="73"/>
      <c r="KLM40" s="73"/>
      <c r="KLN40" s="73"/>
      <c r="KLO40" s="73"/>
      <c r="KLP40" s="73"/>
      <c r="KLQ40" s="73"/>
      <c r="KLR40" s="73"/>
      <c r="KLS40" s="73"/>
      <c r="KLT40" s="73"/>
      <c r="KLU40" s="73"/>
      <c r="KLV40" s="73"/>
      <c r="KLW40" s="73"/>
      <c r="KLX40" s="73"/>
      <c r="KLY40" s="73"/>
      <c r="KLZ40" s="73"/>
      <c r="KMA40" s="73"/>
      <c r="KMB40" s="73"/>
      <c r="KMC40" s="73"/>
      <c r="KMD40" s="73"/>
      <c r="KME40" s="73"/>
      <c r="KMF40" s="73"/>
      <c r="KMG40" s="73"/>
      <c r="KMH40" s="73"/>
      <c r="KMI40" s="73"/>
      <c r="KMJ40" s="73"/>
      <c r="KMK40" s="73"/>
      <c r="KML40" s="73"/>
      <c r="KMM40" s="73"/>
      <c r="KMN40" s="73"/>
      <c r="KMO40" s="73"/>
      <c r="KMP40" s="73"/>
      <c r="KMQ40" s="73"/>
      <c r="KMR40" s="73"/>
      <c r="KMS40" s="73"/>
      <c r="KMT40" s="73"/>
      <c r="KMU40" s="73"/>
      <c r="KMV40" s="73"/>
      <c r="KMW40" s="73"/>
      <c r="KMX40" s="73"/>
      <c r="KMY40" s="73"/>
      <c r="KMZ40" s="73"/>
      <c r="KNA40" s="73"/>
      <c r="KNB40" s="73"/>
      <c r="KNC40" s="73"/>
      <c r="KND40" s="73"/>
      <c r="KNE40" s="73"/>
      <c r="KNF40" s="73"/>
      <c r="KNG40" s="73"/>
      <c r="KNH40" s="73"/>
      <c r="KNI40" s="73"/>
      <c r="KNJ40" s="73"/>
      <c r="KNK40" s="73"/>
      <c r="KNL40" s="73"/>
      <c r="KNM40" s="73"/>
      <c r="KNN40" s="73"/>
      <c r="KNO40" s="73"/>
      <c r="KNP40" s="73"/>
      <c r="KNQ40" s="73"/>
      <c r="KNR40" s="73"/>
      <c r="KNS40" s="73"/>
      <c r="KNT40" s="73"/>
      <c r="KNU40" s="73"/>
      <c r="KNV40" s="73"/>
      <c r="KNW40" s="73"/>
      <c r="KNX40" s="73"/>
      <c r="KNY40" s="73"/>
      <c r="KNZ40" s="73"/>
      <c r="KOA40" s="73"/>
      <c r="KOB40" s="73"/>
      <c r="KOC40" s="73"/>
      <c r="KOD40" s="73"/>
      <c r="KOE40" s="73"/>
      <c r="KOF40" s="73"/>
      <c r="KOG40" s="73"/>
      <c r="KOH40" s="73"/>
      <c r="KOI40" s="73"/>
      <c r="KOJ40" s="73"/>
      <c r="KOK40" s="73"/>
      <c r="KOL40" s="73"/>
      <c r="KOM40" s="73"/>
      <c r="KON40" s="73"/>
      <c r="KOO40" s="73"/>
      <c r="KOP40" s="73"/>
      <c r="KOQ40" s="73"/>
      <c r="KOR40" s="73"/>
      <c r="KOS40" s="73"/>
      <c r="KOT40" s="73"/>
      <c r="KOU40" s="73"/>
      <c r="KOV40" s="73"/>
      <c r="KOW40" s="73"/>
      <c r="KOX40" s="73"/>
      <c r="KOY40" s="73"/>
      <c r="KOZ40" s="73"/>
      <c r="KPA40" s="73"/>
      <c r="KPB40" s="73"/>
      <c r="KPC40" s="73"/>
      <c r="KPD40" s="73"/>
      <c r="KPE40" s="73"/>
      <c r="KPF40" s="73"/>
      <c r="KPG40" s="73"/>
      <c r="KPH40" s="73"/>
      <c r="KPI40" s="73"/>
      <c r="KPJ40" s="73"/>
      <c r="KPK40" s="73"/>
      <c r="KPL40" s="73"/>
      <c r="KPM40" s="73"/>
      <c r="KPN40" s="73"/>
      <c r="KPO40" s="73"/>
      <c r="KPP40" s="73"/>
      <c r="KPQ40" s="73"/>
      <c r="KPR40" s="73"/>
      <c r="KPS40" s="73"/>
      <c r="KPT40" s="73"/>
      <c r="KPU40" s="73"/>
      <c r="KPV40" s="73"/>
      <c r="KPW40" s="73"/>
      <c r="KPX40" s="73"/>
      <c r="KPY40" s="73"/>
      <c r="KPZ40" s="73"/>
      <c r="KQA40" s="73"/>
      <c r="KQB40" s="73"/>
      <c r="KQC40" s="73"/>
      <c r="KQD40" s="73"/>
      <c r="KQE40" s="73"/>
      <c r="KQF40" s="73"/>
      <c r="KQG40" s="73"/>
      <c r="KQH40" s="73"/>
      <c r="KQI40" s="73"/>
      <c r="KQJ40" s="73"/>
      <c r="KQK40" s="73"/>
      <c r="KQL40" s="73"/>
      <c r="KQM40" s="73"/>
      <c r="KQN40" s="73"/>
      <c r="KQO40" s="73"/>
      <c r="KQP40" s="73"/>
      <c r="KQQ40" s="73"/>
      <c r="KQR40" s="73"/>
      <c r="KQS40" s="73"/>
      <c r="KQT40" s="73"/>
      <c r="KQU40" s="73"/>
      <c r="KQV40" s="73"/>
      <c r="KQW40" s="73"/>
      <c r="KQX40" s="73"/>
      <c r="KQY40" s="73"/>
      <c r="KQZ40" s="73"/>
      <c r="KRA40" s="73"/>
      <c r="KRB40" s="73"/>
      <c r="KRC40" s="73"/>
      <c r="KRD40" s="73"/>
      <c r="KRE40" s="73"/>
      <c r="KRF40" s="73"/>
      <c r="KRG40" s="73"/>
      <c r="KRH40" s="73"/>
      <c r="KRI40" s="73"/>
      <c r="KRJ40" s="73"/>
      <c r="KRK40" s="73"/>
      <c r="KRL40" s="73"/>
      <c r="KRM40" s="73"/>
      <c r="KRN40" s="73"/>
      <c r="KRO40" s="73"/>
      <c r="KRP40" s="73"/>
      <c r="KRQ40" s="73"/>
      <c r="KRR40" s="73"/>
      <c r="KRS40" s="73"/>
      <c r="KRT40" s="73"/>
      <c r="KRU40" s="73"/>
      <c r="KRV40" s="73"/>
      <c r="KRW40" s="73"/>
      <c r="KRX40" s="73"/>
      <c r="KRY40" s="73"/>
      <c r="KRZ40" s="73"/>
      <c r="KSA40" s="73"/>
      <c r="KSB40" s="73"/>
      <c r="KSC40" s="73"/>
      <c r="KSD40" s="73"/>
      <c r="KSE40" s="73"/>
      <c r="KSF40" s="73"/>
      <c r="KSG40" s="73"/>
      <c r="KSH40" s="73"/>
      <c r="KSI40" s="73"/>
      <c r="KSJ40" s="73"/>
      <c r="KSK40" s="73"/>
      <c r="KSL40" s="73"/>
      <c r="KSM40" s="73"/>
      <c r="KSN40" s="73"/>
      <c r="KSO40" s="73"/>
      <c r="KSP40" s="73"/>
      <c r="KSQ40" s="73"/>
      <c r="KSR40" s="73"/>
      <c r="KSS40" s="73"/>
      <c r="KST40" s="73"/>
      <c r="KSU40" s="73"/>
      <c r="KSV40" s="73"/>
      <c r="KSW40" s="73"/>
      <c r="KSX40" s="73"/>
      <c r="KSY40" s="73"/>
      <c r="KSZ40" s="73"/>
      <c r="KTA40" s="73"/>
      <c r="KTB40" s="73"/>
      <c r="KTC40" s="73"/>
      <c r="KTD40" s="73"/>
      <c r="KTE40" s="73"/>
      <c r="KTF40" s="73"/>
      <c r="KTG40" s="73"/>
      <c r="KTH40" s="73"/>
      <c r="KTI40" s="73"/>
      <c r="KTJ40" s="73"/>
      <c r="KTK40" s="73"/>
      <c r="KTL40" s="73"/>
      <c r="KTM40" s="73"/>
      <c r="KTN40" s="73"/>
      <c r="KTO40" s="73"/>
      <c r="KTP40" s="73"/>
      <c r="KTQ40" s="73"/>
      <c r="KTR40" s="73"/>
      <c r="KTS40" s="73"/>
      <c r="KTT40" s="73"/>
      <c r="KTU40" s="73"/>
      <c r="KTV40" s="73"/>
      <c r="KTW40" s="73"/>
      <c r="KTX40" s="73"/>
      <c r="KTY40" s="73"/>
      <c r="KTZ40" s="73"/>
      <c r="KUA40" s="73"/>
      <c r="KUB40" s="73"/>
      <c r="KUC40" s="73"/>
      <c r="KUD40" s="73"/>
      <c r="KUE40" s="73"/>
      <c r="KUF40" s="73"/>
      <c r="KUG40" s="73"/>
      <c r="KUH40" s="73"/>
      <c r="KUI40" s="73"/>
      <c r="KUJ40" s="73"/>
      <c r="KUK40" s="73"/>
      <c r="KUL40" s="73"/>
      <c r="KUM40" s="73"/>
      <c r="KUN40" s="73"/>
      <c r="KUO40" s="73"/>
      <c r="KUP40" s="73"/>
      <c r="KUQ40" s="73"/>
      <c r="KUR40" s="73"/>
      <c r="KUS40" s="73"/>
      <c r="KUT40" s="73"/>
      <c r="KUU40" s="73"/>
      <c r="KUV40" s="73"/>
      <c r="KUW40" s="73"/>
      <c r="KUX40" s="73"/>
      <c r="KUY40" s="73"/>
      <c r="KUZ40" s="73"/>
      <c r="KVA40" s="73"/>
      <c r="KVB40" s="73"/>
      <c r="KVC40" s="73"/>
      <c r="KVD40" s="73"/>
      <c r="KVE40" s="73"/>
      <c r="KVF40" s="73"/>
      <c r="KVG40" s="73"/>
      <c r="KVH40" s="73"/>
      <c r="KVI40" s="73"/>
      <c r="KVJ40" s="73"/>
      <c r="KVK40" s="73"/>
      <c r="KVL40" s="73"/>
      <c r="KVM40" s="73"/>
      <c r="KVN40" s="73"/>
      <c r="KVO40" s="73"/>
      <c r="KVP40" s="73"/>
      <c r="KVQ40" s="73"/>
      <c r="KVR40" s="73"/>
      <c r="KVS40" s="73"/>
      <c r="KVT40" s="73"/>
      <c r="KVU40" s="73"/>
      <c r="KVV40" s="73"/>
      <c r="KVW40" s="73"/>
      <c r="KVX40" s="73"/>
      <c r="KVY40" s="73"/>
      <c r="KVZ40" s="73"/>
      <c r="KWA40" s="73"/>
      <c r="KWB40" s="73"/>
      <c r="KWC40" s="73"/>
      <c r="KWD40" s="73"/>
      <c r="KWE40" s="73"/>
      <c r="KWF40" s="73"/>
      <c r="KWG40" s="73"/>
      <c r="KWH40" s="73"/>
      <c r="KWI40" s="73"/>
      <c r="KWJ40" s="73"/>
      <c r="KWK40" s="73"/>
      <c r="KWL40" s="73"/>
      <c r="KWM40" s="73"/>
      <c r="KWN40" s="73"/>
      <c r="KWO40" s="73"/>
      <c r="KWP40" s="73"/>
      <c r="KWQ40" s="73"/>
      <c r="KWR40" s="73"/>
      <c r="KWS40" s="73"/>
      <c r="KWT40" s="73"/>
      <c r="KWU40" s="73"/>
      <c r="KWV40" s="73"/>
      <c r="KWW40" s="73"/>
      <c r="KWX40" s="73"/>
      <c r="KWY40" s="73"/>
      <c r="KWZ40" s="73"/>
      <c r="KXA40" s="73"/>
      <c r="KXB40" s="73"/>
      <c r="KXC40" s="73"/>
      <c r="KXD40" s="73"/>
      <c r="KXE40" s="73"/>
      <c r="KXF40" s="73"/>
      <c r="KXG40" s="73"/>
      <c r="KXH40" s="73"/>
      <c r="KXI40" s="73"/>
      <c r="KXJ40" s="73"/>
      <c r="KXK40" s="73"/>
      <c r="KXL40" s="73"/>
      <c r="KXM40" s="73"/>
      <c r="KXN40" s="73"/>
      <c r="KXO40" s="73"/>
      <c r="KXP40" s="73"/>
      <c r="KXQ40" s="73"/>
      <c r="KXR40" s="73"/>
      <c r="KXS40" s="73"/>
      <c r="KXT40" s="73"/>
      <c r="KXU40" s="73"/>
      <c r="KXV40" s="73"/>
      <c r="KXW40" s="73"/>
      <c r="KXX40" s="73"/>
      <c r="KXY40" s="73"/>
      <c r="KXZ40" s="73"/>
      <c r="KYA40" s="73"/>
      <c r="KYB40" s="73"/>
      <c r="KYC40" s="73"/>
      <c r="KYD40" s="73"/>
      <c r="KYE40" s="73"/>
      <c r="KYF40" s="73"/>
      <c r="KYG40" s="73"/>
      <c r="KYH40" s="73"/>
      <c r="KYI40" s="73"/>
      <c r="KYJ40" s="73"/>
      <c r="KYK40" s="73"/>
      <c r="KYL40" s="73"/>
      <c r="KYM40" s="73"/>
      <c r="KYN40" s="73"/>
      <c r="KYO40" s="73"/>
      <c r="KYP40" s="73"/>
      <c r="KYQ40" s="73"/>
      <c r="KYR40" s="73"/>
      <c r="KYS40" s="73"/>
      <c r="KYT40" s="73"/>
      <c r="KYU40" s="73"/>
      <c r="KYV40" s="73"/>
      <c r="KYW40" s="73"/>
      <c r="KYX40" s="73"/>
      <c r="KYY40" s="73"/>
      <c r="KYZ40" s="73"/>
      <c r="KZA40" s="73"/>
      <c r="KZB40" s="73"/>
      <c r="KZC40" s="73"/>
      <c r="KZD40" s="73"/>
      <c r="KZE40" s="73"/>
      <c r="KZF40" s="73"/>
      <c r="KZG40" s="73"/>
      <c r="KZH40" s="73"/>
      <c r="KZI40" s="73"/>
      <c r="KZJ40" s="73"/>
      <c r="KZK40" s="73"/>
      <c r="KZL40" s="73"/>
      <c r="KZM40" s="73"/>
      <c r="KZN40" s="73"/>
      <c r="KZO40" s="73"/>
      <c r="KZP40" s="73"/>
      <c r="KZQ40" s="73"/>
      <c r="KZR40" s="73"/>
      <c r="KZS40" s="73"/>
      <c r="KZT40" s="73"/>
      <c r="KZU40" s="73"/>
      <c r="KZV40" s="73"/>
      <c r="KZW40" s="73"/>
      <c r="KZX40" s="73"/>
      <c r="KZY40" s="73"/>
      <c r="KZZ40" s="73"/>
      <c r="LAA40" s="73"/>
      <c r="LAB40" s="73"/>
      <c r="LAC40" s="73"/>
      <c r="LAD40" s="73"/>
      <c r="LAE40" s="73"/>
      <c r="LAF40" s="73"/>
      <c r="LAG40" s="73"/>
      <c r="LAH40" s="73"/>
      <c r="LAI40" s="73"/>
      <c r="LAJ40" s="73"/>
      <c r="LAK40" s="73"/>
      <c r="LAL40" s="73"/>
      <c r="LAM40" s="73"/>
      <c r="LAN40" s="73"/>
      <c r="LAO40" s="73"/>
      <c r="LAP40" s="73"/>
      <c r="LAQ40" s="73"/>
      <c r="LAR40" s="73"/>
      <c r="LAS40" s="73"/>
      <c r="LAT40" s="73"/>
      <c r="LAU40" s="73"/>
      <c r="LAV40" s="73"/>
      <c r="LAW40" s="73"/>
      <c r="LAX40" s="73"/>
      <c r="LAY40" s="73"/>
      <c r="LAZ40" s="73"/>
      <c r="LBA40" s="73"/>
      <c r="LBB40" s="73"/>
      <c r="LBC40" s="73"/>
      <c r="LBD40" s="73"/>
      <c r="LBE40" s="73"/>
      <c r="LBF40" s="73"/>
      <c r="LBG40" s="73"/>
      <c r="LBH40" s="73"/>
      <c r="LBI40" s="73"/>
      <c r="LBJ40" s="73"/>
      <c r="LBK40" s="73"/>
      <c r="LBL40" s="73"/>
      <c r="LBM40" s="73"/>
      <c r="LBN40" s="73"/>
      <c r="LBO40" s="73"/>
      <c r="LBP40" s="73"/>
      <c r="LBQ40" s="73"/>
      <c r="LBR40" s="73"/>
      <c r="LBS40" s="73"/>
      <c r="LBT40" s="73"/>
      <c r="LBU40" s="73"/>
      <c r="LBV40" s="73"/>
      <c r="LBW40" s="73"/>
      <c r="LBX40" s="73"/>
      <c r="LBY40" s="73"/>
      <c r="LBZ40" s="73"/>
      <c r="LCA40" s="73"/>
      <c r="LCB40" s="73"/>
      <c r="LCC40" s="73"/>
      <c r="LCD40" s="73"/>
      <c r="LCE40" s="73"/>
      <c r="LCF40" s="73"/>
      <c r="LCG40" s="73"/>
      <c r="LCH40" s="73"/>
      <c r="LCI40" s="73"/>
      <c r="LCJ40" s="73"/>
      <c r="LCK40" s="73"/>
      <c r="LCL40" s="73"/>
      <c r="LCM40" s="73"/>
      <c r="LCN40" s="73"/>
      <c r="LCO40" s="73"/>
      <c r="LCP40" s="73"/>
      <c r="LCQ40" s="73"/>
      <c r="LCR40" s="73"/>
      <c r="LCS40" s="73"/>
      <c r="LCT40" s="73"/>
      <c r="LCU40" s="73"/>
      <c r="LCV40" s="73"/>
      <c r="LCW40" s="73"/>
      <c r="LCX40" s="73"/>
      <c r="LCY40" s="73"/>
      <c r="LCZ40" s="73"/>
      <c r="LDA40" s="73"/>
      <c r="LDB40" s="73"/>
      <c r="LDC40" s="73"/>
      <c r="LDD40" s="73"/>
      <c r="LDE40" s="73"/>
      <c r="LDF40" s="73"/>
      <c r="LDG40" s="73"/>
      <c r="LDH40" s="73"/>
      <c r="LDI40" s="73"/>
      <c r="LDJ40" s="73"/>
      <c r="LDK40" s="73"/>
      <c r="LDL40" s="73"/>
      <c r="LDM40" s="73"/>
      <c r="LDN40" s="73"/>
      <c r="LDO40" s="73"/>
      <c r="LDP40" s="73"/>
      <c r="LDQ40" s="73"/>
      <c r="LDR40" s="73"/>
      <c r="LDS40" s="73"/>
      <c r="LDT40" s="73"/>
      <c r="LDU40" s="73"/>
      <c r="LDV40" s="73"/>
      <c r="LDW40" s="73"/>
      <c r="LDX40" s="73"/>
      <c r="LDY40" s="73"/>
      <c r="LDZ40" s="73"/>
      <c r="LEA40" s="73"/>
      <c r="LEB40" s="73"/>
      <c r="LEC40" s="73"/>
      <c r="LED40" s="73"/>
      <c r="LEE40" s="73"/>
      <c r="LEF40" s="73"/>
      <c r="LEG40" s="73"/>
      <c r="LEH40" s="73"/>
      <c r="LEI40" s="73"/>
      <c r="LEJ40" s="73"/>
      <c r="LEK40" s="73"/>
      <c r="LEL40" s="73"/>
      <c r="LEM40" s="73"/>
      <c r="LEN40" s="73"/>
      <c r="LEO40" s="73"/>
      <c r="LEP40" s="73"/>
      <c r="LEQ40" s="73"/>
      <c r="LER40" s="73"/>
      <c r="LES40" s="73"/>
      <c r="LET40" s="73"/>
      <c r="LEU40" s="73"/>
      <c r="LEV40" s="73"/>
      <c r="LEW40" s="73"/>
      <c r="LEX40" s="73"/>
      <c r="LEY40" s="73"/>
      <c r="LEZ40" s="73"/>
      <c r="LFA40" s="73"/>
      <c r="LFB40" s="73"/>
      <c r="LFC40" s="73"/>
      <c r="LFD40" s="73"/>
      <c r="LFE40" s="73"/>
      <c r="LFF40" s="73"/>
      <c r="LFG40" s="73"/>
      <c r="LFH40" s="73"/>
      <c r="LFI40" s="73"/>
      <c r="LFJ40" s="73"/>
      <c r="LFK40" s="73"/>
      <c r="LFL40" s="73"/>
      <c r="LFM40" s="73"/>
      <c r="LFN40" s="73"/>
      <c r="LFO40" s="73"/>
      <c r="LFP40" s="73"/>
      <c r="LFQ40" s="73"/>
      <c r="LFR40" s="73"/>
      <c r="LFS40" s="73"/>
      <c r="LFT40" s="73"/>
      <c r="LFU40" s="73"/>
      <c r="LFV40" s="73"/>
      <c r="LFW40" s="73"/>
      <c r="LFX40" s="73"/>
      <c r="LFY40" s="73"/>
      <c r="LFZ40" s="73"/>
      <c r="LGA40" s="73"/>
      <c r="LGB40" s="73"/>
      <c r="LGC40" s="73"/>
      <c r="LGD40" s="73"/>
      <c r="LGE40" s="73"/>
      <c r="LGF40" s="73"/>
      <c r="LGG40" s="73"/>
      <c r="LGH40" s="73"/>
      <c r="LGI40" s="73"/>
      <c r="LGJ40" s="73"/>
      <c r="LGK40" s="73"/>
      <c r="LGL40" s="73"/>
      <c r="LGM40" s="73"/>
      <c r="LGN40" s="73"/>
      <c r="LGO40" s="73"/>
      <c r="LGP40" s="73"/>
      <c r="LGQ40" s="73"/>
      <c r="LGR40" s="73"/>
      <c r="LGS40" s="73"/>
      <c r="LGT40" s="73"/>
      <c r="LGU40" s="73"/>
      <c r="LGV40" s="73"/>
      <c r="LGW40" s="73"/>
      <c r="LGX40" s="73"/>
      <c r="LGY40" s="73"/>
      <c r="LGZ40" s="73"/>
      <c r="LHA40" s="73"/>
      <c r="LHB40" s="73"/>
      <c r="LHC40" s="73"/>
      <c r="LHD40" s="73"/>
      <c r="LHE40" s="73"/>
      <c r="LHF40" s="73"/>
      <c r="LHG40" s="73"/>
      <c r="LHH40" s="73"/>
      <c r="LHI40" s="73"/>
      <c r="LHJ40" s="73"/>
      <c r="LHK40" s="73"/>
      <c r="LHL40" s="73"/>
      <c r="LHM40" s="73"/>
      <c r="LHN40" s="73"/>
      <c r="LHO40" s="73"/>
      <c r="LHP40" s="73"/>
      <c r="LHQ40" s="73"/>
      <c r="LHR40" s="73"/>
      <c r="LHS40" s="73"/>
      <c r="LHT40" s="73"/>
      <c r="LHU40" s="73"/>
      <c r="LHV40" s="73"/>
      <c r="LHW40" s="73"/>
      <c r="LHX40" s="73"/>
      <c r="LHY40" s="73"/>
      <c r="LHZ40" s="73"/>
      <c r="LIA40" s="73"/>
      <c r="LIB40" s="73"/>
      <c r="LIC40" s="73"/>
      <c r="LID40" s="73"/>
      <c r="LIE40" s="73"/>
      <c r="LIF40" s="73"/>
      <c r="LIG40" s="73"/>
      <c r="LIH40" s="73"/>
      <c r="LII40" s="73"/>
      <c r="LIJ40" s="73"/>
      <c r="LIK40" s="73"/>
      <c r="LIL40" s="73"/>
      <c r="LIM40" s="73"/>
      <c r="LIN40" s="73"/>
      <c r="LIO40" s="73"/>
      <c r="LIP40" s="73"/>
      <c r="LIQ40" s="73"/>
      <c r="LIR40" s="73"/>
      <c r="LIS40" s="73"/>
      <c r="LIT40" s="73"/>
      <c r="LIU40" s="73"/>
      <c r="LIV40" s="73"/>
      <c r="LIW40" s="73"/>
      <c r="LIX40" s="73"/>
      <c r="LIY40" s="73"/>
      <c r="LIZ40" s="73"/>
      <c r="LJA40" s="73"/>
      <c r="LJB40" s="73"/>
      <c r="LJC40" s="73"/>
      <c r="LJD40" s="73"/>
      <c r="LJE40" s="73"/>
      <c r="LJF40" s="73"/>
      <c r="LJG40" s="73"/>
      <c r="LJH40" s="73"/>
      <c r="LJI40" s="73"/>
      <c r="LJJ40" s="73"/>
      <c r="LJK40" s="73"/>
      <c r="LJL40" s="73"/>
      <c r="LJM40" s="73"/>
      <c r="LJN40" s="73"/>
      <c r="LJO40" s="73"/>
      <c r="LJP40" s="73"/>
      <c r="LJQ40" s="73"/>
      <c r="LJR40" s="73"/>
      <c r="LJS40" s="73"/>
      <c r="LJT40" s="73"/>
      <c r="LJU40" s="73"/>
      <c r="LJV40" s="73"/>
      <c r="LJW40" s="73"/>
      <c r="LJX40" s="73"/>
      <c r="LJY40" s="73"/>
      <c r="LJZ40" s="73"/>
      <c r="LKA40" s="73"/>
      <c r="LKB40" s="73"/>
      <c r="LKC40" s="73"/>
      <c r="LKD40" s="73"/>
      <c r="LKE40" s="73"/>
      <c r="LKF40" s="73"/>
      <c r="LKG40" s="73"/>
      <c r="LKH40" s="73"/>
      <c r="LKI40" s="73"/>
      <c r="LKJ40" s="73"/>
      <c r="LKK40" s="73"/>
      <c r="LKL40" s="73"/>
      <c r="LKM40" s="73"/>
      <c r="LKN40" s="73"/>
      <c r="LKO40" s="73"/>
      <c r="LKP40" s="73"/>
      <c r="LKQ40" s="73"/>
      <c r="LKR40" s="73"/>
      <c r="LKS40" s="73"/>
      <c r="LKT40" s="73"/>
      <c r="LKU40" s="73"/>
      <c r="LKV40" s="73"/>
      <c r="LKW40" s="73"/>
      <c r="LKX40" s="73"/>
      <c r="LKY40" s="73"/>
      <c r="LKZ40" s="73"/>
      <c r="LLA40" s="73"/>
      <c r="LLB40" s="73"/>
      <c r="LLC40" s="73"/>
      <c r="LLD40" s="73"/>
      <c r="LLE40" s="73"/>
      <c r="LLF40" s="73"/>
      <c r="LLG40" s="73"/>
      <c r="LLH40" s="73"/>
      <c r="LLI40" s="73"/>
      <c r="LLJ40" s="73"/>
      <c r="LLK40" s="73"/>
      <c r="LLL40" s="73"/>
      <c r="LLM40" s="73"/>
      <c r="LLN40" s="73"/>
      <c r="LLO40" s="73"/>
      <c r="LLP40" s="73"/>
      <c r="LLQ40" s="73"/>
      <c r="LLR40" s="73"/>
      <c r="LLS40" s="73"/>
      <c r="LLT40" s="73"/>
      <c r="LLU40" s="73"/>
      <c r="LLV40" s="73"/>
      <c r="LLW40" s="73"/>
      <c r="LLX40" s="73"/>
      <c r="LLY40" s="73"/>
      <c r="LLZ40" s="73"/>
      <c r="LMA40" s="73"/>
      <c r="LMB40" s="73"/>
      <c r="LMC40" s="73"/>
      <c r="LMD40" s="73"/>
      <c r="LME40" s="73"/>
      <c r="LMF40" s="73"/>
      <c r="LMG40" s="73"/>
      <c r="LMH40" s="73"/>
      <c r="LMI40" s="73"/>
      <c r="LMJ40" s="73"/>
      <c r="LMK40" s="73"/>
      <c r="LML40" s="73"/>
      <c r="LMM40" s="73"/>
      <c r="LMN40" s="73"/>
      <c r="LMO40" s="73"/>
      <c r="LMP40" s="73"/>
      <c r="LMQ40" s="73"/>
      <c r="LMR40" s="73"/>
      <c r="LMS40" s="73"/>
      <c r="LMT40" s="73"/>
      <c r="LMU40" s="73"/>
      <c r="LMV40" s="73"/>
      <c r="LMW40" s="73"/>
      <c r="LMX40" s="73"/>
      <c r="LMY40" s="73"/>
      <c r="LMZ40" s="73"/>
      <c r="LNA40" s="73"/>
      <c r="LNB40" s="73"/>
      <c r="LNC40" s="73"/>
      <c r="LND40" s="73"/>
      <c r="LNE40" s="73"/>
      <c r="LNF40" s="73"/>
      <c r="LNG40" s="73"/>
      <c r="LNH40" s="73"/>
      <c r="LNI40" s="73"/>
      <c r="LNJ40" s="73"/>
      <c r="LNK40" s="73"/>
      <c r="LNL40" s="73"/>
      <c r="LNM40" s="73"/>
      <c r="LNN40" s="73"/>
      <c r="LNO40" s="73"/>
      <c r="LNP40" s="73"/>
      <c r="LNQ40" s="73"/>
      <c r="LNR40" s="73"/>
      <c r="LNS40" s="73"/>
      <c r="LNT40" s="73"/>
      <c r="LNU40" s="73"/>
      <c r="LNV40" s="73"/>
      <c r="LNW40" s="73"/>
      <c r="LNX40" s="73"/>
      <c r="LNY40" s="73"/>
      <c r="LNZ40" s="73"/>
      <c r="LOA40" s="73"/>
      <c r="LOB40" s="73"/>
      <c r="LOC40" s="73"/>
      <c r="LOD40" s="73"/>
      <c r="LOE40" s="73"/>
      <c r="LOF40" s="73"/>
      <c r="LOG40" s="73"/>
      <c r="LOH40" s="73"/>
      <c r="LOI40" s="73"/>
      <c r="LOJ40" s="73"/>
      <c r="LOK40" s="73"/>
      <c r="LOL40" s="73"/>
      <c r="LOM40" s="73"/>
      <c r="LON40" s="73"/>
      <c r="LOO40" s="73"/>
      <c r="LOP40" s="73"/>
      <c r="LOQ40" s="73"/>
      <c r="LOR40" s="73"/>
      <c r="LOS40" s="73"/>
      <c r="LOT40" s="73"/>
      <c r="LOU40" s="73"/>
      <c r="LOV40" s="73"/>
      <c r="LOW40" s="73"/>
      <c r="LOX40" s="73"/>
      <c r="LOY40" s="73"/>
      <c r="LOZ40" s="73"/>
      <c r="LPA40" s="73"/>
      <c r="LPB40" s="73"/>
      <c r="LPC40" s="73"/>
      <c r="LPD40" s="73"/>
      <c r="LPE40" s="73"/>
      <c r="LPF40" s="73"/>
      <c r="LPG40" s="73"/>
      <c r="LPH40" s="73"/>
      <c r="LPI40" s="73"/>
      <c r="LPJ40" s="73"/>
      <c r="LPK40" s="73"/>
      <c r="LPL40" s="73"/>
      <c r="LPM40" s="73"/>
      <c r="LPN40" s="73"/>
      <c r="LPO40" s="73"/>
      <c r="LPP40" s="73"/>
      <c r="LPQ40" s="73"/>
      <c r="LPR40" s="73"/>
      <c r="LPS40" s="73"/>
      <c r="LPT40" s="73"/>
      <c r="LPU40" s="73"/>
      <c r="LPV40" s="73"/>
      <c r="LPW40" s="73"/>
      <c r="LPX40" s="73"/>
      <c r="LPY40" s="73"/>
      <c r="LPZ40" s="73"/>
      <c r="LQA40" s="73"/>
      <c r="LQB40" s="73"/>
      <c r="LQC40" s="73"/>
      <c r="LQD40" s="73"/>
      <c r="LQE40" s="73"/>
      <c r="LQF40" s="73"/>
      <c r="LQG40" s="73"/>
      <c r="LQH40" s="73"/>
      <c r="LQI40" s="73"/>
      <c r="LQJ40" s="73"/>
      <c r="LQK40" s="73"/>
      <c r="LQL40" s="73"/>
      <c r="LQM40" s="73"/>
      <c r="LQN40" s="73"/>
      <c r="LQO40" s="73"/>
      <c r="LQP40" s="73"/>
      <c r="LQQ40" s="73"/>
      <c r="LQR40" s="73"/>
      <c r="LQS40" s="73"/>
      <c r="LQT40" s="73"/>
      <c r="LQU40" s="73"/>
      <c r="LQV40" s="73"/>
      <c r="LQW40" s="73"/>
      <c r="LQX40" s="73"/>
      <c r="LQY40" s="73"/>
      <c r="LQZ40" s="73"/>
      <c r="LRA40" s="73"/>
      <c r="LRB40" s="73"/>
      <c r="LRC40" s="73"/>
      <c r="LRD40" s="73"/>
      <c r="LRE40" s="73"/>
      <c r="LRF40" s="73"/>
      <c r="LRG40" s="73"/>
      <c r="LRH40" s="73"/>
      <c r="LRI40" s="73"/>
      <c r="LRJ40" s="73"/>
      <c r="LRK40" s="73"/>
      <c r="LRL40" s="73"/>
      <c r="LRM40" s="73"/>
      <c r="LRN40" s="73"/>
      <c r="LRO40" s="73"/>
      <c r="LRP40" s="73"/>
      <c r="LRQ40" s="73"/>
      <c r="LRR40" s="73"/>
      <c r="LRS40" s="73"/>
      <c r="LRT40" s="73"/>
      <c r="LRU40" s="73"/>
      <c r="LRV40" s="73"/>
      <c r="LRW40" s="73"/>
      <c r="LRX40" s="73"/>
      <c r="LRY40" s="73"/>
      <c r="LRZ40" s="73"/>
      <c r="LSA40" s="73"/>
      <c r="LSB40" s="73"/>
      <c r="LSC40" s="73"/>
      <c r="LSD40" s="73"/>
      <c r="LSE40" s="73"/>
      <c r="LSF40" s="73"/>
      <c r="LSG40" s="73"/>
      <c r="LSH40" s="73"/>
      <c r="LSI40" s="73"/>
      <c r="LSJ40" s="73"/>
      <c r="LSK40" s="73"/>
      <c r="LSL40" s="73"/>
      <c r="LSM40" s="73"/>
      <c r="LSN40" s="73"/>
      <c r="LSO40" s="73"/>
      <c r="LSP40" s="73"/>
      <c r="LSQ40" s="73"/>
      <c r="LSR40" s="73"/>
      <c r="LSS40" s="73"/>
      <c r="LST40" s="73"/>
      <c r="LSU40" s="73"/>
      <c r="LSV40" s="73"/>
      <c r="LSW40" s="73"/>
      <c r="LSX40" s="73"/>
      <c r="LSY40" s="73"/>
      <c r="LSZ40" s="73"/>
      <c r="LTA40" s="73"/>
      <c r="LTB40" s="73"/>
      <c r="LTC40" s="73"/>
      <c r="LTD40" s="73"/>
      <c r="LTE40" s="73"/>
      <c r="LTF40" s="73"/>
      <c r="LTG40" s="73"/>
      <c r="LTH40" s="73"/>
      <c r="LTI40" s="73"/>
      <c r="LTJ40" s="73"/>
      <c r="LTK40" s="73"/>
      <c r="LTL40" s="73"/>
      <c r="LTM40" s="73"/>
      <c r="LTN40" s="73"/>
      <c r="LTO40" s="73"/>
      <c r="LTP40" s="73"/>
      <c r="LTQ40" s="73"/>
      <c r="LTR40" s="73"/>
      <c r="LTS40" s="73"/>
      <c r="LTT40" s="73"/>
      <c r="LTU40" s="73"/>
      <c r="LTV40" s="73"/>
      <c r="LTW40" s="73"/>
      <c r="LTX40" s="73"/>
      <c r="LTY40" s="73"/>
      <c r="LTZ40" s="73"/>
      <c r="LUA40" s="73"/>
      <c r="LUB40" s="73"/>
      <c r="LUC40" s="73"/>
      <c r="LUD40" s="73"/>
      <c r="LUE40" s="73"/>
      <c r="LUF40" s="73"/>
      <c r="LUG40" s="73"/>
      <c r="LUH40" s="73"/>
      <c r="LUI40" s="73"/>
      <c r="LUJ40" s="73"/>
      <c r="LUK40" s="73"/>
      <c r="LUL40" s="73"/>
      <c r="LUM40" s="73"/>
      <c r="LUN40" s="73"/>
      <c r="LUO40" s="73"/>
      <c r="LUP40" s="73"/>
      <c r="LUQ40" s="73"/>
      <c r="LUR40" s="73"/>
      <c r="LUS40" s="73"/>
      <c r="LUT40" s="73"/>
      <c r="LUU40" s="73"/>
      <c r="LUV40" s="73"/>
      <c r="LUW40" s="73"/>
      <c r="LUX40" s="73"/>
      <c r="LUY40" s="73"/>
      <c r="LUZ40" s="73"/>
      <c r="LVA40" s="73"/>
      <c r="LVB40" s="73"/>
      <c r="LVC40" s="73"/>
      <c r="LVD40" s="73"/>
      <c r="LVE40" s="73"/>
      <c r="LVF40" s="73"/>
      <c r="LVG40" s="73"/>
      <c r="LVH40" s="73"/>
      <c r="LVI40" s="73"/>
      <c r="LVJ40" s="73"/>
      <c r="LVK40" s="73"/>
      <c r="LVL40" s="73"/>
      <c r="LVM40" s="73"/>
      <c r="LVN40" s="73"/>
      <c r="LVO40" s="73"/>
      <c r="LVP40" s="73"/>
      <c r="LVQ40" s="73"/>
      <c r="LVR40" s="73"/>
      <c r="LVS40" s="73"/>
      <c r="LVT40" s="73"/>
      <c r="LVU40" s="73"/>
      <c r="LVV40" s="73"/>
      <c r="LVW40" s="73"/>
      <c r="LVX40" s="73"/>
      <c r="LVY40" s="73"/>
      <c r="LVZ40" s="73"/>
      <c r="LWA40" s="73"/>
      <c r="LWB40" s="73"/>
      <c r="LWC40" s="73"/>
      <c r="LWD40" s="73"/>
      <c r="LWE40" s="73"/>
      <c r="LWF40" s="73"/>
      <c r="LWG40" s="73"/>
      <c r="LWH40" s="73"/>
      <c r="LWI40" s="73"/>
      <c r="LWJ40" s="73"/>
      <c r="LWK40" s="73"/>
      <c r="LWL40" s="73"/>
      <c r="LWM40" s="73"/>
      <c r="LWN40" s="73"/>
      <c r="LWO40" s="73"/>
      <c r="LWP40" s="73"/>
      <c r="LWQ40" s="73"/>
      <c r="LWR40" s="73"/>
      <c r="LWS40" s="73"/>
      <c r="LWT40" s="73"/>
      <c r="LWU40" s="73"/>
      <c r="LWV40" s="73"/>
      <c r="LWW40" s="73"/>
      <c r="LWX40" s="73"/>
      <c r="LWY40" s="73"/>
      <c r="LWZ40" s="73"/>
      <c r="LXA40" s="73"/>
      <c r="LXB40" s="73"/>
      <c r="LXC40" s="73"/>
      <c r="LXD40" s="73"/>
      <c r="LXE40" s="73"/>
      <c r="LXF40" s="73"/>
      <c r="LXG40" s="73"/>
      <c r="LXH40" s="73"/>
      <c r="LXI40" s="73"/>
      <c r="LXJ40" s="73"/>
      <c r="LXK40" s="73"/>
      <c r="LXL40" s="73"/>
      <c r="LXM40" s="73"/>
      <c r="LXN40" s="73"/>
      <c r="LXO40" s="73"/>
      <c r="LXP40" s="73"/>
      <c r="LXQ40" s="73"/>
      <c r="LXR40" s="73"/>
      <c r="LXS40" s="73"/>
      <c r="LXT40" s="73"/>
      <c r="LXU40" s="73"/>
      <c r="LXV40" s="73"/>
      <c r="LXW40" s="73"/>
      <c r="LXX40" s="73"/>
      <c r="LXY40" s="73"/>
      <c r="LXZ40" s="73"/>
      <c r="LYA40" s="73"/>
      <c r="LYB40" s="73"/>
      <c r="LYC40" s="73"/>
      <c r="LYD40" s="73"/>
      <c r="LYE40" s="73"/>
      <c r="LYF40" s="73"/>
      <c r="LYG40" s="73"/>
      <c r="LYH40" s="73"/>
      <c r="LYI40" s="73"/>
      <c r="LYJ40" s="73"/>
      <c r="LYK40" s="73"/>
      <c r="LYL40" s="73"/>
      <c r="LYM40" s="73"/>
      <c r="LYN40" s="73"/>
      <c r="LYO40" s="73"/>
      <c r="LYP40" s="73"/>
      <c r="LYQ40" s="73"/>
      <c r="LYR40" s="73"/>
      <c r="LYS40" s="73"/>
      <c r="LYT40" s="73"/>
      <c r="LYU40" s="73"/>
      <c r="LYV40" s="73"/>
      <c r="LYW40" s="73"/>
      <c r="LYX40" s="73"/>
      <c r="LYY40" s="73"/>
      <c r="LYZ40" s="73"/>
      <c r="LZA40" s="73"/>
      <c r="LZB40" s="73"/>
      <c r="LZC40" s="73"/>
      <c r="LZD40" s="73"/>
      <c r="LZE40" s="73"/>
      <c r="LZF40" s="73"/>
      <c r="LZG40" s="73"/>
      <c r="LZH40" s="73"/>
      <c r="LZI40" s="73"/>
      <c r="LZJ40" s="73"/>
      <c r="LZK40" s="73"/>
      <c r="LZL40" s="73"/>
      <c r="LZM40" s="73"/>
      <c r="LZN40" s="73"/>
      <c r="LZO40" s="73"/>
      <c r="LZP40" s="73"/>
      <c r="LZQ40" s="73"/>
      <c r="LZR40" s="73"/>
      <c r="LZS40" s="73"/>
      <c r="LZT40" s="73"/>
      <c r="LZU40" s="73"/>
      <c r="LZV40" s="73"/>
      <c r="LZW40" s="73"/>
      <c r="LZX40" s="73"/>
      <c r="LZY40" s="73"/>
      <c r="LZZ40" s="73"/>
      <c r="MAA40" s="73"/>
      <c r="MAB40" s="73"/>
      <c r="MAC40" s="73"/>
      <c r="MAD40" s="73"/>
      <c r="MAE40" s="73"/>
      <c r="MAF40" s="73"/>
      <c r="MAG40" s="73"/>
      <c r="MAH40" s="73"/>
      <c r="MAI40" s="73"/>
      <c r="MAJ40" s="73"/>
      <c r="MAK40" s="73"/>
      <c r="MAL40" s="73"/>
      <c r="MAM40" s="73"/>
      <c r="MAN40" s="73"/>
      <c r="MAO40" s="73"/>
      <c r="MAP40" s="73"/>
      <c r="MAQ40" s="73"/>
      <c r="MAR40" s="73"/>
      <c r="MAS40" s="73"/>
      <c r="MAT40" s="73"/>
      <c r="MAU40" s="73"/>
      <c r="MAV40" s="73"/>
      <c r="MAW40" s="73"/>
      <c r="MAX40" s="73"/>
      <c r="MAY40" s="73"/>
      <c r="MAZ40" s="73"/>
      <c r="MBA40" s="73"/>
      <c r="MBB40" s="73"/>
      <c r="MBC40" s="73"/>
      <c r="MBD40" s="73"/>
      <c r="MBE40" s="73"/>
      <c r="MBF40" s="73"/>
      <c r="MBG40" s="73"/>
      <c r="MBH40" s="73"/>
      <c r="MBI40" s="73"/>
      <c r="MBJ40" s="73"/>
      <c r="MBK40" s="73"/>
      <c r="MBL40" s="73"/>
      <c r="MBM40" s="73"/>
      <c r="MBN40" s="73"/>
      <c r="MBO40" s="73"/>
      <c r="MBP40" s="73"/>
      <c r="MBQ40" s="73"/>
      <c r="MBR40" s="73"/>
      <c r="MBS40" s="73"/>
      <c r="MBT40" s="73"/>
      <c r="MBU40" s="73"/>
      <c r="MBV40" s="73"/>
      <c r="MBW40" s="73"/>
      <c r="MBX40" s="73"/>
      <c r="MBY40" s="73"/>
      <c r="MBZ40" s="73"/>
      <c r="MCA40" s="73"/>
      <c r="MCB40" s="73"/>
      <c r="MCC40" s="73"/>
      <c r="MCD40" s="73"/>
      <c r="MCE40" s="73"/>
      <c r="MCF40" s="73"/>
      <c r="MCG40" s="73"/>
      <c r="MCH40" s="73"/>
      <c r="MCI40" s="73"/>
      <c r="MCJ40" s="73"/>
      <c r="MCK40" s="73"/>
      <c r="MCL40" s="73"/>
      <c r="MCM40" s="73"/>
      <c r="MCN40" s="73"/>
      <c r="MCO40" s="73"/>
      <c r="MCP40" s="73"/>
      <c r="MCQ40" s="73"/>
      <c r="MCR40" s="73"/>
      <c r="MCS40" s="73"/>
      <c r="MCT40" s="73"/>
      <c r="MCU40" s="73"/>
      <c r="MCV40" s="73"/>
      <c r="MCW40" s="73"/>
      <c r="MCX40" s="73"/>
      <c r="MCY40" s="73"/>
      <c r="MCZ40" s="73"/>
      <c r="MDA40" s="73"/>
      <c r="MDB40" s="73"/>
      <c r="MDC40" s="73"/>
      <c r="MDD40" s="73"/>
      <c r="MDE40" s="73"/>
      <c r="MDF40" s="73"/>
      <c r="MDG40" s="73"/>
      <c r="MDH40" s="73"/>
      <c r="MDI40" s="73"/>
      <c r="MDJ40" s="73"/>
      <c r="MDK40" s="73"/>
      <c r="MDL40" s="73"/>
      <c r="MDM40" s="73"/>
      <c r="MDN40" s="73"/>
      <c r="MDO40" s="73"/>
      <c r="MDP40" s="73"/>
      <c r="MDQ40" s="73"/>
      <c r="MDR40" s="73"/>
      <c r="MDS40" s="73"/>
      <c r="MDT40" s="73"/>
      <c r="MDU40" s="73"/>
      <c r="MDV40" s="73"/>
      <c r="MDW40" s="73"/>
      <c r="MDX40" s="73"/>
      <c r="MDY40" s="73"/>
      <c r="MDZ40" s="73"/>
      <c r="MEA40" s="73"/>
      <c r="MEB40" s="73"/>
      <c r="MEC40" s="73"/>
      <c r="MED40" s="73"/>
      <c r="MEE40" s="73"/>
      <c r="MEF40" s="73"/>
      <c r="MEG40" s="73"/>
      <c r="MEH40" s="73"/>
      <c r="MEI40" s="73"/>
      <c r="MEJ40" s="73"/>
      <c r="MEK40" s="73"/>
      <c r="MEL40" s="73"/>
      <c r="MEM40" s="73"/>
      <c r="MEN40" s="73"/>
      <c r="MEO40" s="73"/>
      <c r="MEP40" s="73"/>
      <c r="MEQ40" s="73"/>
      <c r="MER40" s="73"/>
      <c r="MES40" s="73"/>
      <c r="MET40" s="73"/>
      <c r="MEU40" s="73"/>
      <c r="MEV40" s="73"/>
      <c r="MEW40" s="73"/>
      <c r="MEX40" s="73"/>
      <c r="MEY40" s="73"/>
      <c r="MEZ40" s="73"/>
      <c r="MFA40" s="73"/>
      <c r="MFB40" s="73"/>
      <c r="MFC40" s="73"/>
      <c r="MFD40" s="73"/>
      <c r="MFE40" s="73"/>
      <c r="MFF40" s="73"/>
      <c r="MFG40" s="73"/>
      <c r="MFH40" s="73"/>
      <c r="MFI40" s="73"/>
      <c r="MFJ40" s="73"/>
      <c r="MFK40" s="73"/>
      <c r="MFL40" s="73"/>
      <c r="MFM40" s="73"/>
      <c r="MFN40" s="73"/>
      <c r="MFO40" s="73"/>
      <c r="MFP40" s="73"/>
      <c r="MFQ40" s="73"/>
      <c r="MFR40" s="73"/>
      <c r="MFS40" s="73"/>
      <c r="MFT40" s="73"/>
      <c r="MFU40" s="73"/>
      <c r="MFV40" s="73"/>
      <c r="MFW40" s="73"/>
      <c r="MFX40" s="73"/>
      <c r="MFY40" s="73"/>
      <c r="MFZ40" s="73"/>
      <c r="MGA40" s="73"/>
      <c r="MGB40" s="73"/>
      <c r="MGC40" s="73"/>
      <c r="MGD40" s="73"/>
      <c r="MGE40" s="73"/>
      <c r="MGF40" s="73"/>
      <c r="MGG40" s="73"/>
      <c r="MGH40" s="73"/>
      <c r="MGI40" s="73"/>
      <c r="MGJ40" s="73"/>
      <c r="MGK40" s="73"/>
      <c r="MGL40" s="73"/>
      <c r="MGM40" s="73"/>
      <c r="MGN40" s="73"/>
      <c r="MGO40" s="73"/>
      <c r="MGP40" s="73"/>
      <c r="MGQ40" s="73"/>
      <c r="MGR40" s="73"/>
      <c r="MGS40" s="73"/>
      <c r="MGT40" s="73"/>
      <c r="MGU40" s="73"/>
      <c r="MGV40" s="73"/>
      <c r="MGW40" s="73"/>
      <c r="MGX40" s="73"/>
      <c r="MGY40" s="73"/>
      <c r="MGZ40" s="73"/>
      <c r="MHA40" s="73"/>
      <c r="MHB40" s="73"/>
      <c r="MHC40" s="73"/>
      <c r="MHD40" s="73"/>
      <c r="MHE40" s="73"/>
      <c r="MHF40" s="73"/>
      <c r="MHG40" s="73"/>
      <c r="MHH40" s="73"/>
      <c r="MHI40" s="73"/>
      <c r="MHJ40" s="73"/>
      <c r="MHK40" s="73"/>
      <c r="MHL40" s="73"/>
      <c r="MHM40" s="73"/>
      <c r="MHN40" s="73"/>
      <c r="MHO40" s="73"/>
      <c r="MHP40" s="73"/>
      <c r="MHQ40" s="73"/>
      <c r="MHR40" s="73"/>
      <c r="MHS40" s="73"/>
      <c r="MHT40" s="73"/>
      <c r="MHU40" s="73"/>
      <c r="MHV40" s="73"/>
      <c r="MHW40" s="73"/>
      <c r="MHX40" s="73"/>
      <c r="MHY40" s="73"/>
      <c r="MHZ40" s="73"/>
      <c r="MIA40" s="73"/>
      <c r="MIB40" s="73"/>
      <c r="MIC40" s="73"/>
      <c r="MID40" s="73"/>
      <c r="MIE40" s="73"/>
      <c r="MIF40" s="73"/>
      <c r="MIG40" s="73"/>
      <c r="MIH40" s="73"/>
      <c r="MII40" s="73"/>
      <c r="MIJ40" s="73"/>
      <c r="MIK40" s="73"/>
      <c r="MIL40" s="73"/>
      <c r="MIM40" s="73"/>
      <c r="MIN40" s="73"/>
      <c r="MIO40" s="73"/>
      <c r="MIP40" s="73"/>
      <c r="MIQ40" s="73"/>
      <c r="MIR40" s="73"/>
      <c r="MIS40" s="73"/>
      <c r="MIT40" s="73"/>
      <c r="MIU40" s="73"/>
      <c r="MIV40" s="73"/>
      <c r="MIW40" s="73"/>
      <c r="MIX40" s="73"/>
      <c r="MIY40" s="73"/>
      <c r="MIZ40" s="73"/>
      <c r="MJA40" s="73"/>
      <c r="MJB40" s="73"/>
      <c r="MJC40" s="73"/>
      <c r="MJD40" s="73"/>
      <c r="MJE40" s="73"/>
      <c r="MJF40" s="73"/>
      <c r="MJG40" s="73"/>
      <c r="MJH40" s="73"/>
      <c r="MJI40" s="73"/>
      <c r="MJJ40" s="73"/>
      <c r="MJK40" s="73"/>
      <c r="MJL40" s="73"/>
      <c r="MJM40" s="73"/>
      <c r="MJN40" s="73"/>
      <c r="MJO40" s="73"/>
      <c r="MJP40" s="73"/>
      <c r="MJQ40" s="73"/>
      <c r="MJR40" s="73"/>
      <c r="MJS40" s="73"/>
      <c r="MJT40" s="73"/>
      <c r="MJU40" s="73"/>
      <c r="MJV40" s="73"/>
      <c r="MJW40" s="73"/>
      <c r="MJX40" s="73"/>
      <c r="MJY40" s="73"/>
      <c r="MJZ40" s="73"/>
      <c r="MKA40" s="73"/>
      <c r="MKB40" s="73"/>
      <c r="MKC40" s="73"/>
      <c r="MKD40" s="73"/>
      <c r="MKE40" s="73"/>
      <c r="MKF40" s="73"/>
      <c r="MKG40" s="73"/>
      <c r="MKH40" s="73"/>
      <c r="MKI40" s="73"/>
      <c r="MKJ40" s="73"/>
      <c r="MKK40" s="73"/>
      <c r="MKL40" s="73"/>
      <c r="MKM40" s="73"/>
      <c r="MKN40" s="73"/>
      <c r="MKO40" s="73"/>
      <c r="MKP40" s="73"/>
      <c r="MKQ40" s="73"/>
      <c r="MKR40" s="73"/>
      <c r="MKS40" s="73"/>
      <c r="MKT40" s="73"/>
      <c r="MKU40" s="73"/>
      <c r="MKV40" s="73"/>
      <c r="MKW40" s="73"/>
      <c r="MKX40" s="73"/>
      <c r="MKY40" s="73"/>
      <c r="MKZ40" s="73"/>
      <c r="MLA40" s="73"/>
      <c r="MLB40" s="73"/>
      <c r="MLC40" s="73"/>
      <c r="MLD40" s="73"/>
      <c r="MLE40" s="73"/>
      <c r="MLF40" s="73"/>
      <c r="MLG40" s="73"/>
      <c r="MLH40" s="73"/>
      <c r="MLI40" s="73"/>
      <c r="MLJ40" s="73"/>
      <c r="MLK40" s="73"/>
      <c r="MLL40" s="73"/>
      <c r="MLM40" s="73"/>
      <c r="MLN40" s="73"/>
      <c r="MLO40" s="73"/>
      <c r="MLP40" s="73"/>
      <c r="MLQ40" s="73"/>
      <c r="MLR40" s="73"/>
      <c r="MLS40" s="73"/>
      <c r="MLT40" s="73"/>
      <c r="MLU40" s="73"/>
      <c r="MLV40" s="73"/>
      <c r="MLW40" s="73"/>
      <c r="MLX40" s="73"/>
      <c r="MLY40" s="73"/>
      <c r="MLZ40" s="73"/>
      <c r="MMA40" s="73"/>
      <c r="MMB40" s="73"/>
      <c r="MMC40" s="73"/>
      <c r="MMD40" s="73"/>
      <c r="MME40" s="73"/>
      <c r="MMF40" s="73"/>
      <c r="MMG40" s="73"/>
      <c r="MMH40" s="73"/>
      <c r="MMI40" s="73"/>
      <c r="MMJ40" s="73"/>
      <c r="MMK40" s="73"/>
      <c r="MML40" s="73"/>
      <c r="MMM40" s="73"/>
      <c r="MMN40" s="73"/>
      <c r="MMO40" s="73"/>
      <c r="MMP40" s="73"/>
      <c r="MMQ40" s="73"/>
      <c r="MMR40" s="73"/>
      <c r="MMS40" s="73"/>
      <c r="MMT40" s="73"/>
      <c r="MMU40" s="73"/>
      <c r="MMV40" s="73"/>
      <c r="MMW40" s="73"/>
      <c r="MMX40" s="73"/>
      <c r="MMY40" s="73"/>
      <c r="MMZ40" s="73"/>
      <c r="MNA40" s="73"/>
      <c r="MNB40" s="73"/>
      <c r="MNC40" s="73"/>
      <c r="MND40" s="73"/>
      <c r="MNE40" s="73"/>
      <c r="MNF40" s="73"/>
      <c r="MNG40" s="73"/>
      <c r="MNH40" s="73"/>
      <c r="MNI40" s="73"/>
      <c r="MNJ40" s="73"/>
      <c r="MNK40" s="73"/>
      <c r="MNL40" s="73"/>
      <c r="MNM40" s="73"/>
      <c r="MNN40" s="73"/>
      <c r="MNO40" s="73"/>
      <c r="MNP40" s="73"/>
      <c r="MNQ40" s="73"/>
      <c r="MNR40" s="73"/>
      <c r="MNS40" s="73"/>
      <c r="MNT40" s="73"/>
      <c r="MNU40" s="73"/>
      <c r="MNV40" s="73"/>
      <c r="MNW40" s="73"/>
      <c r="MNX40" s="73"/>
      <c r="MNY40" s="73"/>
      <c r="MNZ40" s="73"/>
      <c r="MOA40" s="73"/>
      <c r="MOB40" s="73"/>
      <c r="MOC40" s="73"/>
      <c r="MOD40" s="73"/>
      <c r="MOE40" s="73"/>
      <c r="MOF40" s="73"/>
      <c r="MOG40" s="73"/>
      <c r="MOH40" s="73"/>
      <c r="MOI40" s="73"/>
      <c r="MOJ40" s="73"/>
      <c r="MOK40" s="73"/>
      <c r="MOL40" s="73"/>
      <c r="MOM40" s="73"/>
      <c r="MON40" s="73"/>
      <c r="MOO40" s="73"/>
      <c r="MOP40" s="73"/>
      <c r="MOQ40" s="73"/>
      <c r="MOR40" s="73"/>
      <c r="MOS40" s="73"/>
      <c r="MOT40" s="73"/>
      <c r="MOU40" s="73"/>
      <c r="MOV40" s="73"/>
      <c r="MOW40" s="73"/>
      <c r="MOX40" s="73"/>
      <c r="MOY40" s="73"/>
      <c r="MOZ40" s="73"/>
      <c r="MPA40" s="73"/>
      <c r="MPB40" s="73"/>
      <c r="MPC40" s="73"/>
      <c r="MPD40" s="73"/>
      <c r="MPE40" s="73"/>
      <c r="MPF40" s="73"/>
      <c r="MPG40" s="73"/>
      <c r="MPH40" s="73"/>
      <c r="MPI40" s="73"/>
      <c r="MPJ40" s="73"/>
      <c r="MPK40" s="73"/>
      <c r="MPL40" s="73"/>
      <c r="MPM40" s="73"/>
      <c r="MPN40" s="73"/>
      <c r="MPO40" s="73"/>
      <c r="MPP40" s="73"/>
      <c r="MPQ40" s="73"/>
      <c r="MPR40" s="73"/>
      <c r="MPS40" s="73"/>
      <c r="MPT40" s="73"/>
      <c r="MPU40" s="73"/>
      <c r="MPV40" s="73"/>
      <c r="MPW40" s="73"/>
      <c r="MPX40" s="73"/>
      <c r="MPY40" s="73"/>
      <c r="MPZ40" s="73"/>
      <c r="MQA40" s="73"/>
      <c r="MQB40" s="73"/>
      <c r="MQC40" s="73"/>
      <c r="MQD40" s="73"/>
      <c r="MQE40" s="73"/>
      <c r="MQF40" s="73"/>
      <c r="MQG40" s="73"/>
      <c r="MQH40" s="73"/>
      <c r="MQI40" s="73"/>
      <c r="MQJ40" s="73"/>
      <c r="MQK40" s="73"/>
      <c r="MQL40" s="73"/>
      <c r="MQM40" s="73"/>
      <c r="MQN40" s="73"/>
      <c r="MQO40" s="73"/>
      <c r="MQP40" s="73"/>
      <c r="MQQ40" s="73"/>
      <c r="MQR40" s="73"/>
      <c r="MQS40" s="73"/>
      <c r="MQT40" s="73"/>
      <c r="MQU40" s="73"/>
      <c r="MQV40" s="73"/>
      <c r="MQW40" s="73"/>
      <c r="MQX40" s="73"/>
      <c r="MQY40" s="73"/>
      <c r="MQZ40" s="73"/>
      <c r="MRA40" s="73"/>
      <c r="MRB40" s="73"/>
      <c r="MRC40" s="73"/>
      <c r="MRD40" s="73"/>
      <c r="MRE40" s="73"/>
      <c r="MRF40" s="73"/>
      <c r="MRG40" s="73"/>
      <c r="MRH40" s="73"/>
      <c r="MRI40" s="73"/>
      <c r="MRJ40" s="73"/>
      <c r="MRK40" s="73"/>
      <c r="MRL40" s="73"/>
      <c r="MRM40" s="73"/>
      <c r="MRN40" s="73"/>
      <c r="MRO40" s="73"/>
      <c r="MRP40" s="73"/>
      <c r="MRQ40" s="73"/>
      <c r="MRR40" s="73"/>
      <c r="MRS40" s="73"/>
      <c r="MRT40" s="73"/>
      <c r="MRU40" s="73"/>
      <c r="MRV40" s="73"/>
      <c r="MRW40" s="73"/>
      <c r="MRX40" s="73"/>
      <c r="MRY40" s="73"/>
      <c r="MRZ40" s="73"/>
      <c r="MSA40" s="73"/>
      <c r="MSB40" s="73"/>
      <c r="MSC40" s="73"/>
      <c r="MSD40" s="73"/>
      <c r="MSE40" s="73"/>
      <c r="MSF40" s="73"/>
      <c r="MSG40" s="73"/>
      <c r="MSH40" s="73"/>
      <c r="MSI40" s="73"/>
      <c r="MSJ40" s="73"/>
      <c r="MSK40" s="73"/>
      <c r="MSL40" s="73"/>
      <c r="MSM40" s="73"/>
      <c r="MSN40" s="73"/>
      <c r="MSO40" s="73"/>
      <c r="MSP40" s="73"/>
      <c r="MSQ40" s="73"/>
      <c r="MSR40" s="73"/>
      <c r="MSS40" s="73"/>
      <c r="MST40" s="73"/>
      <c r="MSU40" s="73"/>
      <c r="MSV40" s="73"/>
      <c r="MSW40" s="73"/>
      <c r="MSX40" s="73"/>
      <c r="MSY40" s="73"/>
      <c r="MSZ40" s="73"/>
      <c r="MTA40" s="73"/>
      <c r="MTB40" s="73"/>
      <c r="MTC40" s="73"/>
      <c r="MTD40" s="73"/>
      <c r="MTE40" s="73"/>
      <c r="MTF40" s="73"/>
      <c r="MTG40" s="73"/>
      <c r="MTH40" s="73"/>
      <c r="MTI40" s="73"/>
      <c r="MTJ40" s="73"/>
      <c r="MTK40" s="73"/>
      <c r="MTL40" s="73"/>
      <c r="MTM40" s="73"/>
      <c r="MTN40" s="73"/>
      <c r="MTO40" s="73"/>
      <c r="MTP40" s="73"/>
      <c r="MTQ40" s="73"/>
      <c r="MTR40" s="73"/>
      <c r="MTS40" s="73"/>
      <c r="MTT40" s="73"/>
      <c r="MTU40" s="73"/>
      <c r="MTV40" s="73"/>
      <c r="MTW40" s="73"/>
      <c r="MTX40" s="73"/>
      <c r="MTY40" s="73"/>
      <c r="MTZ40" s="73"/>
      <c r="MUA40" s="73"/>
      <c r="MUB40" s="73"/>
      <c r="MUC40" s="73"/>
      <c r="MUD40" s="73"/>
      <c r="MUE40" s="73"/>
      <c r="MUF40" s="73"/>
      <c r="MUG40" s="73"/>
      <c r="MUH40" s="73"/>
      <c r="MUI40" s="73"/>
      <c r="MUJ40" s="73"/>
      <c r="MUK40" s="73"/>
      <c r="MUL40" s="73"/>
      <c r="MUM40" s="73"/>
      <c r="MUN40" s="73"/>
      <c r="MUO40" s="73"/>
      <c r="MUP40" s="73"/>
      <c r="MUQ40" s="73"/>
      <c r="MUR40" s="73"/>
      <c r="MUS40" s="73"/>
      <c r="MUT40" s="73"/>
      <c r="MUU40" s="73"/>
      <c r="MUV40" s="73"/>
      <c r="MUW40" s="73"/>
      <c r="MUX40" s="73"/>
      <c r="MUY40" s="73"/>
      <c r="MUZ40" s="73"/>
      <c r="MVA40" s="73"/>
      <c r="MVB40" s="73"/>
      <c r="MVC40" s="73"/>
      <c r="MVD40" s="73"/>
      <c r="MVE40" s="73"/>
      <c r="MVF40" s="73"/>
      <c r="MVG40" s="73"/>
      <c r="MVH40" s="73"/>
      <c r="MVI40" s="73"/>
      <c r="MVJ40" s="73"/>
      <c r="MVK40" s="73"/>
      <c r="MVL40" s="73"/>
      <c r="MVM40" s="73"/>
      <c r="MVN40" s="73"/>
      <c r="MVO40" s="73"/>
      <c r="MVP40" s="73"/>
      <c r="MVQ40" s="73"/>
      <c r="MVR40" s="73"/>
      <c r="MVS40" s="73"/>
      <c r="MVT40" s="73"/>
      <c r="MVU40" s="73"/>
      <c r="MVV40" s="73"/>
      <c r="MVW40" s="73"/>
      <c r="MVX40" s="73"/>
      <c r="MVY40" s="73"/>
      <c r="MVZ40" s="73"/>
      <c r="MWA40" s="73"/>
      <c r="MWB40" s="73"/>
      <c r="MWC40" s="73"/>
      <c r="MWD40" s="73"/>
      <c r="MWE40" s="73"/>
      <c r="MWF40" s="73"/>
      <c r="MWG40" s="73"/>
      <c r="MWH40" s="73"/>
      <c r="MWI40" s="73"/>
      <c r="MWJ40" s="73"/>
      <c r="MWK40" s="73"/>
      <c r="MWL40" s="73"/>
      <c r="MWM40" s="73"/>
      <c r="MWN40" s="73"/>
      <c r="MWO40" s="73"/>
      <c r="MWP40" s="73"/>
      <c r="MWQ40" s="73"/>
      <c r="MWR40" s="73"/>
      <c r="MWS40" s="73"/>
      <c r="MWT40" s="73"/>
      <c r="MWU40" s="73"/>
      <c r="MWV40" s="73"/>
      <c r="MWW40" s="73"/>
      <c r="MWX40" s="73"/>
      <c r="MWY40" s="73"/>
      <c r="MWZ40" s="73"/>
      <c r="MXA40" s="73"/>
      <c r="MXB40" s="73"/>
      <c r="MXC40" s="73"/>
      <c r="MXD40" s="73"/>
      <c r="MXE40" s="73"/>
      <c r="MXF40" s="73"/>
      <c r="MXG40" s="73"/>
      <c r="MXH40" s="73"/>
      <c r="MXI40" s="73"/>
      <c r="MXJ40" s="73"/>
      <c r="MXK40" s="73"/>
      <c r="MXL40" s="73"/>
      <c r="MXM40" s="73"/>
      <c r="MXN40" s="73"/>
      <c r="MXO40" s="73"/>
      <c r="MXP40" s="73"/>
      <c r="MXQ40" s="73"/>
      <c r="MXR40" s="73"/>
      <c r="MXS40" s="73"/>
      <c r="MXT40" s="73"/>
      <c r="MXU40" s="73"/>
      <c r="MXV40" s="73"/>
      <c r="MXW40" s="73"/>
      <c r="MXX40" s="73"/>
      <c r="MXY40" s="73"/>
      <c r="MXZ40" s="73"/>
      <c r="MYA40" s="73"/>
      <c r="MYB40" s="73"/>
      <c r="MYC40" s="73"/>
      <c r="MYD40" s="73"/>
      <c r="MYE40" s="73"/>
      <c r="MYF40" s="73"/>
      <c r="MYG40" s="73"/>
      <c r="MYH40" s="73"/>
      <c r="MYI40" s="73"/>
      <c r="MYJ40" s="73"/>
      <c r="MYK40" s="73"/>
      <c r="MYL40" s="73"/>
      <c r="MYM40" s="73"/>
      <c r="MYN40" s="73"/>
      <c r="MYO40" s="73"/>
      <c r="MYP40" s="73"/>
      <c r="MYQ40" s="73"/>
      <c r="MYR40" s="73"/>
      <c r="MYS40" s="73"/>
      <c r="MYT40" s="73"/>
      <c r="MYU40" s="73"/>
      <c r="MYV40" s="73"/>
      <c r="MYW40" s="73"/>
      <c r="MYX40" s="73"/>
      <c r="MYY40" s="73"/>
      <c r="MYZ40" s="73"/>
      <c r="MZA40" s="73"/>
      <c r="MZB40" s="73"/>
      <c r="MZC40" s="73"/>
      <c r="MZD40" s="73"/>
      <c r="MZE40" s="73"/>
      <c r="MZF40" s="73"/>
      <c r="MZG40" s="73"/>
      <c r="MZH40" s="73"/>
      <c r="MZI40" s="73"/>
      <c r="MZJ40" s="73"/>
      <c r="MZK40" s="73"/>
      <c r="MZL40" s="73"/>
      <c r="MZM40" s="73"/>
      <c r="MZN40" s="73"/>
      <c r="MZO40" s="73"/>
      <c r="MZP40" s="73"/>
      <c r="MZQ40" s="73"/>
      <c r="MZR40" s="73"/>
      <c r="MZS40" s="73"/>
      <c r="MZT40" s="73"/>
      <c r="MZU40" s="73"/>
      <c r="MZV40" s="73"/>
      <c r="MZW40" s="73"/>
      <c r="MZX40" s="73"/>
      <c r="MZY40" s="73"/>
      <c r="MZZ40" s="73"/>
      <c r="NAA40" s="73"/>
      <c r="NAB40" s="73"/>
      <c r="NAC40" s="73"/>
      <c r="NAD40" s="73"/>
      <c r="NAE40" s="73"/>
      <c r="NAF40" s="73"/>
      <c r="NAG40" s="73"/>
      <c r="NAH40" s="73"/>
      <c r="NAI40" s="73"/>
      <c r="NAJ40" s="73"/>
      <c r="NAK40" s="73"/>
      <c r="NAL40" s="73"/>
      <c r="NAM40" s="73"/>
      <c r="NAN40" s="73"/>
      <c r="NAO40" s="73"/>
      <c r="NAP40" s="73"/>
      <c r="NAQ40" s="73"/>
      <c r="NAR40" s="73"/>
      <c r="NAS40" s="73"/>
      <c r="NAT40" s="73"/>
      <c r="NAU40" s="73"/>
      <c r="NAV40" s="73"/>
      <c r="NAW40" s="73"/>
      <c r="NAX40" s="73"/>
      <c r="NAY40" s="73"/>
      <c r="NAZ40" s="73"/>
      <c r="NBA40" s="73"/>
      <c r="NBB40" s="73"/>
      <c r="NBC40" s="73"/>
      <c r="NBD40" s="73"/>
      <c r="NBE40" s="73"/>
      <c r="NBF40" s="73"/>
      <c r="NBG40" s="73"/>
      <c r="NBH40" s="73"/>
      <c r="NBI40" s="73"/>
      <c r="NBJ40" s="73"/>
      <c r="NBK40" s="73"/>
      <c r="NBL40" s="73"/>
      <c r="NBM40" s="73"/>
      <c r="NBN40" s="73"/>
      <c r="NBO40" s="73"/>
      <c r="NBP40" s="73"/>
      <c r="NBQ40" s="73"/>
      <c r="NBR40" s="73"/>
      <c r="NBS40" s="73"/>
      <c r="NBT40" s="73"/>
      <c r="NBU40" s="73"/>
      <c r="NBV40" s="73"/>
      <c r="NBW40" s="73"/>
      <c r="NBX40" s="73"/>
      <c r="NBY40" s="73"/>
      <c r="NBZ40" s="73"/>
      <c r="NCA40" s="73"/>
      <c r="NCB40" s="73"/>
      <c r="NCC40" s="73"/>
      <c r="NCD40" s="73"/>
      <c r="NCE40" s="73"/>
      <c r="NCF40" s="73"/>
      <c r="NCG40" s="73"/>
      <c r="NCH40" s="73"/>
      <c r="NCI40" s="73"/>
      <c r="NCJ40" s="73"/>
      <c r="NCK40" s="73"/>
      <c r="NCL40" s="73"/>
      <c r="NCM40" s="73"/>
      <c r="NCN40" s="73"/>
      <c r="NCO40" s="73"/>
      <c r="NCP40" s="73"/>
      <c r="NCQ40" s="73"/>
      <c r="NCR40" s="73"/>
      <c r="NCS40" s="73"/>
      <c r="NCT40" s="73"/>
      <c r="NCU40" s="73"/>
      <c r="NCV40" s="73"/>
      <c r="NCW40" s="73"/>
      <c r="NCX40" s="73"/>
      <c r="NCY40" s="73"/>
      <c r="NCZ40" s="73"/>
      <c r="NDA40" s="73"/>
      <c r="NDB40" s="73"/>
      <c r="NDC40" s="73"/>
      <c r="NDD40" s="73"/>
      <c r="NDE40" s="73"/>
      <c r="NDF40" s="73"/>
      <c r="NDG40" s="73"/>
      <c r="NDH40" s="73"/>
      <c r="NDI40" s="73"/>
      <c r="NDJ40" s="73"/>
      <c r="NDK40" s="73"/>
      <c r="NDL40" s="73"/>
      <c r="NDM40" s="73"/>
      <c r="NDN40" s="73"/>
      <c r="NDO40" s="73"/>
      <c r="NDP40" s="73"/>
      <c r="NDQ40" s="73"/>
      <c r="NDR40" s="73"/>
      <c r="NDS40" s="73"/>
      <c r="NDT40" s="73"/>
      <c r="NDU40" s="73"/>
      <c r="NDV40" s="73"/>
      <c r="NDW40" s="73"/>
      <c r="NDX40" s="73"/>
      <c r="NDY40" s="73"/>
      <c r="NDZ40" s="73"/>
      <c r="NEA40" s="73"/>
      <c r="NEB40" s="73"/>
      <c r="NEC40" s="73"/>
      <c r="NED40" s="73"/>
      <c r="NEE40" s="73"/>
      <c r="NEF40" s="73"/>
      <c r="NEG40" s="73"/>
      <c r="NEH40" s="73"/>
      <c r="NEI40" s="73"/>
      <c r="NEJ40" s="73"/>
      <c r="NEK40" s="73"/>
      <c r="NEL40" s="73"/>
      <c r="NEM40" s="73"/>
      <c r="NEN40" s="73"/>
      <c r="NEO40" s="73"/>
      <c r="NEP40" s="73"/>
      <c r="NEQ40" s="73"/>
      <c r="NER40" s="73"/>
      <c r="NES40" s="73"/>
      <c r="NET40" s="73"/>
      <c r="NEU40" s="73"/>
      <c r="NEV40" s="73"/>
      <c r="NEW40" s="73"/>
      <c r="NEX40" s="73"/>
      <c r="NEY40" s="73"/>
      <c r="NEZ40" s="73"/>
      <c r="NFA40" s="73"/>
      <c r="NFB40" s="73"/>
      <c r="NFC40" s="73"/>
      <c r="NFD40" s="73"/>
      <c r="NFE40" s="73"/>
      <c r="NFF40" s="73"/>
      <c r="NFG40" s="73"/>
      <c r="NFH40" s="73"/>
      <c r="NFI40" s="73"/>
      <c r="NFJ40" s="73"/>
      <c r="NFK40" s="73"/>
      <c r="NFL40" s="73"/>
      <c r="NFM40" s="73"/>
      <c r="NFN40" s="73"/>
      <c r="NFO40" s="73"/>
      <c r="NFP40" s="73"/>
      <c r="NFQ40" s="73"/>
      <c r="NFR40" s="73"/>
      <c r="NFS40" s="73"/>
      <c r="NFT40" s="73"/>
      <c r="NFU40" s="73"/>
      <c r="NFV40" s="73"/>
      <c r="NFW40" s="73"/>
      <c r="NFX40" s="73"/>
      <c r="NFY40" s="73"/>
      <c r="NFZ40" s="73"/>
      <c r="NGA40" s="73"/>
      <c r="NGB40" s="73"/>
      <c r="NGC40" s="73"/>
      <c r="NGD40" s="73"/>
      <c r="NGE40" s="73"/>
      <c r="NGF40" s="73"/>
      <c r="NGG40" s="73"/>
      <c r="NGH40" s="73"/>
      <c r="NGI40" s="73"/>
      <c r="NGJ40" s="73"/>
      <c r="NGK40" s="73"/>
      <c r="NGL40" s="73"/>
      <c r="NGM40" s="73"/>
      <c r="NGN40" s="73"/>
      <c r="NGO40" s="73"/>
      <c r="NGP40" s="73"/>
      <c r="NGQ40" s="73"/>
      <c r="NGR40" s="73"/>
      <c r="NGS40" s="73"/>
      <c r="NGT40" s="73"/>
      <c r="NGU40" s="73"/>
      <c r="NGV40" s="73"/>
      <c r="NGW40" s="73"/>
      <c r="NGX40" s="73"/>
      <c r="NGY40" s="73"/>
      <c r="NGZ40" s="73"/>
      <c r="NHA40" s="73"/>
      <c r="NHB40" s="73"/>
      <c r="NHC40" s="73"/>
      <c r="NHD40" s="73"/>
      <c r="NHE40" s="73"/>
      <c r="NHF40" s="73"/>
      <c r="NHG40" s="73"/>
      <c r="NHH40" s="73"/>
      <c r="NHI40" s="73"/>
      <c r="NHJ40" s="73"/>
      <c r="NHK40" s="73"/>
      <c r="NHL40" s="73"/>
      <c r="NHM40" s="73"/>
      <c r="NHN40" s="73"/>
      <c r="NHO40" s="73"/>
      <c r="NHP40" s="73"/>
      <c r="NHQ40" s="73"/>
      <c r="NHR40" s="73"/>
      <c r="NHS40" s="73"/>
      <c r="NHT40" s="73"/>
      <c r="NHU40" s="73"/>
      <c r="NHV40" s="73"/>
      <c r="NHW40" s="73"/>
      <c r="NHX40" s="73"/>
      <c r="NHY40" s="73"/>
      <c r="NHZ40" s="73"/>
      <c r="NIA40" s="73"/>
      <c r="NIB40" s="73"/>
      <c r="NIC40" s="73"/>
      <c r="NID40" s="73"/>
      <c r="NIE40" s="73"/>
      <c r="NIF40" s="73"/>
      <c r="NIG40" s="73"/>
      <c r="NIH40" s="73"/>
      <c r="NII40" s="73"/>
      <c r="NIJ40" s="73"/>
      <c r="NIK40" s="73"/>
      <c r="NIL40" s="73"/>
      <c r="NIM40" s="73"/>
      <c r="NIN40" s="73"/>
      <c r="NIO40" s="73"/>
      <c r="NIP40" s="73"/>
      <c r="NIQ40" s="73"/>
      <c r="NIR40" s="73"/>
      <c r="NIS40" s="73"/>
      <c r="NIT40" s="73"/>
      <c r="NIU40" s="73"/>
      <c r="NIV40" s="73"/>
      <c r="NIW40" s="73"/>
      <c r="NIX40" s="73"/>
      <c r="NIY40" s="73"/>
      <c r="NIZ40" s="73"/>
      <c r="NJA40" s="73"/>
      <c r="NJB40" s="73"/>
      <c r="NJC40" s="73"/>
      <c r="NJD40" s="73"/>
      <c r="NJE40" s="73"/>
      <c r="NJF40" s="73"/>
      <c r="NJG40" s="73"/>
      <c r="NJH40" s="73"/>
      <c r="NJI40" s="73"/>
      <c r="NJJ40" s="73"/>
      <c r="NJK40" s="73"/>
      <c r="NJL40" s="73"/>
      <c r="NJM40" s="73"/>
      <c r="NJN40" s="73"/>
      <c r="NJO40" s="73"/>
      <c r="NJP40" s="73"/>
      <c r="NJQ40" s="73"/>
      <c r="NJR40" s="73"/>
      <c r="NJS40" s="73"/>
      <c r="NJT40" s="73"/>
      <c r="NJU40" s="73"/>
      <c r="NJV40" s="73"/>
      <c r="NJW40" s="73"/>
      <c r="NJX40" s="73"/>
      <c r="NJY40" s="73"/>
      <c r="NJZ40" s="73"/>
      <c r="NKA40" s="73"/>
      <c r="NKB40" s="73"/>
      <c r="NKC40" s="73"/>
      <c r="NKD40" s="73"/>
      <c r="NKE40" s="73"/>
      <c r="NKF40" s="73"/>
      <c r="NKG40" s="73"/>
      <c r="NKH40" s="73"/>
      <c r="NKI40" s="73"/>
      <c r="NKJ40" s="73"/>
      <c r="NKK40" s="73"/>
      <c r="NKL40" s="73"/>
      <c r="NKM40" s="73"/>
      <c r="NKN40" s="73"/>
      <c r="NKO40" s="73"/>
      <c r="NKP40" s="73"/>
      <c r="NKQ40" s="73"/>
      <c r="NKR40" s="73"/>
      <c r="NKS40" s="73"/>
      <c r="NKT40" s="73"/>
      <c r="NKU40" s="73"/>
      <c r="NKV40" s="73"/>
      <c r="NKW40" s="73"/>
      <c r="NKX40" s="73"/>
      <c r="NKY40" s="73"/>
      <c r="NKZ40" s="73"/>
      <c r="NLA40" s="73"/>
      <c r="NLB40" s="73"/>
      <c r="NLC40" s="73"/>
      <c r="NLD40" s="73"/>
      <c r="NLE40" s="73"/>
      <c r="NLF40" s="73"/>
      <c r="NLG40" s="73"/>
      <c r="NLH40" s="73"/>
      <c r="NLI40" s="73"/>
      <c r="NLJ40" s="73"/>
      <c r="NLK40" s="73"/>
      <c r="NLL40" s="73"/>
      <c r="NLM40" s="73"/>
      <c r="NLN40" s="73"/>
      <c r="NLO40" s="73"/>
      <c r="NLP40" s="73"/>
      <c r="NLQ40" s="73"/>
      <c r="NLR40" s="73"/>
      <c r="NLS40" s="73"/>
      <c r="NLT40" s="73"/>
      <c r="NLU40" s="73"/>
      <c r="NLV40" s="73"/>
      <c r="NLW40" s="73"/>
      <c r="NLX40" s="73"/>
      <c r="NLY40" s="73"/>
      <c r="NLZ40" s="73"/>
      <c r="NMA40" s="73"/>
      <c r="NMB40" s="73"/>
      <c r="NMC40" s="73"/>
      <c r="NMD40" s="73"/>
      <c r="NME40" s="73"/>
      <c r="NMF40" s="73"/>
      <c r="NMG40" s="73"/>
      <c r="NMH40" s="73"/>
      <c r="NMI40" s="73"/>
      <c r="NMJ40" s="73"/>
      <c r="NMK40" s="73"/>
      <c r="NML40" s="73"/>
      <c r="NMM40" s="73"/>
      <c r="NMN40" s="73"/>
      <c r="NMO40" s="73"/>
      <c r="NMP40" s="73"/>
      <c r="NMQ40" s="73"/>
      <c r="NMR40" s="73"/>
      <c r="NMS40" s="73"/>
      <c r="NMT40" s="73"/>
      <c r="NMU40" s="73"/>
      <c r="NMV40" s="73"/>
      <c r="NMW40" s="73"/>
      <c r="NMX40" s="73"/>
      <c r="NMY40" s="73"/>
      <c r="NMZ40" s="73"/>
      <c r="NNA40" s="73"/>
      <c r="NNB40" s="73"/>
      <c r="NNC40" s="73"/>
      <c r="NND40" s="73"/>
      <c r="NNE40" s="73"/>
      <c r="NNF40" s="73"/>
      <c r="NNG40" s="73"/>
      <c r="NNH40" s="73"/>
      <c r="NNI40" s="73"/>
      <c r="NNJ40" s="73"/>
      <c r="NNK40" s="73"/>
      <c r="NNL40" s="73"/>
      <c r="NNM40" s="73"/>
      <c r="NNN40" s="73"/>
      <c r="NNO40" s="73"/>
      <c r="NNP40" s="73"/>
      <c r="NNQ40" s="73"/>
      <c r="NNR40" s="73"/>
      <c r="NNS40" s="73"/>
      <c r="NNT40" s="73"/>
      <c r="NNU40" s="73"/>
      <c r="NNV40" s="73"/>
      <c r="NNW40" s="73"/>
      <c r="NNX40" s="73"/>
      <c r="NNY40" s="73"/>
      <c r="NNZ40" s="73"/>
      <c r="NOA40" s="73"/>
      <c r="NOB40" s="73"/>
      <c r="NOC40" s="73"/>
      <c r="NOD40" s="73"/>
      <c r="NOE40" s="73"/>
      <c r="NOF40" s="73"/>
      <c r="NOG40" s="73"/>
      <c r="NOH40" s="73"/>
      <c r="NOI40" s="73"/>
      <c r="NOJ40" s="73"/>
      <c r="NOK40" s="73"/>
      <c r="NOL40" s="73"/>
      <c r="NOM40" s="73"/>
      <c r="NON40" s="73"/>
      <c r="NOO40" s="73"/>
      <c r="NOP40" s="73"/>
      <c r="NOQ40" s="73"/>
      <c r="NOR40" s="73"/>
      <c r="NOS40" s="73"/>
      <c r="NOT40" s="73"/>
      <c r="NOU40" s="73"/>
      <c r="NOV40" s="73"/>
      <c r="NOW40" s="73"/>
      <c r="NOX40" s="73"/>
      <c r="NOY40" s="73"/>
      <c r="NOZ40" s="73"/>
      <c r="NPA40" s="73"/>
      <c r="NPB40" s="73"/>
      <c r="NPC40" s="73"/>
      <c r="NPD40" s="73"/>
      <c r="NPE40" s="73"/>
      <c r="NPF40" s="73"/>
      <c r="NPG40" s="73"/>
      <c r="NPH40" s="73"/>
      <c r="NPI40" s="73"/>
      <c r="NPJ40" s="73"/>
      <c r="NPK40" s="73"/>
      <c r="NPL40" s="73"/>
      <c r="NPM40" s="73"/>
      <c r="NPN40" s="73"/>
      <c r="NPO40" s="73"/>
      <c r="NPP40" s="73"/>
      <c r="NPQ40" s="73"/>
      <c r="NPR40" s="73"/>
      <c r="NPS40" s="73"/>
      <c r="NPT40" s="73"/>
      <c r="NPU40" s="73"/>
      <c r="NPV40" s="73"/>
      <c r="NPW40" s="73"/>
      <c r="NPX40" s="73"/>
      <c r="NPY40" s="73"/>
      <c r="NPZ40" s="73"/>
      <c r="NQA40" s="73"/>
      <c r="NQB40" s="73"/>
      <c r="NQC40" s="73"/>
      <c r="NQD40" s="73"/>
      <c r="NQE40" s="73"/>
      <c r="NQF40" s="73"/>
      <c r="NQG40" s="73"/>
      <c r="NQH40" s="73"/>
      <c r="NQI40" s="73"/>
      <c r="NQJ40" s="73"/>
      <c r="NQK40" s="73"/>
      <c r="NQL40" s="73"/>
      <c r="NQM40" s="73"/>
      <c r="NQN40" s="73"/>
      <c r="NQO40" s="73"/>
      <c r="NQP40" s="73"/>
      <c r="NQQ40" s="73"/>
      <c r="NQR40" s="73"/>
      <c r="NQS40" s="73"/>
      <c r="NQT40" s="73"/>
      <c r="NQU40" s="73"/>
      <c r="NQV40" s="73"/>
      <c r="NQW40" s="73"/>
      <c r="NQX40" s="73"/>
      <c r="NQY40" s="73"/>
      <c r="NQZ40" s="73"/>
      <c r="NRA40" s="73"/>
      <c r="NRB40" s="73"/>
      <c r="NRC40" s="73"/>
      <c r="NRD40" s="73"/>
      <c r="NRE40" s="73"/>
      <c r="NRF40" s="73"/>
      <c r="NRG40" s="73"/>
      <c r="NRH40" s="73"/>
      <c r="NRI40" s="73"/>
      <c r="NRJ40" s="73"/>
      <c r="NRK40" s="73"/>
      <c r="NRL40" s="73"/>
      <c r="NRM40" s="73"/>
      <c r="NRN40" s="73"/>
      <c r="NRO40" s="73"/>
      <c r="NRP40" s="73"/>
      <c r="NRQ40" s="73"/>
      <c r="NRR40" s="73"/>
      <c r="NRS40" s="73"/>
      <c r="NRT40" s="73"/>
      <c r="NRU40" s="73"/>
      <c r="NRV40" s="73"/>
      <c r="NRW40" s="73"/>
      <c r="NRX40" s="73"/>
      <c r="NRY40" s="73"/>
      <c r="NRZ40" s="73"/>
      <c r="NSA40" s="73"/>
      <c r="NSB40" s="73"/>
      <c r="NSC40" s="73"/>
      <c r="NSD40" s="73"/>
      <c r="NSE40" s="73"/>
      <c r="NSF40" s="73"/>
      <c r="NSG40" s="73"/>
      <c r="NSH40" s="73"/>
      <c r="NSI40" s="73"/>
      <c r="NSJ40" s="73"/>
      <c r="NSK40" s="73"/>
      <c r="NSL40" s="73"/>
      <c r="NSM40" s="73"/>
      <c r="NSN40" s="73"/>
      <c r="NSO40" s="73"/>
      <c r="NSP40" s="73"/>
      <c r="NSQ40" s="73"/>
      <c r="NSR40" s="73"/>
      <c r="NSS40" s="73"/>
      <c r="NST40" s="73"/>
      <c r="NSU40" s="73"/>
      <c r="NSV40" s="73"/>
      <c r="NSW40" s="73"/>
      <c r="NSX40" s="73"/>
      <c r="NSY40" s="73"/>
      <c r="NSZ40" s="73"/>
      <c r="NTA40" s="73"/>
      <c r="NTB40" s="73"/>
      <c r="NTC40" s="73"/>
      <c r="NTD40" s="73"/>
      <c r="NTE40" s="73"/>
      <c r="NTF40" s="73"/>
      <c r="NTG40" s="73"/>
      <c r="NTH40" s="73"/>
      <c r="NTI40" s="73"/>
      <c r="NTJ40" s="73"/>
      <c r="NTK40" s="73"/>
      <c r="NTL40" s="73"/>
      <c r="NTM40" s="73"/>
      <c r="NTN40" s="73"/>
      <c r="NTO40" s="73"/>
      <c r="NTP40" s="73"/>
      <c r="NTQ40" s="73"/>
      <c r="NTR40" s="73"/>
      <c r="NTS40" s="73"/>
      <c r="NTT40" s="73"/>
      <c r="NTU40" s="73"/>
      <c r="NTV40" s="73"/>
      <c r="NTW40" s="73"/>
      <c r="NTX40" s="73"/>
      <c r="NTY40" s="73"/>
      <c r="NTZ40" s="73"/>
      <c r="NUA40" s="73"/>
      <c r="NUB40" s="73"/>
      <c r="NUC40" s="73"/>
      <c r="NUD40" s="73"/>
      <c r="NUE40" s="73"/>
      <c r="NUF40" s="73"/>
      <c r="NUG40" s="73"/>
      <c r="NUH40" s="73"/>
      <c r="NUI40" s="73"/>
      <c r="NUJ40" s="73"/>
      <c r="NUK40" s="73"/>
      <c r="NUL40" s="73"/>
      <c r="NUM40" s="73"/>
      <c r="NUN40" s="73"/>
      <c r="NUO40" s="73"/>
      <c r="NUP40" s="73"/>
      <c r="NUQ40" s="73"/>
      <c r="NUR40" s="73"/>
      <c r="NUS40" s="73"/>
      <c r="NUT40" s="73"/>
      <c r="NUU40" s="73"/>
      <c r="NUV40" s="73"/>
      <c r="NUW40" s="73"/>
      <c r="NUX40" s="73"/>
      <c r="NUY40" s="73"/>
      <c r="NUZ40" s="73"/>
      <c r="NVA40" s="73"/>
      <c r="NVB40" s="73"/>
      <c r="NVC40" s="73"/>
      <c r="NVD40" s="73"/>
      <c r="NVE40" s="73"/>
      <c r="NVF40" s="73"/>
      <c r="NVG40" s="73"/>
      <c r="NVH40" s="73"/>
      <c r="NVI40" s="73"/>
      <c r="NVJ40" s="73"/>
      <c r="NVK40" s="73"/>
      <c r="NVL40" s="73"/>
      <c r="NVM40" s="73"/>
      <c r="NVN40" s="73"/>
      <c r="NVO40" s="73"/>
      <c r="NVP40" s="73"/>
      <c r="NVQ40" s="73"/>
      <c r="NVR40" s="73"/>
      <c r="NVS40" s="73"/>
      <c r="NVT40" s="73"/>
      <c r="NVU40" s="73"/>
      <c r="NVV40" s="73"/>
      <c r="NVW40" s="73"/>
      <c r="NVX40" s="73"/>
      <c r="NVY40" s="73"/>
      <c r="NVZ40" s="73"/>
      <c r="NWA40" s="73"/>
      <c r="NWB40" s="73"/>
      <c r="NWC40" s="73"/>
      <c r="NWD40" s="73"/>
      <c r="NWE40" s="73"/>
      <c r="NWF40" s="73"/>
      <c r="NWG40" s="73"/>
      <c r="NWH40" s="73"/>
      <c r="NWI40" s="73"/>
      <c r="NWJ40" s="73"/>
      <c r="NWK40" s="73"/>
      <c r="NWL40" s="73"/>
      <c r="NWM40" s="73"/>
      <c r="NWN40" s="73"/>
      <c r="NWO40" s="73"/>
      <c r="NWP40" s="73"/>
      <c r="NWQ40" s="73"/>
      <c r="NWR40" s="73"/>
      <c r="NWS40" s="73"/>
      <c r="NWT40" s="73"/>
      <c r="NWU40" s="73"/>
      <c r="NWV40" s="73"/>
      <c r="NWW40" s="73"/>
      <c r="NWX40" s="73"/>
      <c r="NWY40" s="73"/>
      <c r="NWZ40" s="73"/>
      <c r="NXA40" s="73"/>
      <c r="NXB40" s="73"/>
      <c r="NXC40" s="73"/>
      <c r="NXD40" s="73"/>
      <c r="NXE40" s="73"/>
      <c r="NXF40" s="73"/>
      <c r="NXG40" s="73"/>
      <c r="NXH40" s="73"/>
      <c r="NXI40" s="73"/>
      <c r="NXJ40" s="73"/>
      <c r="NXK40" s="73"/>
      <c r="NXL40" s="73"/>
      <c r="NXM40" s="73"/>
      <c r="NXN40" s="73"/>
      <c r="NXO40" s="73"/>
      <c r="NXP40" s="73"/>
      <c r="NXQ40" s="73"/>
      <c r="NXR40" s="73"/>
      <c r="NXS40" s="73"/>
      <c r="NXT40" s="73"/>
      <c r="NXU40" s="73"/>
      <c r="NXV40" s="73"/>
      <c r="NXW40" s="73"/>
      <c r="NXX40" s="73"/>
      <c r="NXY40" s="73"/>
      <c r="NXZ40" s="73"/>
      <c r="NYA40" s="73"/>
      <c r="NYB40" s="73"/>
      <c r="NYC40" s="73"/>
      <c r="NYD40" s="73"/>
      <c r="NYE40" s="73"/>
      <c r="NYF40" s="73"/>
      <c r="NYG40" s="73"/>
      <c r="NYH40" s="73"/>
      <c r="NYI40" s="73"/>
      <c r="NYJ40" s="73"/>
      <c r="NYK40" s="73"/>
      <c r="NYL40" s="73"/>
      <c r="NYM40" s="73"/>
      <c r="NYN40" s="73"/>
      <c r="NYO40" s="73"/>
      <c r="NYP40" s="73"/>
      <c r="NYQ40" s="73"/>
      <c r="NYR40" s="73"/>
      <c r="NYS40" s="73"/>
      <c r="NYT40" s="73"/>
      <c r="NYU40" s="73"/>
      <c r="NYV40" s="73"/>
      <c r="NYW40" s="73"/>
      <c r="NYX40" s="73"/>
      <c r="NYY40" s="73"/>
      <c r="NYZ40" s="73"/>
      <c r="NZA40" s="73"/>
      <c r="NZB40" s="73"/>
      <c r="NZC40" s="73"/>
      <c r="NZD40" s="73"/>
      <c r="NZE40" s="73"/>
      <c r="NZF40" s="73"/>
      <c r="NZG40" s="73"/>
      <c r="NZH40" s="73"/>
      <c r="NZI40" s="73"/>
      <c r="NZJ40" s="73"/>
      <c r="NZK40" s="73"/>
      <c r="NZL40" s="73"/>
      <c r="NZM40" s="73"/>
      <c r="NZN40" s="73"/>
      <c r="NZO40" s="73"/>
      <c r="NZP40" s="73"/>
      <c r="NZQ40" s="73"/>
      <c r="NZR40" s="73"/>
      <c r="NZS40" s="73"/>
      <c r="NZT40" s="73"/>
      <c r="NZU40" s="73"/>
      <c r="NZV40" s="73"/>
      <c r="NZW40" s="73"/>
      <c r="NZX40" s="73"/>
      <c r="NZY40" s="73"/>
      <c r="NZZ40" s="73"/>
      <c r="OAA40" s="73"/>
      <c r="OAB40" s="73"/>
      <c r="OAC40" s="73"/>
      <c r="OAD40" s="73"/>
      <c r="OAE40" s="73"/>
      <c r="OAF40" s="73"/>
      <c r="OAG40" s="73"/>
      <c r="OAH40" s="73"/>
      <c r="OAI40" s="73"/>
      <c r="OAJ40" s="73"/>
      <c r="OAK40" s="73"/>
      <c r="OAL40" s="73"/>
      <c r="OAM40" s="73"/>
      <c r="OAN40" s="73"/>
      <c r="OAO40" s="73"/>
      <c r="OAP40" s="73"/>
      <c r="OAQ40" s="73"/>
      <c r="OAR40" s="73"/>
      <c r="OAS40" s="73"/>
      <c r="OAT40" s="73"/>
      <c r="OAU40" s="73"/>
      <c r="OAV40" s="73"/>
      <c r="OAW40" s="73"/>
      <c r="OAX40" s="73"/>
      <c r="OAY40" s="73"/>
      <c r="OAZ40" s="73"/>
      <c r="OBA40" s="73"/>
      <c r="OBB40" s="73"/>
      <c r="OBC40" s="73"/>
      <c r="OBD40" s="73"/>
      <c r="OBE40" s="73"/>
      <c r="OBF40" s="73"/>
      <c r="OBG40" s="73"/>
      <c r="OBH40" s="73"/>
      <c r="OBI40" s="73"/>
      <c r="OBJ40" s="73"/>
      <c r="OBK40" s="73"/>
      <c r="OBL40" s="73"/>
      <c r="OBM40" s="73"/>
      <c r="OBN40" s="73"/>
      <c r="OBO40" s="73"/>
      <c r="OBP40" s="73"/>
      <c r="OBQ40" s="73"/>
      <c r="OBR40" s="73"/>
      <c r="OBS40" s="73"/>
      <c r="OBT40" s="73"/>
      <c r="OBU40" s="73"/>
      <c r="OBV40" s="73"/>
      <c r="OBW40" s="73"/>
      <c r="OBX40" s="73"/>
      <c r="OBY40" s="73"/>
      <c r="OBZ40" s="73"/>
      <c r="OCA40" s="73"/>
      <c r="OCB40" s="73"/>
      <c r="OCC40" s="73"/>
      <c r="OCD40" s="73"/>
      <c r="OCE40" s="73"/>
      <c r="OCF40" s="73"/>
      <c r="OCG40" s="73"/>
      <c r="OCH40" s="73"/>
      <c r="OCI40" s="73"/>
      <c r="OCJ40" s="73"/>
      <c r="OCK40" s="73"/>
      <c r="OCL40" s="73"/>
      <c r="OCM40" s="73"/>
      <c r="OCN40" s="73"/>
      <c r="OCO40" s="73"/>
      <c r="OCP40" s="73"/>
      <c r="OCQ40" s="73"/>
      <c r="OCR40" s="73"/>
      <c r="OCS40" s="73"/>
      <c r="OCT40" s="73"/>
      <c r="OCU40" s="73"/>
      <c r="OCV40" s="73"/>
      <c r="OCW40" s="73"/>
      <c r="OCX40" s="73"/>
      <c r="OCY40" s="73"/>
      <c r="OCZ40" s="73"/>
      <c r="ODA40" s="73"/>
      <c r="ODB40" s="73"/>
      <c r="ODC40" s="73"/>
      <c r="ODD40" s="73"/>
      <c r="ODE40" s="73"/>
      <c r="ODF40" s="73"/>
      <c r="ODG40" s="73"/>
      <c r="ODH40" s="73"/>
      <c r="ODI40" s="73"/>
      <c r="ODJ40" s="73"/>
      <c r="ODK40" s="73"/>
      <c r="ODL40" s="73"/>
      <c r="ODM40" s="73"/>
      <c r="ODN40" s="73"/>
      <c r="ODO40" s="73"/>
      <c r="ODP40" s="73"/>
      <c r="ODQ40" s="73"/>
      <c r="ODR40" s="73"/>
      <c r="ODS40" s="73"/>
      <c r="ODT40" s="73"/>
      <c r="ODU40" s="73"/>
      <c r="ODV40" s="73"/>
      <c r="ODW40" s="73"/>
      <c r="ODX40" s="73"/>
      <c r="ODY40" s="73"/>
      <c r="ODZ40" s="73"/>
      <c r="OEA40" s="73"/>
      <c r="OEB40" s="73"/>
      <c r="OEC40" s="73"/>
      <c r="OED40" s="73"/>
      <c r="OEE40" s="73"/>
      <c r="OEF40" s="73"/>
      <c r="OEG40" s="73"/>
      <c r="OEH40" s="73"/>
      <c r="OEI40" s="73"/>
      <c r="OEJ40" s="73"/>
      <c r="OEK40" s="73"/>
      <c r="OEL40" s="73"/>
      <c r="OEM40" s="73"/>
      <c r="OEN40" s="73"/>
      <c r="OEO40" s="73"/>
      <c r="OEP40" s="73"/>
      <c r="OEQ40" s="73"/>
      <c r="OER40" s="73"/>
      <c r="OES40" s="73"/>
      <c r="OET40" s="73"/>
      <c r="OEU40" s="73"/>
      <c r="OEV40" s="73"/>
      <c r="OEW40" s="73"/>
      <c r="OEX40" s="73"/>
      <c r="OEY40" s="73"/>
      <c r="OEZ40" s="73"/>
      <c r="OFA40" s="73"/>
      <c r="OFB40" s="73"/>
      <c r="OFC40" s="73"/>
      <c r="OFD40" s="73"/>
      <c r="OFE40" s="73"/>
      <c r="OFF40" s="73"/>
      <c r="OFG40" s="73"/>
      <c r="OFH40" s="73"/>
      <c r="OFI40" s="73"/>
      <c r="OFJ40" s="73"/>
      <c r="OFK40" s="73"/>
      <c r="OFL40" s="73"/>
      <c r="OFM40" s="73"/>
      <c r="OFN40" s="73"/>
      <c r="OFO40" s="73"/>
      <c r="OFP40" s="73"/>
      <c r="OFQ40" s="73"/>
      <c r="OFR40" s="73"/>
      <c r="OFS40" s="73"/>
      <c r="OFT40" s="73"/>
      <c r="OFU40" s="73"/>
      <c r="OFV40" s="73"/>
      <c r="OFW40" s="73"/>
      <c r="OFX40" s="73"/>
      <c r="OFY40" s="73"/>
      <c r="OFZ40" s="73"/>
      <c r="OGA40" s="73"/>
      <c r="OGB40" s="73"/>
      <c r="OGC40" s="73"/>
      <c r="OGD40" s="73"/>
      <c r="OGE40" s="73"/>
      <c r="OGF40" s="73"/>
      <c r="OGG40" s="73"/>
      <c r="OGH40" s="73"/>
      <c r="OGI40" s="73"/>
      <c r="OGJ40" s="73"/>
      <c r="OGK40" s="73"/>
      <c r="OGL40" s="73"/>
      <c r="OGM40" s="73"/>
      <c r="OGN40" s="73"/>
      <c r="OGO40" s="73"/>
      <c r="OGP40" s="73"/>
      <c r="OGQ40" s="73"/>
      <c r="OGR40" s="73"/>
      <c r="OGS40" s="73"/>
      <c r="OGT40" s="73"/>
      <c r="OGU40" s="73"/>
      <c r="OGV40" s="73"/>
      <c r="OGW40" s="73"/>
      <c r="OGX40" s="73"/>
      <c r="OGY40" s="73"/>
      <c r="OGZ40" s="73"/>
      <c r="OHA40" s="73"/>
      <c r="OHB40" s="73"/>
      <c r="OHC40" s="73"/>
      <c r="OHD40" s="73"/>
      <c r="OHE40" s="73"/>
      <c r="OHF40" s="73"/>
      <c r="OHG40" s="73"/>
      <c r="OHH40" s="73"/>
      <c r="OHI40" s="73"/>
      <c r="OHJ40" s="73"/>
      <c r="OHK40" s="73"/>
      <c r="OHL40" s="73"/>
      <c r="OHM40" s="73"/>
      <c r="OHN40" s="73"/>
      <c r="OHO40" s="73"/>
      <c r="OHP40" s="73"/>
      <c r="OHQ40" s="73"/>
      <c r="OHR40" s="73"/>
      <c r="OHS40" s="73"/>
      <c r="OHT40" s="73"/>
      <c r="OHU40" s="73"/>
      <c r="OHV40" s="73"/>
      <c r="OHW40" s="73"/>
      <c r="OHX40" s="73"/>
      <c r="OHY40" s="73"/>
      <c r="OHZ40" s="73"/>
      <c r="OIA40" s="73"/>
      <c r="OIB40" s="73"/>
      <c r="OIC40" s="73"/>
      <c r="OID40" s="73"/>
      <c r="OIE40" s="73"/>
      <c r="OIF40" s="73"/>
      <c r="OIG40" s="73"/>
      <c r="OIH40" s="73"/>
      <c r="OII40" s="73"/>
      <c r="OIJ40" s="73"/>
      <c r="OIK40" s="73"/>
      <c r="OIL40" s="73"/>
      <c r="OIM40" s="73"/>
      <c r="OIN40" s="73"/>
      <c r="OIO40" s="73"/>
      <c r="OIP40" s="73"/>
      <c r="OIQ40" s="73"/>
      <c r="OIR40" s="73"/>
      <c r="OIS40" s="73"/>
      <c r="OIT40" s="73"/>
      <c r="OIU40" s="73"/>
      <c r="OIV40" s="73"/>
      <c r="OIW40" s="73"/>
      <c r="OIX40" s="73"/>
      <c r="OIY40" s="73"/>
      <c r="OIZ40" s="73"/>
      <c r="OJA40" s="73"/>
      <c r="OJB40" s="73"/>
      <c r="OJC40" s="73"/>
      <c r="OJD40" s="73"/>
      <c r="OJE40" s="73"/>
      <c r="OJF40" s="73"/>
      <c r="OJG40" s="73"/>
      <c r="OJH40" s="73"/>
      <c r="OJI40" s="73"/>
      <c r="OJJ40" s="73"/>
      <c r="OJK40" s="73"/>
      <c r="OJL40" s="73"/>
      <c r="OJM40" s="73"/>
      <c r="OJN40" s="73"/>
      <c r="OJO40" s="73"/>
      <c r="OJP40" s="73"/>
      <c r="OJQ40" s="73"/>
      <c r="OJR40" s="73"/>
      <c r="OJS40" s="73"/>
      <c r="OJT40" s="73"/>
      <c r="OJU40" s="73"/>
      <c r="OJV40" s="73"/>
      <c r="OJW40" s="73"/>
      <c r="OJX40" s="73"/>
      <c r="OJY40" s="73"/>
      <c r="OJZ40" s="73"/>
      <c r="OKA40" s="73"/>
      <c r="OKB40" s="73"/>
      <c r="OKC40" s="73"/>
      <c r="OKD40" s="73"/>
      <c r="OKE40" s="73"/>
      <c r="OKF40" s="73"/>
      <c r="OKG40" s="73"/>
      <c r="OKH40" s="73"/>
      <c r="OKI40" s="73"/>
      <c r="OKJ40" s="73"/>
      <c r="OKK40" s="73"/>
      <c r="OKL40" s="73"/>
      <c r="OKM40" s="73"/>
      <c r="OKN40" s="73"/>
      <c r="OKO40" s="73"/>
      <c r="OKP40" s="73"/>
      <c r="OKQ40" s="73"/>
      <c r="OKR40" s="73"/>
      <c r="OKS40" s="73"/>
      <c r="OKT40" s="73"/>
      <c r="OKU40" s="73"/>
      <c r="OKV40" s="73"/>
      <c r="OKW40" s="73"/>
      <c r="OKX40" s="73"/>
      <c r="OKY40" s="73"/>
      <c r="OKZ40" s="73"/>
      <c r="OLA40" s="73"/>
      <c r="OLB40" s="73"/>
      <c r="OLC40" s="73"/>
      <c r="OLD40" s="73"/>
      <c r="OLE40" s="73"/>
      <c r="OLF40" s="73"/>
      <c r="OLG40" s="73"/>
      <c r="OLH40" s="73"/>
      <c r="OLI40" s="73"/>
      <c r="OLJ40" s="73"/>
      <c r="OLK40" s="73"/>
      <c r="OLL40" s="73"/>
      <c r="OLM40" s="73"/>
      <c r="OLN40" s="73"/>
      <c r="OLO40" s="73"/>
      <c r="OLP40" s="73"/>
      <c r="OLQ40" s="73"/>
      <c r="OLR40" s="73"/>
      <c r="OLS40" s="73"/>
      <c r="OLT40" s="73"/>
      <c r="OLU40" s="73"/>
      <c r="OLV40" s="73"/>
      <c r="OLW40" s="73"/>
      <c r="OLX40" s="73"/>
      <c r="OLY40" s="73"/>
      <c r="OLZ40" s="73"/>
      <c r="OMA40" s="73"/>
      <c r="OMB40" s="73"/>
      <c r="OMC40" s="73"/>
      <c r="OMD40" s="73"/>
      <c r="OME40" s="73"/>
      <c r="OMF40" s="73"/>
      <c r="OMG40" s="73"/>
      <c r="OMH40" s="73"/>
      <c r="OMI40" s="73"/>
      <c r="OMJ40" s="73"/>
      <c r="OMK40" s="73"/>
      <c r="OML40" s="73"/>
      <c r="OMM40" s="73"/>
      <c r="OMN40" s="73"/>
      <c r="OMO40" s="73"/>
      <c r="OMP40" s="73"/>
      <c r="OMQ40" s="73"/>
      <c r="OMR40" s="73"/>
      <c r="OMS40" s="73"/>
      <c r="OMT40" s="73"/>
      <c r="OMU40" s="73"/>
      <c r="OMV40" s="73"/>
      <c r="OMW40" s="73"/>
      <c r="OMX40" s="73"/>
      <c r="OMY40" s="73"/>
      <c r="OMZ40" s="73"/>
      <c r="ONA40" s="73"/>
      <c r="ONB40" s="73"/>
      <c r="ONC40" s="73"/>
      <c r="OND40" s="73"/>
      <c r="ONE40" s="73"/>
      <c r="ONF40" s="73"/>
      <c r="ONG40" s="73"/>
      <c r="ONH40" s="73"/>
      <c r="ONI40" s="73"/>
      <c r="ONJ40" s="73"/>
      <c r="ONK40" s="73"/>
      <c r="ONL40" s="73"/>
      <c r="ONM40" s="73"/>
      <c r="ONN40" s="73"/>
      <c r="ONO40" s="73"/>
      <c r="ONP40" s="73"/>
      <c r="ONQ40" s="73"/>
      <c r="ONR40" s="73"/>
      <c r="ONS40" s="73"/>
      <c r="ONT40" s="73"/>
      <c r="ONU40" s="73"/>
      <c r="ONV40" s="73"/>
      <c r="ONW40" s="73"/>
      <c r="ONX40" s="73"/>
      <c r="ONY40" s="73"/>
      <c r="ONZ40" s="73"/>
      <c r="OOA40" s="73"/>
      <c r="OOB40" s="73"/>
      <c r="OOC40" s="73"/>
      <c r="OOD40" s="73"/>
      <c r="OOE40" s="73"/>
      <c r="OOF40" s="73"/>
      <c r="OOG40" s="73"/>
      <c r="OOH40" s="73"/>
      <c r="OOI40" s="73"/>
      <c r="OOJ40" s="73"/>
      <c r="OOK40" s="73"/>
      <c r="OOL40" s="73"/>
      <c r="OOM40" s="73"/>
      <c r="OON40" s="73"/>
      <c r="OOO40" s="73"/>
      <c r="OOP40" s="73"/>
      <c r="OOQ40" s="73"/>
      <c r="OOR40" s="73"/>
      <c r="OOS40" s="73"/>
      <c r="OOT40" s="73"/>
      <c r="OOU40" s="73"/>
      <c r="OOV40" s="73"/>
      <c r="OOW40" s="73"/>
      <c r="OOX40" s="73"/>
      <c r="OOY40" s="73"/>
      <c r="OOZ40" s="73"/>
      <c r="OPA40" s="73"/>
      <c r="OPB40" s="73"/>
      <c r="OPC40" s="73"/>
      <c r="OPD40" s="73"/>
      <c r="OPE40" s="73"/>
      <c r="OPF40" s="73"/>
      <c r="OPG40" s="73"/>
      <c r="OPH40" s="73"/>
      <c r="OPI40" s="73"/>
      <c r="OPJ40" s="73"/>
      <c r="OPK40" s="73"/>
      <c r="OPL40" s="73"/>
      <c r="OPM40" s="73"/>
      <c r="OPN40" s="73"/>
      <c r="OPO40" s="73"/>
      <c r="OPP40" s="73"/>
      <c r="OPQ40" s="73"/>
      <c r="OPR40" s="73"/>
      <c r="OPS40" s="73"/>
      <c r="OPT40" s="73"/>
      <c r="OPU40" s="73"/>
      <c r="OPV40" s="73"/>
      <c r="OPW40" s="73"/>
      <c r="OPX40" s="73"/>
      <c r="OPY40" s="73"/>
      <c r="OPZ40" s="73"/>
      <c r="OQA40" s="73"/>
      <c r="OQB40" s="73"/>
      <c r="OQC40" s="73"/>
      <c r="OQD40" s="73"/>
      <c r="OQE40" s="73"/>
      <c r="OQF40" s="73"/>
      <c r="OQG40" s="73"/>
      <c r="OQH40" s="73"/>
      <c r="OQI40" s="73"/>
      <c r="OQJ40" s="73"/>
      <c r="OQK40" s="73"/>
      <c r="OQL40" s="73"/>
      <c r="OQM40" s="73"/>
      <c r="OQN40" s="73"/>
      <c r="OQO40" s="73"/>
      <c r="OQP40" s="73"/>
      <c r="OQQ40" s="73"/>
      <c r="OQR40" s="73"/>
      <c r="OQS40" s="73"/>
      <c r="OQT40" s="73"/>
      <c r="OQU40" s="73"/>
      <c r="OQV40" s="73"/>
      <c r="OQW40" s="73"/>
      <c r="OQX40" s="73"/>
      <c r="OQY40" s="73"/>
      <c r="OQZ40" s="73"/>
      <c r="ORA40" s="73"/>
      <c r="ORB40" s="73"/>
      <c r="ORC40" s="73"/>
      <c r="ORD40" s="73"/>
      <c r="ORE40" s="73"/>
      <c r="ORF40" s="73"/>
      <c r="ORG40" s="73"/>
      <c r="ORH40" s="73"/>
      <c r="ORI40" s="73"/>
      <c r="ORJ40" s="73"/>
      <c r="ORK40" s="73"/>
      <c r="ORL40" s="73"/>
      <c r="ORM40" s="73"/>
      <c r="ORN40" s="73"/>
      <c r="ORO40" s="73"/>
      <c r="ORP40" s="73"/>
      <c r="ORQ40" s="73"/>
      <c r="ORR40" s="73"/>
      <c r="ORS40" s="73"/>
      <c r="ORT40" s="73"/>
      <c r="ORU40" s="73"/>
      <c r="ORV40" s="73"/>
      <c r="ORW40" s="73"/>
      <c r="ORX40" s="73"/>
      <c r="ORY40" s="73"/>
      <c r="ORZ40" s="73"/>
      <c r="OSA40" s="73"/>
      <c r="OSB40" s="73"/>
      <c r="OSC40" s="73"/>
      <c r="OSD40" s="73"/>
      <c r="OSE40" s="73"/>
      <c r="OSF40" s="73"/>
      <c r="OSG40" s="73"/>
      <c r="OSH40" s="73"/>
      <c r="OSI40" s="73"/>
      <c r="OSJ40" s="73"/>
      <c r="OSK40" s="73"/>
      <c r="OSL40" s="73"/>
      <c r="OSM40" s="73"/>
      <c r="OSN40" s="73"/>
      <c r="OSO40" s="73"/>
      <c r="OSP40" s="73"/>
      <c r="OSQ40" s="73"/>
      <c r="OSR40" s="73"/>
      <c r="OSS40" s="73"/>
      <c r="OST40" s="73"/>
      <c r="OSU40" s="73"/>
      <c r="OSV40" s="73"/>
      <c r="OSW40" s="73"/>
      <c r="OSX40" s="73"/>
      <c r="OSY40" s="73"/>
      <c r="OSZ40" s="73"/>
      <c r="OTA40" s="73"/>
      <c r="OTB40" s="73"/>
      <c r="OTC40" s="73"/>
      <c r="OTD40" s="73"/>
      <c r="OTE40" s="73"/>
      <c r="OTF40" s="73"/>
      <c r="OTG40" s="73"/>
      <c r="OTH40" s="73"/>
      <c r="OTI40" s="73"/>
      <c r="OTJ40" s="73"/>
      <c r="OTK40" s="73"/>
      <c r="OTL40" s="73"/>
      <c r="OTM40" s="73"/>
      <c r="OTN40" s="73"/>
      <c r="OTO40" s="73"/>
      <c r="OTP40" s="73"/>
      <c r="OTQ40" s="73"/>
      <c r="OTR40" s="73"/>
      <c r="OTS40" s="73"/>
      <c r="OTT40" s="73"/>
      <c r="OTU40" s="73"/>
      <c r="OTV40" s="73"/>
      <c r="OTW40" s="73"/>
      <c r="OTX40" s="73"/>
      <c r="OTY40" s="73"/>
      <c r="OTZ40" s="73"/>
      <c r="OUA40" s="73"/>
      <c r="OUB40" s="73"/>
      <c r="OUC40" s="73"/>
      <c r="OUD40" s="73"/>
      <c r="OUE40" s="73"/>
      <c r="OUF40" s="73"/>
      <c r="OUG40" s="73"/>
      <c r="OUH40" s="73"/>
      <c r="OUI40" s="73"/>
      <c r="OUJ40" s="73"/>
      <c r="OUK40" s="73"/>
      <c r="OUL40" s="73"/>
      <c r="OUM40" s="73"/>
      <c r="OUN40" s="73"/>
      <c r="OUO40" s="73"/>
      <c r="OUP40" s="73"/>
      <c r="OUQ40" s="73"/>
      <c r="OUR40" s="73"/>
      <c r="OUS40" s="73"/>
      <c r="OUT40" s="73"/>
      <c r="OUU40" s="73"/>
      <c r="OUV40" s="73"/>
      <c r="OUW40" s="73"/>
      <c r="OUX40" s="73"/>
      <c r="OUY40" s="73"/>
      <c r="OUZ40" s="73"/>
      <c r="OVA40" s="73"/>
      <c r="OVB40" s="73"/>
      <c r="OVC40" s="73"/>
      <c r="OVD40" s="73"/>
      <c r="OVE40" s="73"/>
      <c r="OVF40" s="73"/>
      <c r="OVG40" s="73"/>
      <c r="OVH40" s="73"/>
      <c r="OVI40" s="73"/>
      <c r="OVJ40" s="73"/>
      <c r="OVK40" s="73"/>
      <c r="OVL40" s="73"/>
      <c r="OVM40" s="73"/>
      <c r="OVN40" s="73"/>
      <c r="OVO40" s="73"/>
      <c r="OVP40" s="73"/>
      <c r="OVQ40" s="73"/>
      <c r="OVR40" s="73"/>
      <c r="OVS40" s="73"/>
      <c r="OVT40" s="73"/>
      <c r="OVU40" s="73"/>
      <c r="OVV40" s="73"/>
      <c r="OVW40" s="73"/>
      <c r="OVX40" s="73"/>
      <c r="OVY40" s="73"/>
      <c r="OVZ40" s="73"/>
      <c r="OWA40" s="73"/>
      <c r="OWB40" s="73"/>
      <c r="OWC40" s="73"/>
      <c r="OWD40" s="73"/>
      <c r="OWE40" s="73"/>
      <c r="OWF40" s="73"/>
      <c r="OWG40" s="73"/>
      <c r="OWH40" s="73"/>
      <c r="OWI40" s="73"/>
      <c r="OWJ40" s="73"/>
      <c r="OWK40" s="73"/>
      <c r="OWL40" s="73"/>
      <c r="OWM40" s="73"/>
      <c r="OWN40" s="73"/>
      <c r="OWO40" s="73"/>
      <c r="OWP40" s="73"/>
      <c r="OWQ40" s="73"/>
      <c r="OWR40" s="73"/>
      <c r="OWS40" s="73"/>
      <c r="OWT40" s="73"/>
      <c r="OWU40" s="73"/>
      <c r="OWV40" s="73"/>
      <c r="OWW40" s="73"/>
      <c r="OWX40" s="73"/>
      <c r="OWY40" s="73"/>
      <c r="OWZ40" s="73"/>
      <c r="OXA40" s="73"/>
      <c r="OXB40" s="73"/>
      <c r="OXC40" s="73"/>
      <c r="OXD40" s="73"/>
      <c r="OXE40" s="73"/>
      <c r="OXF40" s="73"/>
      <c r="OXG40" s="73"/>
      <c r="OXH40" s="73"/>
      <c r="OXI40" s="73"/>
      <c r="OXJ40" s="73"/>
      <c r="OXK40" s="73"/>
      <c r="OXL40" s="73"/>
      <c r="OXM40" s="73"/>
      <c r="OXN40" s="73"/>
      <c r="OXO40" s="73"/>
      <c r="OXP40" s="73"/>
      <c r="OXQ40" s="73"/>
      <c r="OXR40" s="73"/>
      <c r="OXS40" s="73"/>
      <c r="OXT40" s="73"/>
      <c r="OXU40" s="73"/>
      <c r="OXV40" s="73"/>
      <c r="OXW40" s="73"/>
      <c r="OXX40" s="73"/>
      <c r="OXY40" s="73"/>
      <c r="OXZ40" s="73"/>
      <c r="OYA40" s="73"/>
      <c r="OYB40" s="73"/>
      <c r="OYC40" s="73"/>
      <c r="OYD40" s="73"/>
      <c r="OYE40" s="73"/>
      <c r="OYF40" s="73"/>
      <c r="OYG40" s="73"/>
      <c r="OYH40" s="73"/>
      <c r="OYI40" s="73"/>
      <c r="OYJ40" s="73"/>
      <c r="OYK40" s="73"/>
      <c r="OYL40" s="73"/>
      <c r="OYM40" s="73"/>
      <c r="OYN40" s="73"/>
      <c r="OYO40" s="73"/>
      <c r="OYP40" s="73"/>
      <c r="OYQ40" s="73"/>
      <c r="OYR40" s="73"/>
      <c r="OYS40" s="73"/>
      <c r="OYT40" s="73"/>
      <c r="OYU40" s="73"/>
      <c r="OYV40" s="73"/>
      <c r="OYW40" s="73"/>
      <c r="OYX40" s="73"/>
      <c r="OYY40" s="73"/>
      <c r="OYZ40" s="73"/>
      <c r="OZA40" s="73"/>
      <c r="OZB40" s="73"/>
      <c r="OZC40" s="73"/>
      <c r="OZD40" s="73"/>
      <c r="OZE40" s="73"/>
      <c r="OZF40" s="73"/>
      <c r="OZG40" s="73"/>
      <c r="OZH40" s="73"/>
      <c r="OZI40" s="73"/>
      <c r="OZJ40" s="73"/>
      <c r="OZK40" s="73"/>
      <c r="OZL40" s="73"/>
      <c r="OZM40" s="73"/>
      <c r="OZN40" s="73"/>
      <c r="OZO40" s="73"/>
      <c r="OZP40" s="73"/>
      <c r="OZQ40" s="73"/>
      <c r="OZR40" s="73"/>
      <c r="OZS40" s="73"/>
      <c r="OZT40" s="73"/>
      <c r="OZU40" s="73"/>
      <c r="OZV40" s="73"/>
      <c r="OZW40" s="73"/>
      <c r="OZX40" s="73"/>
      <c r="OZY40" s="73"/>
      <c r="OZZ40" s="73"/>
      <c r="PAA40" s="73"/>
      <c r="PAB40" s="73"/>
      <c r="PAC40" s="73"/>
      <c r="PAD40" s="73"/>
      <c r="PAE40" s="73"/>
      <c r="PAF40" s="73"/>
      <c r="PAG40" s="73"/>
      <c r="PAH40" s="73"/>
      <c r="PAI40" s="73"/>
      <c r="PAJ40" s="73"/>
      <c r="PAK40" s="73"/>
      <c r="PAL40" s="73"/>
      <c r="PAM40" s="73"/>
      <c r="PAN40" s="73"/>
      <c r="PAO40" s="73"/>
      <c r="PAP40" s="73"/>
      <c r="PAQ40" s="73"/>
      <c r="PAR40" s="73"/>
      <c r="PAS40" s="73"/>
      <c r="PAT40" s="73"/>
      <c r="PAU40" s="73"/>
      <c r="PAV40" s="73"/>
      <c r="PAW40" s="73"/>
      <c r="PAX40" s="73"/>
      <c r="PAY40" s="73"/>
      <c r="PAZ40" s="73"/>
      <c r="PBA40" s="73"/>
      <c r="PBB40" s="73"/>
      <c r="PBC40" s="73"/>
      <c r="PBD40" s="73"/>
      <c r="PBE40" s="73"/>
      <c r="PBF40" s="73"/>
      <c r="PBG40" s="73"/>
      <c r="PBH40" s="73"/>
      <c r="PBI40" s="73"/>
      <c r="PBJ40" s="73"/>
      <c r="PBK40" s="73"/>
      <c r="PBL40" s="73"/>
      <c r="PBM40" s="73"/>
      <c r="PBN40" s="73"/>
      <c r="PBO40" s="73"/>
      <c r="PBP40" s="73"/>
      <c r="PBQ40" s="73"/>
      <c r="PBR40" s="73"/>
      <c r="PBS40" s="73"/>
      <c r="PBT40" s="73"/>
      <c r="PBU40" s="73"/>
      <c r="PBV40" s="73"/>
      <c r="PBW40" s="73"/>
      <c r="PBX40" s="73"/>
      <c r="PBY40" s="73"/>
      <c r="PBZ40" s="73"/>
      <c r="PCA40" s="73"/>
      <c r="PCB40" s="73"/>
      <c r="PCC40" s="73"/>
      <c r="PCD40" s="73"/>
      <c r="PCE40" s="73"/>
      <c r="PCF40" s="73"/>
      <c r="PCG40" s="73"/>
      <c r="PCH40" s="73"/>
      <c r="PCI40" s="73"/>
      <c r="PCJ40" s="73"/>
      <c r="PCK40" s="73"/>
      <c r="PCL40" s="73"/>
      <c r="PCM40" s="73"/>
      <c r="PCN40" s="73"/>
      <c r="PCO40" s="73"/>
      <c r="PCP40" s="73"/>
      <c r="PCQ40" s="73"/>
      <c r="PCR40" s="73"/>
      <c r="PCS40" s="73"/>
      <c r="PCT40" s="73"/>
      <c r="PCU40" s="73"/>
      <c r="PCV40" s="73"/>
      <c r="PCW40" s="73"/>
      <c r="PCX40" s="73"/>
      <c r="PCY40" s="73"/>
      <c r="PCZ40" s="73"/>
      <c r="PDA40" s="73"/>
      <c r="PDB40" s="73"/>
      <c r="PDC40" s="73"/>
      <c r="PDD40" s="73"/>
      <c r="PDE40" s="73"/>
      <c r="PDF40" s="73"/>
      <c r="PDG40" s="73"/>
      <c r="PDH40" s="73"/>
      <c r="PDI40" s="73"/>
      <c r="PDJ40" s="73"/>
      <c r="PDK40" s="73"/>
      <c r="PDL40" s="73"/>
      <c r="PDM40" s="73"/>
      <c r="PDN40" s="73"/>
      <c r="PDO40" s="73"/>
      <c r="PDP40" s="73"/>
      <c r="PDQ40" s="73"/>
      <c r="PDR40" s="73"/>
      <c r="PDS40" s="73"/>
      <c r="PDT40" s="73"/>
      <c r="PDU40" s="73"/>
      <c r="PDV40" s="73"/>
      <c r="PDW40" s="73"/>
      <c r="PDX40" s="73"/>
      <c r="PDY40" s="73"/>
      <c r="PDZ40" s="73"/>
      <c r="PEA40" s="73"/>
      <c r="PEB40" s="73"/>
      <c r="PEC40" s="73"/>
      <c r="PED40" s="73"/>
      <c r="PEE40" s="73"/>
      <c r="PEF40" s="73"/>
      <c r="PEG40" s="73"/>
      <c r="PEH40" s="73"/>
      <c r="PEI40" s="73"/>
      <c r="PEJ40" s="73"/>
      <c r="PEK40" s="73"/>
      <c r="PEL40" s="73"/>
      <c r="PEM40" s="73"/>
      <c r="PEN40" s="73"/>
      <c r="PEO40" s="73"/>
      <c r="PEP40" s="73"/>
      <c r="PEQ40" s="73"/>
      <c r="PER40" s="73"/>
      <c r="PES40" s="73"/>
      <c r="PET40" s="73"/>
      <c r="PEU40" s="73"/>
      <c r="PEV40" s="73"/>
      <c r="PEW40" s="73"/>
      <c r="PEX40" s="73"/>
      <c r="PEY40" s="73"/>
      <c r="PEZ40" s="73"/>
      <c r="PFA40" s="73"/>
      <c r="PFB40" s="73"/>
      <c r="PFC40" s="73"/>
      <c r="PFD40" s="73"/>
      <c r="PFE40" s="73"/>
      <c r="PFF40" s="73"/>
      <c r="PFG40" s="73"/>
      <c r="PFH40" s="73"/>
      <c r="PFI40" s="73"/>
      <c r="PFJ40" s="73"/>
      <c r="PFK40" s="73"/>
      <c r="PFL40" s="73"/>
      <c r="PFM40" s="73"/>
      <c r="PFN40" s="73"/>
      <c r="PFO40" s="73"/>
      <c r="PFP40" s="73"/>
      <c r="PFQ40" s="73"/>
      <c r="PFR40" s="73"/>
      <c r="PFS40" s="73"/>
      <c r="PFT40" s="73"/>
      <c r="PFU40" s="73"/>
      <c r="PFV40" s="73"/>
      <c r="PFW40" s="73"/>
      <c r="PFX40" s="73"/>
      <c r="PFY40" s="73"/>
      <c r="PFZ40" s="73"/>
      <c r="PGA40" s="73"/>
      <c r="PGB40" s="73"/>
      <c r="PGC40" s="73"/>
      <c r="PGD40" s="73"/>
      <c r="PGE40" s="73"/>
      <c r="PGF40" s="73"/>
      <c r="PGG40" s="73"/>
      <c r="PGH40" s="73"/>
      <c r="PGI40" s="73"/>
      <c r="PGJ40" s="73"/>
      <c r="PGK40" s="73"/>
      <c r="PGL40" s="73"/>
      <c r="PGM40" s="73"/>
      <c r="PGN40" s="73"/>
      <c r="PGO40" s="73"/>
      <c r="PGP40" s="73"/>
      <c r="PGQ40" s="73"/>
      <c r="PGR40" s="73"/>
      <c r="PGS40" s="73"/>
      <c r="PGT40" s="73"/>
      <c r="PGU40" s="73"/>
      <c r="PGV40" s="73"/>
      <c r="PGW40" s="73"/>
      <c r="PGX40" s="73"/>
      <c r="PGY40" s="73"/>
      <c r="PGZ40" s="73"/>
      <c r="PHA40" s="73"/>
      <c r="PHB40" s="73"/>
      <c r="PHC40" s="73"/>
      <c r="PHD40" s="73"/>
      <c r="PHE40" s="73"/>
      <c r="PHF40" s="73"/>
      <c r="PHG40" s="73"/>
      <c r="PHH40" s="73"/>
      <c r="PHI40" s="73"/>
      <c r="PHJ40" s="73"/>
      <c r="PHK40" s="73"/>
      <c r="PHL40" s="73"/>
      <c r="PHM40" s="73"/>
      <c r="PHN40" s="73"/>
      <c r="PHO40" s="73"/>
      <c r="PHP40" s="73"/>
      <c r="PHQ40" s="73"/>
      <c r="PHR40" s="73"/>
      <c r="PHS40" s="73"/>
      <c r="PHT40" s="73"/>
      <c r="PHU40" s="73"/>
      <c r="PHV40" s="73"/>
      <c r="PHW40" s="73"/>
      <c r="PHX40" s="73"/>
      <c r="PHY40" s="73"/>
      <c r="PHZ40" s="73"/>
      <c r="PIA40" s="73"/>
      <c r="PIB40" s="73"/>
      <c r="PIC40" s="73"/>
      <c r="PID40" s="73"/>
      <c r="PIE40" s="73"/>
      <c r="PIF40" s="73"/>
      <c r="PIG40" s="73"/>
      <c r="PIH40" s="73"/>
      <c r="PII40" s="73"/>
      <c r="PIJ40" s="73"/>
      <c r="PIK40" s="73"/>
      <c r="PIL40" s="73"/>
      <c r="PIM40" s="73"/>
      <c r="PIN40" s="73"/>
      <c r="PIO40" s="73"/>
      <c r="PIP40" s="73"/>
      <c r="PIQ40" s="73"/>
      <c r="PIR40" s="73"/>
      <c r="PIS40" s="73"/>
      <c r="PIT40" s="73"/>
      <c r="PIU40" s="73"/>
      <c r="PIV40" s="73"/>
      <c r="PIW40" s="73"/>
      <c r="PIX40" s="73"/>
      <c r="PIY40" s="73"/>
      <c r="PIZ40" s="73"/>
      <c r="PJA40" s="73"/>
      <c r="PJB40" s="73"/>
      <c r="PJC40" s="73"/>
      <c r="PJD40" s="73"/>
      <c r="PJE40" s="73"/>
      <c r="PJF40" s="73"/>
      <c r="PJG40" s="73"/>
      <c r="PJH40" s="73"/>
      <c r="PJI40" s="73"/>
      <c r="PJJ40" s="73"/>
      <c r="PJK40" s="73"/>
      <c r="PJL40" s="73"/>
      <c r="PJM40" s="73"/>
      <c r="PJN40" s="73"/>
      <c r="PJO40" s="73"/>
      <c r="PJP40" s="73"/>
      <c r="PJQ40" s="73"/>
      <c r="PJR40" s="73"/>
      <c r="PJS40" s="73"/>
      <c r="PJT40" s="73"/>
      <c r="PJU40" s="73"/>
      <c r="PJV40" s="73"/>
      <c r="PJW40" s="73"/>
      <c r="PJX40" s="73"/>
      <c r="PJY40" s="73"/>
      <c r="PJZ40" s="73"/>
      <c r="PKA40" s="73"/>
      <c r="PKB40" s="73"/>
      <c r="PKC40" s="73"/>
      <c r="PKD40" s="73"/>
      <c r="PKE40" s="73"/>
      <c r="PKF40" s="73"/>
      <c r="PKG40" s="73"/>
      <c r="PKH40" s="73"/>
      <c r="PKI40" s="73"/>
      <c r="PKJ40" s="73"/>
      <c r="PKK40" s="73"/>
      <c r="PKL40" s="73"/>
      <c r="PKM40" s="73"/>
      <c r="PKN40" s="73"/>
      <c r="PKO40" s="73"/>
      <c r="PKP40" s="73"/>
      <c r="PKQ40" s="73"/>
      <c r="PKR40" s="73"/>
      <c r="PKS40" s="73"/>
      <c r="PKT40" s="73"/>
      <c r="PKU40" s="73"/>
      <c r="PKV40" s="73"/>
      <c r="PKW40" s="73"/>
      <c r="PKX40" s="73"/>
      <c r="PKY40" s="73"/>
      <c r="PKZ40" s="73"/>
      <c r="PLA40" s="73"/>
      <c r="PLB40" s="73"/>
      <c r="PLC40" s="73"/>
      <c r="PLD40" s="73"/>
      <c r="PLE40" s="73"/>
      <c r="PLF40" s="73"/>
      <c r="PLG40" s="73"/>
      <c r="PLH40" s="73"/>
      <c r="PLI40" s="73"/>
      <c r="PLJ40" s="73"/>
      <c r="PLK40" s="73"/>
      <c r="PLL40" s="73"/>
      <c r="PLM40" s="73"/>
      <c r="PLN40" s="73"/>
      <c r="PLO40" s="73"/>
      <c r="PLP40" s="73"/>
      <c r="PLQ40" s="73"/>
      <c r="PLR40" s="73"/>
      <c r="PLS40" s="73"/>
      <c r="PLT40" s="73"/>
      <c r="PLU40" s="73"/>
      <c r="PLV40" s="73"/>
      <c r="PLW40" s="73"/>
      <c r="PLX40" s="73"/>
      <c r="PLY40" s="73"/>
      <c r="PLZ40" s="73"/>
      <c r="PMA40" s="73"/>
      <c r="PMB40" s="73"/>
      <c r="PMC40" s="73"/>
      <c r="PMD40" s="73"/>
      <c r="PME40" s="73"/>
      <c r="PMF40" s="73"/>
      <c r="PMG40" s="73"/>
      <c r="PMH40" s="73"/>
      <c r="PMI40" s="73"/>
      <c r="PMJ40" s="73"/>
      <c r="PMK40" s="73"/>
      <c r="PML40" s="73"/>
      <c r="PMM40" s="73"/>
      <c r="PMN40" s="73"/>
      <c r="PMO40" s="73"/>
      <c r="PMP40" s="73"/>
      <c r="PMQ40" s="73"/>
      <c r="PMR40" s="73"/>
      <c r="PMS40" s="73"/>
      <c r="PMT40" s="73"/>
      <c r="PMU40" s="73"/>
      <c r="PMV40" s="73"/>
      <c r="PMW40" s="73"/>
      <c r="PMX40" s="73"/>
      <c r="PMY40" s="73"/>
      <c r="PMZ40" s="73"/>
      <c r="PNA40" s="73"/>
      <c r="PNB40" s="73"/>
      <c r="PNC40" s="73"/>
      <c r="PND40" s="73"/>
      <c r="PNE40" s="73"/>
      <c r="PNF40" s="73"/>
      <c r="PNG40" s="73"/>
      <c r="PNH40" s="73"/>
      <c r="PNI40" s="73"/>
      <c r="PNJ40" s="73"/>
      <c r="PNK40" s="73"/>
      <c r="PNL40" s="73"/>
      <c r="PNM40" s="73"/>
      <c r="PNN40" s="73"/>
      <c r="PNO40" s="73"/>
      <c r="PNP40" s="73"/>
      <c r="PNQ40" s="73"/>
      <c r="PNR40" s="73"/>
      <c r="PNS40" s="73"/>
      <c r="PNT40" s="73"/>
      <c r="PNU40" s="73"/>
      <c r="PNV40" s="73"/>
      <c r="PNW40" s="73"/>
      <c r="PNX40" s="73"/>
      <c r="PNY40" s="73"/>
      <c r="PNZ40" s="73"/>
      <c r="POA40" s="73"/>
      <c r="POB40" s="73"/>
      <c r="POC40" s="73"/>
      <c r="POD40" s="73"/>
      <c r="POE40" s="73"/>
      <c r="POF40" s="73"/>
      <c r="POG40" s="73"/>
      <c r="POH40" s="73"/>
      <c r="POI40" s="73"/>
      <c r="POJ40" s="73"/>
      <c r="POK40" s="73"/>
      <c r="POL40" s="73"/>
      <c r="POM40" s="73"/>
      <c r="PON40" s="73"/>
      <c r="POO40" s="73"/>
      <c r="POP40" s="73"/>
      <c r="POQ40" s="73"/>
      <c r="POR40" s="73"/>
      <c r="POS40" s="73"/>
      <c r="POT40" s="73"/>
      <c r="POU40" s="73"/>
      <c r="POV40" s="73"/>
      <c r="POW40" s="73"/>
      <c r="POX40" s="73"/>
      <c r="POY40" s="73"/>
      <c r="POZ40" s="73"/>
      <c r="PPA40" s="73"/>
      <c r="PPB40" s="73"/>
      <c r="PPC40" s="73"/>
      <c r="PPD40" s="73"/>
      <c r="PPE40" s="73"/>
      <c r="PPF40" s="73"/>
      <c r="PPG40" s="73"/>
      <c r="PPH40" s="73"/>
      <c r="PPI40" s="73"/>
      <c r="PPJ40" s="73"/>
      <c r="PPK40" s="73"/>
      <c r="PPL40" s="73"/>
      <c r="PPM40" s="73"/>
      <c r="PPN40" s="73"/>
      <c r="PPO40" s="73"/>
      <c r="PPP40" s="73"/>
      <c r="PPQ40" s="73"/>
      <c r="PPR40" s="73"/>
      <c r="PPS40" s="73"/>
      <c r="PPT40" s="73"/>
      <c r="PPU40" s="73"/>
      <c r="PPV40" s="73"/>
      <c r="PPW40" s="73"/>
      <c r="PPX40" s="73"/>
      <c r="PPY40" s="73"/>
      <c r="PPZ40" s="73"/>
      <c r="PQA40" s="73"/>
      <c r="PQB40" s="73"/>
      <c r="PQC40" s="73"/>
      <c r="PQD40" s="73"/>
      <c r="PQE40" s="73"/>
      <c r="PQF40" s="73"/>
      <c r="PQG40" s="73"/>
      <c r="PQH40" s="73"/>
      <c r="PQI40" s="73"/>
      <c r="PQJ40" s="73"/>
      <c r="PQK40" s="73"/>
      <c r="PQL40" s="73"/>
      <c r="PQM40" s="73"/>
      <c r="PQN40" s="73"/>
      <c r="PQO40" s="73"/>
      <c r="PQP40" s="73"/>
      <c r="PQQ40" s="73"/>
      <c r="PQR40" s="73"/>
      <c r="PQS40" s="73"/>
      <c r="PQT40" s="73"/>
      <c r="PQU40" s="73"/>
      <c r="PQV40" s="73"/>
      <c r="PQW40" s="73"/>
      <c r="PQX40" s="73"/>
      <c r="PQY40" s="73"/>
      <c r="PQZ40" s="73"/>
      <c r="PRA40" s="73"/>
      <c r="PRB40" s="73"/>
      <c r="PRC40" s="73"/>
      <c r="PRD40" s="73"/>
      <c r="PRE40" s="73"/>
      <c r="PRF40" s="73"/>
      <c r="PRG40" s="73"/>
      <c r="PRH40" s="73"/>
      <c r="PRI40" s="73"/>
      <c r="PRJ40" s="73"/>
      <c r="PRK40" s="73"/>
      <c r="PRL40" s="73"/>
      <c r="PRM40" s="73"/>
      <c r="PRN40" s="73"/>
      <c r="PRO40" s="73"/>
      <c r="PRP40" s="73"/>
      <c r="PRQ40" s="73"/>
      <c r="PRR40" s="73"/>
      <c r="PRS40" s="73"/>
      <c r="PRT40" s="73"/>
      <c r="PRU40" s="73"/>
      <c r="PRV40" s="73"/>
      <c r="PRW40" s="73"/>
      <c r="PRX40" s="73"/>
      <c r="PRY40" s="73"/>
      <c r="PRZ40" s="73"/>
      <c r="PSA40" s="73"/>
      <c r="PSB40" s="73"/>
      <c r="PSC40" s="73"/>
      <c r="PSD40" s="73"/>
      <c r="PSE40" s="73"/>
      <c r="PSF40" s="73"/>
      <c r="PSG40" s="73"/>
      <c r="PSH40" s="73"/>
      <c r="PSI40" s="73"/>
      <c r="PSJ40" s="73"/>
      <c r="PSK40" s="73"/>
      <c r="PSL40" s="73"/>
      <c r="PSM40" s="73"/>
      <c r="PSN40" s="73"/>
      <c r="PSO40" s="73"/>
      <c r="PSP40" s="73"/>
      <c r="PSQ40" s="73"/>
      <c r="PSR40" s="73"/>
      <c r="PSS40" s="73"/>
      <c r="PST40" s="73"/>
      <c r="PSU40" s="73"/>
      <c r="PSV40" s="73"/>
      <c r="PSW40" s="73"/>
      <c r="PSX40" s="73"/>
      <c r="PSY40" s="73"/>
      <c r="PSZ40" s="73"/>
      <c r="PTA40" s="73"/>
      <c r="PTB40" s="73"/>
      <c r="PTC40" s="73"/>
      <c r="PTD40" s="73"/>
      <c r="PTE40" s="73"/>
      <c r="PTF40" s="73"/>
      <c r="PTG40" s="73"/>
      <c r="PTH40" s="73"/>
      <c r="PTI40" s="73"/>
      <c r="PTJ40" s="73"/>
      <c r="PTK40" s="73"/>
      <c r="PTL40" s="73"/>
      <c r="PTM40" s="73"/>
      <c r="PTN40" s="73"/>
      <c r="PTO40" s="73"/>
      <c r="PTP40" s="73"/>
      <c r="PTQ40" s="73"/>
      <c r="PTR40" s="73"/>
      <c r="PTS40" s="73"/>
      <c r="PTT40" s="73"/>
      <c r="PTU40" s="73"/>
      <c r="PTV40" s="73"/>
      <c r="PTW40" s="73"/>
      <c r="PTX40" s="73"/>
      <c r="PTY40" s="73"/>
      <c r="PTZ40" s="73"/>
      <c r="PUA40" s="73"/>
      <c r="PUB40" s="73"/>
      <c r="PUC40" s="73"/>
      <c r="PUD40" s="73"/>
      <c r="PUE40" s="73"/>
      <c r="PUF40" s="73"/>
      <c r="PUG40" s="73"/>
      <c r="PUH40" s="73"/>
      <c r="PUI40" s="73"/>
      <c r="PUJ40" s="73"/>
      <c r="PUK40" s="73"/>
      <c r="PUL40" s="73"/>
      <c r="PUM40" s="73"/>
      <c r="PUN40" s="73"/>
      <c r="PUO40" s="73"/>
      <c r="PUP40" s="73"/>
      <c r="PUQ40" s="73"/>
      <c r="PUR40" s="73"/>
      <c r="PUS40" s="73"/>
      <c r="PUT40" s="73"/>
      <c r="PUU40" s="73"/>
      <c r="PUV40" s="73"/>
      <c r="PUW40" s="73"/>
      <c r="PUX40" s="73"/>
      <c r="PUY40" s="73"/>
      <c r="PUZ40" s="73"/>
      <c r="PVA40" s="73"/>
      <c r="PVB40" s="73"/>
      <c r="PVC40" s="73"/>
      <c r="PVD40" s="73"/>
      <c r="PVE40" s="73"/>
      <c r="PVF40" s="73"/>
      <c r="PVG40" s="73"/>
      <c r="PVH40" s="73"/>
      <c r="PVI40" s="73"/>
      <c r="PVJ40" s="73"/>
      <c r="PVK40" s="73"/>
      <c r="PVL40" s="73"/>
      <c r="PVM40" s="73"/>
      <c r="PVN40" s="73"/>
      <c r="PVO40" s="73"/>
      <c r="PVP40" s="73"/>
      <c r="PVQ40" s="73"/>
      <c r="PVR40" s="73"/>
      <c r="PVS40" s="73"/>
      <c r="PVT40" s="73"/>
      <c r="PVU40" s="73"/>
      <c r="PVV40" s="73"/>
      <c r="PVW40" s="73"/>
      <c r="PVX40" s="73"/>
      <c r="PVY40" s="73"/>
      <c r="PVZ40" s="73"/>
      <c r="PWA40" s="73"/>
      <c r="PWB40" s="73"/>
      <c r="PWC40" s="73"/>
      <c r="PWD40" s="73"/>
      <c r="PWE40" s="73"/>
      <c r="PWF40" s="73"/>
      <c r="PWG40" s="73"/>
      <c r="PWH40" s="73"/>
      <c r="PWI40" s="73"/>
      <c r="PWJ40" s="73"/>
      <c r="PWK40" s="73"/>
      <c r="PWL40" s="73"/>
      <c r="PWM40" s="73"/>
      <c r="PWN40" s="73"/>
      <c r="PWO40" s="73"/>
      <c r="PWP40" s="73"/>
      <c r="PWQ40" s="73"/>
      <c r="PWR40" s="73"/>
      <c r="PWS40" s="73"/>
      <c r="PWT40" s="73"/>
      <c r="PWU40" s="73"/>
      <c r="PWV40" s="73"/>
      <c r="PWW40" s="73"/>
      <c r="PWX40" s="73"/>
      <c r="PWY40" s="73"/>
      <c r="PWZ40" s="73"/>
      <c r="PXA40" s="73"/>
      <c r="PXB40" s="73"/>
      <c r="PXC40" s="73"/>
      <c r="PXD40" s="73"/>
      <c r="PXE40" s="73"/>
      <c r="PXF40" s="73"/>
      <c r="PXG40" s="73"/>
      <c r="PXH40" s="73"/>
      <c r="PXI40" s="73"/>
      <c r="PXJ40" s="73"/>
      <c r="PXK40" s="73"/>
      <c r="PXL40" s="73"/>
      <c r="PXM40" s="73"/>
      <c r="PXN40" s="73"/>
      <c r="PXO40" s="73"/>
      <c r="PXP40" s="73"/>
      <c r="PXQ40" s="73"/>
      <c r="PXR40" s="73"/>
      <c r="PXS40" s="73"/>
      <c r="PXT40" s="73"/>
      <c r="PXU40" s="73"/>
      <c r="PXV40" s="73"/>
      <c r="PXW40" s="73"/>
      <c r="PXX40" s="73"/>
      <c r="PXY40" s="73"/>
      <c r="PXZ40" s="73"/>
      <c r="PYA40" s="73"/>
      <c r="PYB40" s="73"/>
      <c r="PYC40" s="73"/>
      <c r="PYD40" s="73"/>
      <c r="PYE40" s="73"/>
      <c r="PYF40" s="73"/>
      <c r="PYG40" s="73"/>
      <c r="PYH40" s="73"/>
      <c r="PYI40" s="73"/>
      <c r="PYJ40" s="73"/>
      <c r="PYK40" s="73"/>
      <c r="PYL40" s="73"/>
      <c r="PYM40" s="73"/>
      <c r="PYN40" s="73"/>
      <c r="PYO40" s="73"/>
      <c r="PYP40" s="73"/>
      <c r="PYQ40" s="73"/>
      <c r="PYR40" s="73"/>
      <c r="PYS40" s="73"/>
      <c r="PYT40" s="73"/>
      <c r="PYU40" s="73"/>
      <c r="PYV40" s="73"/>
      <c r="PYW40" s="73"/>
      <c r="PYX40" s="73"/>
      <c r="PYY40" s="73"/>
      <c r="PYZ40" s="73"/>
      <c r="PZA40" s="73"/>
      <c r="PZB40" s="73"/>
      <c r="PZC40" s="73"/>
      <c r="PZD40" s="73"/>
      <c r="PZE40" s="73"/>
      <c r="PZF40" s="73"/>
      <c r="PZG40" s="73"/>
      <c r="PZH40" s="73"/>
      <c r="PZI40" s="73"/>
      <c r="PZJ40" s="73"/>
      <c r="PZK40" s="73"/>
      <c r="PZL40" s="73"/>
      <c r="PZM40" s="73"/>
      <c r="PZN40" s="73"/>
      <c r="PZO40" s="73"/>
      <c r="PZP40" s="73"/>
      <c r="PZQ40" s="73"/>
      <c r="PZR40" s="73"/>
      <c r="PZS40" s="73"/>
      <c r="PZT40" s="73"/>
      <c r="PZU40" s="73"/>
      <c r="PZV40" s="73"/>
      <c r="PZW40" s="73"/>
      <c r="PZX40" s="73"/>
      <c r="PZY40" s="73"/>
      <c r="PZZ40" s="73"/>
      <c r="QAA40" s="73"/>
      <c r="QAB40" s="73"/>
      <c r="QAC40" s="73"/>
      <c r="QAD40" s="73"/>
      <c r="QAE40" s="73"/>
      <c r="QAF40" s="73"/>
      <c r="QAG40" s="73"/>
      <c r="QAH40" s="73"/>
      <c r="QAI40" s="73"/>
      <c r="QAJ40" s="73"/>
      <c r="QAK40" s="73"/>
      <c r="QAL40" s="73"/>
      <c r="QAM40" s="73"/>
      <c r="QAN40" s="73"/>
      <c r="QAO40" s="73"/>
      <c r="QAP40" s="73"/>
      <c r="QAQ40" s="73"/>
      <c r="QAR40" s="73"/>
      <c r="QAS40" s="73"/>
      <c r="QAT40" s="73"/>
      <c r="QAU40" s="73"/>
      <c r="QAV40" s="73"/>
      <c r="QAW40" s="73"/>
      <c r="QAX40" s="73"/>
      <c r="QAY40" s="73"/>
      <c r="QAZ40" s="73"/>
      <c r="QBA40" s="73"/>
      <c r="QBB40" s="73"/>
      <c r="QBC40" s="73"/>
      <c r="QBD40" s="73"/>
      <c r="QBE40" s="73"/>
      <c r="QBF40" s="73"/>
      <c r="QBG40" s="73"/>
      <c r="QBH40" s="73"/>
      <c r="QBI40" s="73"/>
      <c r="QBJ40" s="73"/>
      <c r="QBK40" s="73"/>
      <c r="QBL40" s="73"/>
      <c r="QBM40" s="73"/>
      <c r="QBN40" s="73"/>
      <c r="QBO40" s="73"/>
      <c r="QBP40" s="73"/>
      <c r="QBQ40" s="73"/>
      <c r="QBR40" s="73"/>
      <c r="QBS40" s="73"/>
      <c r="QBT40" s="73"/>
      <c r="QBU40" s="73"/>
      <c r="QBV40" s="73"/>
      <c r="QBW40" s="73"/>
      <c r="QBX40" s="73"/>
      <c r="QBY40" s="73"/>
      <c r="QBZ40" s="73"/>
      <c r="QCA40" s="73"/>
      <c r="QCB40" s="73"/>
      <c r="QCC40" s="73"/>
      <c r="QCD40" s="73"/>
      <c r="QCE40" s="73"/>
      <c r="QCF40" s="73"/>
      <c r="QCG40" s="73"/>
      <c r="QCH40" s="73"/>
      <c r="QCI40" s="73"/>
      <c r="QCJ40" s="73"/>
      <c r="QCK40" s="73"/>
      <c r="QCL40" s="73"/>
      <c r="QCM40" s="73"/>
      <c r="QCN40" s="73"/>
      <c r="QCO40" s="73"/>
      <c r="QCP40" s="73"/>
      <c r="QCQ40" s="73"/>
      <c r="QCR40" s="73"/>
      <c r="QCS40" s="73"/>
      <c r="QCT40" s="73"/>
      <c r="QCU40" s="73"/>
      <c r="QCV40" s="73"/>
      <c r="QCW40" s="73"/>
      <c r="QCX40" s="73"/>
      <c r="QCY40" s="73"/>
      <c r="QCZ40" s="73"/>
      <c r="QDA40" s="73"/>
      <c r="QDB40" s="73"/>
      <c r="QDC40" s="73"/>
      <c r="QDD40" s="73"/>
      <c r="QDE40" s="73"/>
      <c r="QDF40" s="73"/>
      <c r="QDG40" s="73"/>
      <c r="QDH40" s="73"/>
      <c r="QDI40" s="73"/>
      <c r="QDJ40" s="73"/>
      <c r="QDK40" s="73"/>
      <c r="QDL40" s="73"/>
      <c r="QDM40" s="73"/>
      <c r="QDN40" s="73"/>
      <c r="QDO40" s="73"/>
      <c r="QDP40" s="73"/>
      <c r="QDQ40" s="73"/>
      <c r="QDR40" s="73"/>
      <c r="QDS40" s="73"/>
      <c r="QDT40" s="73"/>
      <c r="QDU40" s="73"/>
      <c r="QDV40" s="73"/>
      <c r="QDW40" s="73"/>
      <c r="QDX40" s="73"/>
      <c r="QDY40" s="73"/>
      <c r="QDZ40" s="73"/>
      <c r="QEA40" s="73"/>
      <c r="QEB40" s="73"/>
      <c r="QEC40" s="73"/>
      <c r="QED40" s="73"/>
      <c r="QEE40" s="73"/>
      <c r="QEF40" s="73"/>
      <c r="QEG40" s="73"/>
      <c r="QEH40" s="73"/>
      <c r="QEI40" s="73"/>
      <c r="QEJ40" s="73"/>
      <c r="QEK40" s="73"/>
      <c r="QEL40" s="73"/>
      <c r="QEM40" s="73"/>
      <c r="QEN40" s="73"/>
      <c r="QEO40" s="73"/>
      <c r="QEP40" s="73"/>
      <c r="QEQ40" s="73"/>
      <c r="QER40" s="73"/>
      <c r="QES40" s="73"/>
      <c r="QET40" s="73"/>
      <c r="QEU40" s="73"/>
      <c r="QEV40" s="73"/>
      <c r="QEW40" s="73"/>
      <c r="QEX40" s="73"/>
      <c r="QEY40" s="73"/>
      <c r="QEZ40" s="73"/>
      <c r="QFA40" s="73"/>
      <c r="QFB40" s="73"/>
      <c r="QFC40" s="73"/>
      <c r="QFD40" s="73"/>
      <c r="QFE40" s="73"/>
      <c r="QFF40" s="73"/>
      <c r="QFG40" s="73"/>
      <c r="QFH40" s="73"/>
      <c r="QFI40" s="73"/>
      <c r="QFJ40" s="73"/>
      <c r="QFK40" s="73"/>
      <c r="QFL40" s="73"/>
      <c r="QFM40" s="73"/>
      <c r="QFN40" s="73"/>
      <c r="QFO40" s="73"/>
      <c r="QFP40" s="73"/>
      <c r="QFQ40" s="73"/>
      <c r="QFR40" s="73"/>
      <c r="QFS40" s="73"/>
      <c r="QFT40" s="73"/>
      <c r="QFU40" s="73"/>
      <c r="QFV40" s="73"/>
      <c r="QFW40" s="73"/>
      <c r="QFX40" s="73"/>
      <c r="QFY40" s="73"/>
      <c r="QFZ40" s="73"/>
      <c r="QGA40" s="73"/>
      <c r="QGB40" s="73"/>
      <c r="QGC40" s="73"/>
      <c r="QGD40" s="73"/>
      <c r="QGE40" s="73"/>
      <c r="QGF40" s="73"/>
      <c r="QGG40" s="73"/>
      <c r="QGH40" s="73"/>
      <c r="QGI40" s="73"/>
      <c r="QGJ40" s="73"/>
      <c r="QGK40" s="73"/>
      <c r="QGL40" s="73"/>
      <c r="QGM40" s="73"/>
      <c r="QGN40" s="73"/>
      <c r="QGO40" s="73"/>
      <c r="QGP40" s="73"/>
      <c r="QGQ40" s="73"/>
      <c r="QGR40" s="73"/>
      <c r="QGS40" s="73"/>
      <c r="QGT40" s="73"/>
      <c r="QGU40" s="73"/>
      <c r="QGV40" s="73"/>
      <c r="QGW40" s="73"/>
      <c r="QGX40" s="73"/>
      <c r="QGY40" s="73"/>
      <c r="QGZ40" s="73"/>
      <c r="QHA40" s="73"/>
      <c r="QHB40" s="73"/>
      <c r="QHC40" s="73"/>
      <c r="QHD40" s="73"/>
      <c r="QHE40" s="73"/>
      <c r="QHF40" s="73"/>
      <c r="QHG40" s="73"/>
      <c r="QHH40" s="73"/>
      <c r="QHI40" s="73"/>
      <c r="QHJ40" s="73"/>
      <c r="QHK40" s="73"/>
      <c r="QHL40" s="73"/>
      <c r="QHM40" s="73"/>
      <c r="QHN40" s="73"/>
      <c r="QHO40" s="73"/>
      <c r="QHP40" s="73"/>
      <c r="QHQ40" s="73"/>
      <c r="QHR40" s="73"/>
      <c r="QHS40" s="73"/>
      <c r="QHT40" s="73"/>
      <c r="QHU40" s="73"/>
      <c r="QHV40" s="73"/>
      <c r="QHW40" s="73"/>
      <c r="QHX40" s="73"/>
      <c r="QHY40" s="73"/>
      <c r="QHZ40" s="73"/>
      <c r="QIA40" s="73"/>
      <c r="QIB40" s="73"/>
      <c r="QIC40" s="73"/>
      <c r="QID40" s="73"/>
      <c r="QIE40" s="73"/>
      <c r="QIF40" s="73"/>
      <c r="QIG40" s="73"/>
      <c r="QIH40" s="73"/>
      <c r="QII40" s="73"/>
      <c r="QIJ40" s="73"/>
      <c r="QIK40" s="73"/>
      <c r="QIL40" s="73"/>
      <c r="QIM40" s="73"/>
      <c r="QIN40" s="73"/>
      <c r="QIO40" s="73"/>
      <c r="QIP40" s="73"/>
      <c r="QIQ40" s="73"/>
      <c r="QIR40" s="73"/>
      <c r="QIS40" s="73"/>
      <c r="QIT40" s="73"/>
      <c r="QIU40" s="73"/>
      <c r="QIV40" s="73"/>
      <c r="QIW40" s="73"/>
      <c r="QIX40" s="73"/>
      <c r="QIY40" s="73"/>
      <c r="QIZ40" s="73"/>
      <c r="QJA40" s="73"/>
      <c r="QJB40" s="73"/>
      <c r="QJC40" s="73"/>
      <c r="QJD40" s="73"/>
      <c r="QJE40" s="73"/>
      <c r="QJF40" s="73"/>
      <c r="QJG40" s="73"/>
      <c r="QJH40" s="73"/>
      <c r="QJI40" s="73"/>
      <c r="QJJ40" s="73"/>
      <c r="QJK40" s="73"/>
      <c r="QJL40" s="73"/>
      <c r="QJM40" s="73"/>
      <c r="QJN40" s="73"/>
      <c r="QJO40" s="73"/>
      <c r="QJP40" s="73"/>
      <c r="QJQ40" s="73"/>
      <c r="QJR40" s="73"/>
      <c r="QJS40" s="73"/>
      <c r="QJT40" s="73"/>
      <c r="QJU40" s="73"/>
      <c r="QJV40" s="73"/>
      <c r="QJW40" s="73"/>
      <c r="QJX40" s="73"/>
      <c r="QJY40" s="73"/>
      <c r="QJZ40" s="73"/>
      <c r="QKA40" s="73"/>
      <c r="QKB40" s="73"/>
      <c r="QKC40" s="73"/>
      <c r="QKD40" s="73"/>
      <c r="QKE40" s="73"/>
      <c r="QKF40" s="73"/>
      <c r="QKG40" s="73"/>
      <c r="QKH40" s="73"/>
      <c r="QKI40" s="73"/>
      <c r="QKJ40" s="73"/>
      <c r="QKK40" s="73"/>
      <c r="QKL40" s="73"/>
      <c r="QKM40" s="73"/>
      <c r="QKN40" s="73"/>
      <c r="QKO40" s="73"/>
      <c r="QKP40" s="73"/>
      <c r="QKQ40" s="73"/>
      <c r="QKR40" s="73"/>
      <c r="QKS40" s="73"/>
      <c r="QKT40" s="73"/>
      <c r="QKU40" s="73"/>
      <c r="QKV40" s="73"/>
      <c r="QKW40" s="73"/>
      <c r="QKX40" s="73"/>
      <c r="QKY40" s="73"/>
      <c r="QKZ40" s="73"/>
      <c r="QLA40" s="73"/>
      <c r="QLB40" s="73"/>
      <c r="QLC40" s="73"/>
      <c r="QLD40" s="73"/>
      <c r="QLE40" s="73"/>
      <c r="QLF40" s="73"/>
      <c r="QLG40" s="73"/>
      <c r="QLH40" s="73"/>
      <c r="QLI40" s="73"/>
      <c r="QLJ40" s="73"/>
      <c r="QLK40" s="73"/>
      <c r="QLL40" s="73"/>
      <c r="QLM40" s="73"/>
      <c r="QLN40" s="73"/>
      <c r="QLO40" s="73"/>
      <c r="QLP40" s="73"/>
      <c r="QLQ40" s="73"/>
      <c r="QLR40" s="73"/>
      <c r="QLS40" s="73"/>
      <c r="QLT40" s="73"/>
      <c r="QLU40" s="73"/>
      <c r="QLV40" s="73"/>
      <c r="QLW40" s="73"/>
      <c r="QLX40" s="73"/>
      <c r="QLY40" s="73"/>
      <c r="QLZ40" s="73"/>
      <c r="QMA40" s="73"/>
      <c r="QMB40" s="73"/>
      <c r="QMC40" s="73"/>
      <c r="QMD40" s="73"/>
      <c r="QME40" s="73"/>
      <c r="QMF40" s="73"/>
      <c r="QMG40" s="73"/>
      <c r="QMH40" s="73"/>
      <c r="QMI40" s="73"/>
      <c r="QMJ40" s="73"/>
      <c r="QMK40" s="73"/>
      <c r="QML40" s="73"/>
      <c r="QMM40" s="73"/>
      <c r="QMN40" s="73"/>
      <c r="QMO40" s="73"/>
      <c r="QMP40" s="73"/>
      <c r="QMQ40" s="73"/>
      <c r="QMR40" s="73"/>
      <c r="QMS40" s="73"/>
      <c r="QMT40" s="73"/>
      <c r="QMU40" s="73"/>
      <c r="QMV40" s="73"/>
      <c r="QMW40" s="73"/>
      <c r="QMX40" s="73"/>
      <c r="QMY40" s="73"/>
      <c r="QMZ40" s="73"/>
      <c r="QNA40" s="73"/>
      <c r="QNB40" s="73"/>
      <c r="QNC40" s="73"/>
      <c r="QND40" s="73"/>
      <c r="QNE40" s="73"/>
      <c r="QNF40" s="73"/>
      <c r="QNG40" s="73"/>
      <c r="QNH40" s="73"/>
      <c r="QNI40" s="73"/>
      <c r="QNJ40" s="73"/>
      <c r="QNK40" s="73"/>
      <c r="QNL40" s="73"/>
      <c r="QNM40" s="73"/>
      <c r="QNN40" s="73"/>
      <c r="QNO40" s="73"/>
      <c r="QNP40" s="73"/>
      <c r="QNQ40" s="73"/>
      <c r="QNR40" s="73"/>
      <c r="QNS40" s="73"/>
      <c r="QNT40" s="73"/>
      <c r="QNU40" s="73"/>
      <c r="QNV40" s="73"/>
      <c r="QNW40" s="73"/>
      <c r="QNX40" s="73"/>
      <c r="QNY40" s="73"/>
      <c r="QNZ40" s="73"/>
      <c r="QOA40" s="73"/>
      <c r="QOB40" s="73"/>
      <c r="QOC40" s="73"/>
      <c r="QOD40" s="73"/>
      <c r="QOE40" s="73"/>
      <c r="QOF40" s="73"/>
      <c r="QOG40" s="73"/>
      <c r="QOH40" s="73"/>
      <c r="QOI40" s="73"/>
      <c r="QOJ40" s="73"/>
      <c r="QOK40" s="73"/>
      <c r="QOL40" s="73"/>
      <c r="QOM40" s="73"/>
      <c r="QON40" s="73"/>
      <c r="QOO40" s="73"/>
      <c r="QOP40" s="73"/>
      <c r="QOQ40" s="73"/>
      <c r="QOR40" s="73"/>
      <c r="QOS40" s="73"/>
      <c r="QOT40" s="73"/>
      <c r="QOU40" s="73"/>
      <c r="QOV40" s="73"/>
      <c r="QOW40" s="73"/>
      <c r="QOX40" s="73"/>
      <c r="QOY40" s="73"/>
      <c r="QOZ40" s="73"/>
      <c r="QPA40" s="73"/>
      <c r="QPB40" s="73"/>
      <c r="QPC40" s="73"/>
      <c r="QPD40" s="73"/>
      <c r="QPE40" s="73"/>
      <c r="QPF40" s="73"/>
      <c r="QPG40" s="73"/>
      <c r="QPH40" s="73"/>
      <c r="QPI40" s="73"/>
      <c r="QPJ40" s="73"/>
      <c r="QPK40" s="73"/>
      <c r="QPL40" s="73"/>
      <c r="QPM40" s="73"/>
      <c r="QPN40" s="73"/>
      <c r="QPO40" s="73"/>
      <c r="QPP40" s="73"/>
      <c r="QPQ40" s="73"/>
      <c r="QPR40" s="73"/>
      <c r="QPS40" s="73"/>
      <c r="QPT40" s="73"/>
      <c r="QPU40" s="73"/>
      <c r="QPV40" s="73"/>
      <c r="QPW40" s="73"/>
      <c r="QPX40" s="73"/>
      <c r="QPY40" s="73"/>
      <c r="QPZ40" s="73"/>
      <c r="QQA40" s="73"/>
      <c r="QQB40" s="73"/>
      <c r="QQC40" s="73"/>
      <c r="QQD40" s="73"/>
      <c r="QQE40" s="73"/>
      <c r="QQF40" s="73"/>
      <c r="QQG40" s="73"/>
      <c r="QQH40" s="73"/>
      <c r="QQI40" s="73"/>
      <c r="QQJ40" s="73"/>
      <c r="QQK40" s="73"/>
      <c r="QQL40" s="73"/>
      <c r="QQM40" s="73"/>
      <c r="QQN40" s="73"/>
      <c r="QQO40" s="73"/>
      <c r="QQP40" s="73"/>
      <c r="QQQ40" s="73"/>
      <c r="QQR40" s="73"/>
      <c r="QQS40" s="73"/>
      <c r="QQT40" s="73"/>
      <c r="QQU40" s="73"/>
      <c r="QQV40" s="73"/>
      <c r="QQW40" s="73"/>
      <c r="QQX40" s="73"/>
      <c r="QQY40" s="73"/>
      <c r="QQZ40" s="73"/>
      <c r="QRA40" s="73"/>
      <c r="QRB40" s="73"/>
      <c r="QRC40" s="73"/>
      <c r="QRD40" s="73"/>
      <c r="QRE40" s="73"/>
      <c r="QRF40" s="73"/>
      <c r="QRG40" s="73"/>
      <c r="QRH40" s="73"/>
      <c r="QRI40" s="73"/>
      <c r="QRJ40" s="73"/>
      <c r="QRK40" s="73"/>
      <c r="QRL40" s="73"/>
      <c r="QRM40" s="73"/>
      <c r="QRN40" s="73"/>
      <c r="QRO40" s="73"/>
      <c r="QRP40" s="73"/>
      <c r="QRQ40" s="73"/>
      <c r="QRR40" s="73"/>
      <c r="QRS40" s="73"/>
      <c r="QRT40" s="73"/>
      <c r="QRU40" s="73"/>
      <c r="QRV40" s="73"/>
      <c r="QRW40" s="73"/>
      <c r="QRX40" s="73"/>
      <c r="QRY40" s="73"/>
      <c r="QRZ40" s="73"/>
      <c r="QSA40" s="73"/>
      <c r="QSB40" s="73"/>
      <c r="QSC40" s="73"/>
      <c r="QSD40" s="73"/>
      <c r="QSE40" s="73"/>
      <c r="QSF40" s="73"/>
      <c r="QSG40" s="73"/>
      <c r="QSH40" s="73"/>
      <c r="QSI40" s="73"/>
      <c r="QSJ40" s="73"/>
      <c r="QSK40" s="73"/>
      <c r="QSL40" s="73"/>
      <c r="QSM40" s="73"/>
      <c r="QSN40" s="73"/>
      <c r="QSO40" s="73"/>
      <c r="QSP40" s="73"/>
      <c r="QSQ40" s="73"/>
      <c r="QSR40" s="73"/>
      <c r="QSS40" s="73"/>
      <c r="QST40" s="73"/>
      <c r="QSU40" s="73"/>
      <c r="QSV40" s="73"/>
      <c r="QSW40" s="73"/>
      <c r="QSX40" s="73"/>
      <c r="QSY40" s="73"/>
      <c r="QSZ40" s="73"/>
      <c r="QTA40" s="73"/>
      <c r="QTB40" s="73"/>
      <c r="QTC40" s="73"/>
      <c r="QTD40" s="73"/>
      <c r="QTE40" s="73"/>
      <c r="QTF40" s="73"/>
      <c r="QTG40" s="73"/>
      <c r="QTH40" s="73"/>
      <c r="QTI40" s="73"/>
      <c r="QTJ40" s="73"/>
      <c r="QTK40" s="73"/>
      <c r="QTL40" s="73"/>
      <c r="QTM40" s="73"/>
      <c r="QTN40" s="73"/>
      <c r="QTO40" s="73"/>
      <c r="QTP40" s="73"/>
      <c r="QTQ40" s="73"/>
      <c r="QTR40" s="73"/>
      <c r="QTS40" s="73"/>
      <c r="QTT40" s="73"/>
      <c r="QTU40" s="73"/>
      <c r="QTV40" s="73"/>
      <c r="QTW40" s="73"/>
      <c r="QTX40" s="73"/>
      <c r="QTY40" s="73"/>
      <c r="QTZ40" s="73"/>
      <c r="QUA40" s="73"/>
      <c r="QUB40" s="73"/>
      <c r="QUC40" s="73"/>
      <c r="QUD40" s="73"/>
      <c r="QUE40" s="73"/>
      <c r="QUF40" s="73"/>
      <c r="QUG40" s="73"/>
      <c r="QUH40" s="73"/>
      <c r="QUI40" s="73"/>
      <c r="QUJ40" s="73"/>
      <c r="QUK40" s="73"/>
      <c r="QUL40" s="73"/>
      <c r="QUM40" s="73"/>
      <c r="QUN40" s="73"/>
      <c r="QUO40" s="73"/>
      <c r="QUP40" s="73"/>
      <c r="QUQ40" s="73"/>
      <c r="QUR40" s="73"/>
      <c r="QUS40" s="73"/>
      <c r="QUT40" s="73"/>
      <c r="QUU40" s="73"/>
      <c r="QUV40" s="73"/>
      <c r="QUW40" s="73"/>
      <c r="QUX40" s="73"/>
      <c r="QUY40" s="73"/>
      <c r="QUZ40" s="73"/>
      <c r="QVA40" s="73"/>
      <c r="QVB40" s="73"/>
      <c r="QVC40" s="73"/>
      <c r="QVD40" s="73"/>
      <c r="QVE40" s="73"/>
      <c r="QVF40" s="73"/>
      <c r="QVG40" s="73"/>
      <c r="QVH40" s="73"/>
      <c r="QVI40" s="73"/>
      <c r="QVJ40" s="73"/>
      <c r="QVK40" s="73"/>
      <c r="QVL40" s="73"/>
      <c r="QVM40" s="73"/>
      <c r="QVN40" s="73"/>
      <c r="QVO40" s="73"/>
      <c r="QVP40" s="73"/>
      <c r="QVQ40" s="73"/>
      <c r="QVR40" s="73"/>
      <c r="QVS40" s="73"/>
      <c r="QVT40" s="73"/>
      <c r="QVU40" s="73"/>
      <c r="QVV40" s="73"/>
      <c r="QVW40" s="73"/>
      <c r="QVX40" s="73"/>
      <c r="QVY40" s="73"/>
      <c r="QVZ40" s="73"/>
      <c r="QWA40" s="73"/>
      <c r="QWB40" s="73"/>
      <c r="QWC40" s="73"/>
      <c r="QWD40" s="73"/>
      <c r="QWE40" s="73"/>
      <c r="QWF40" s="73"/>
      <c r="QWG40" s="73"/>
      <c r="QWH40" s="73"/>
      <c r="QWI40" s="73"/>
      <c r="QWJ40" s="73"/>
      <c r="QWK40" s="73"/>
      <c r="QWL40" s="73"/>
      <c r="QWM40" s="73"/>
      <c r="QWN40" s="73"/>
      <c r="QWO40" s="73"/>
      <c r="QWP40" s="73"/>
      <c r="QWQ40" s="73"/>
      <c r="QWR40" s="73"/>
      <c r="QWS40" s="73"/>
      <c r="QWT40" s="73"/>
      <c r="QWU40" s="73"/>
      <c r="QWV40" s="73"/>
      <c r="QWW40" s="73"/>
      <c r="QWX40" s="73"/>
      <c r="QWY40" s="73"/>
      <c r="QWZ40" s="73"/>
      <c r="QXA40" s="73"/>
      <c r="QXB40" s="73"/>
      <c r="QXC40" s="73"/>
      <c r="QXD40" s="73"/>
      <c r="QXE40" s="73"/>
      <c r="QXF40" s="73"/>
      <c r="QXG40" s="73"/>
      <c r="QXH40" s="73"/>
      <c r="QXI40" s="73"/>
      <c r="QXJ40" s="73"/>
      <c r="QXK40" s="73"/>
      <c r="QXL40" s="73"/>
      <c r="QXM40" s="73"/>
      <c r="QXN40" s="73"/>
      <c r="QXO40" s="73"/>
      <c r="QXP40" s="73"/>
      <c r="QXQ40" s="73"/>
      <c r="QXR40" s="73"/>
      <c r="QXS40" s="73"/>
      <c r="QXT40" s="73"/>
      <c r="QXU40" s="73"/>
      <c r="QXV40" s="73"/>
      <c r="QXW40" s="73"/>
      <c r="QXX40" s="73"/>
      <c r="QXY40" s="73"/>
      <c r="QXZ40" s="73"/>
      <c r="QYA40" s="73"/>
      <c r="QYB40" s="73"/>
      <c r="QYC40" s="73"/>
      <c r="QYD40" s="73"/>
      <c r="QYE40" s="73"/>
      <c r="QYF40" s="73"/>
      <c r="QYG40" s="73"/>
      <c r="QYH40" s="73"/>
      <c r="QYI40" s="73"/>
      <c r="QYJ40" s="73"/>
      <c r="QYK40" s="73"/>
      <c r="QYL40" s="73"/>
      <c r="QYM40" s="73"/>
      <c r="QYN40" s="73"/>
      <c r="QYO40" s="73"/>
      <c r="QYP40" s="73"/>
      <c r="QYQ40" s="73"/>
      <c r="QYR40" s="73"/>
      <c r="QYS40" s="73"/>
      <c r="QYT40" s="73"/>
      <c r="QYU40" s="73"/>
      <c r="QYV40" s="73"/>
      <c r="QYW40" s="73"/>
      <c r="QYX40" s="73"/>
      <c r="QYY40" s="73"/>
      <c r="QYZ40" s="73"/>
      <c r="QZA40" s="73"/>
      <c r="QZB40" s="73"/>
      <c r="QZC40" s="73"/>
      <c r="QZD40" s="73"/>
      <c r="QZE40" s="73"/>
      <c r="QZF40" s="73"/>
      <c r="QZG40" s="73"/>
      <c r="QZH40" s="73"/>
      <c r="QZI40" s="73"/>
      <c r="QZJ40" s="73"/>
      <c r="QZK40" s="73"/>
      <c r="QZL40" s="73"/>
      <c r="QZM40" s="73"/>
      <c r="QZN40" s="73"/>
      <c r="QZO40" s="73"/>
      <c r="QZP40" s="73"/>
      <c r="QZQ40" s="73"/>
      <c r="QZR40" s="73"/>
      <c r="QZS40" s="73"/>
      <c r="QZT40" s="73"/>
      <c r="QZU40" s="73"/>
      <c r="QZV40" s="73"/>
      <c r="QZW40" s="73"/>
      <c r="QZX40" s="73"/>
      <c r="QZY40" s="73"/>
      <c r="QZZ40" s="73"/>
      <c r="RAA40" s="73"/>
      <c r="RAB40" s="73"/>
      <c r="RAC40" s="73"/>
      <c r="RAD40" s="73"/>
      <c r="RAE40" s="73"/>
      <c r="RAF40" s="73"/>
      <c r="RAG40" s="73"/>
      <c r="RAH40" s="73"/>
      <c r="RAI40" s="73"/>
      <c r="RAJ40" s="73"/>
      <c r="RAK40" s="73"/>
      <c r="RAL40" s="73"/>
      <c r="RAM40" s="73"/>
      <c r="RAN40" s="73"/>
      <c r="RAO40" s="73"/>
      <c r="RAP40" s="73"/>
      <c r="RAQ40" s="73"/>
      <c r="RAR40" s="73"/>
      <c r="RAS40" s="73"/>
      <c r="RAT40" s="73"/>
      <c r="RAU40" s="73"/>
      <c r="RAV40" s="73"/>
      <c r="RAW40" s="73"/>
      <c r="RAX40" s="73"/>
      <c r="RAY40" s="73"/>
      <c r="RAZ40" s="73"/>
      <c r="RBA40" s="73"/>
      <c r="RBB40" s="73"/>
      <c r="RBC40" s="73"/>
      <c r="RBD40" s="73"/>
      <c r="RBE40" s="73"/>
      <c r="RBF40" s="73"/>
      <c r="RBG40" s="73"/>
      <c r="RBH40" s="73"/>
      <c r="RBI40" s="73"/>
      <c r="RBJ40" s="73"/>
      <c r="RBK40" s="73"/>
      <c r="RBL40" s="73"/>
      <c r="RBM40" s="73"/>
      <c r="RBN40" s="73"/>
      <c r="RBO40" s="73"/>
      <c r="RBP40" s="73"/>
      <c r="RBQ40" s="73"/>
      <c r="RBR40" s="73"/>
      <c r="RBS40" s="73"/>
      <c r="RBT40" s="73"/>
      <c r="RBU40" s="73"/>
      <c r="RBV40" s="73"/>
      <c r="RBW40" s="73"/>
      <c r="RBX40" s="73"/>
      <c r="RBY40" s="73"/>
      <c r="RBZ40" s="73"/>
      <c r="RCA40" s="73"/>
      <c r="RCB40" s="73"/>
      <c r="RCC40" s="73"/>
      <c r="RCD40" s="73"/>
      <c r="RCE40" s="73"/>
      <c r="RCF40" s="73"/>
      <c r="RCG40" s="73"/>
      <c r="RCH40" s="73"/>
      <c r="RCI40" s="73"/>
      <c r="RCJ40" s="73"/>
      <c r="RCK40" s="73"/>
      <c r="RCL40" s="73"/>
      <c r="RCM40" s="73"/>
      <c r="RCN40" s="73"/>
      <c r="RCO40" s="73"/>
      <c r="RCP40" s="73"/>
      <c r="RCQ40" s="73"/>
      <c r="RCR40" s="73"/>
      <c r="RCS40" s="73"/>
      <c r="RCT40" s="73"/>
      <c r="RCU40" s="73"/>
      <c r="RCV40" s="73"/>
      <c r="RCW40" s="73"/>
      <c r="RCX40" s="73"/>
      <c r="RCY40" s="73"/>
      <c r="RCZ40" s="73"/>
      <c r="RDA40" s="73"/>
      <c r="RDB40" s="73"/>
      <c r="RDC40" s="73"/>
      <c r="RDD40" s="73"/>
      <c r="RDE40" s="73"/>
      <c r="RDF40" s="73"/>
      <c r="RDG40" s="73"/>
      <c r="RDH40" s="73"/>
      <c r="RDI40" s="73"/>
      <c r="RDJ40" s="73"/>
      <c r="RDK40" s="73"/>
      <c r="RDL40" s="73"/>
      <c r="RDM40" s="73"/>
      <c r="RDN40" s="73"/>
      <c r="RDO40" s="73"/>
      <c r="RDP40" s="73"/>
      <c r="RDQ40" s="73"/>
      <c r="RDR40" s="73"/>
      <c r="RDS40" s="73"/>
      <c r="RDT40" s="73"/>
      <c r="RDU40" s="73"/>
      <c r="RDV40" s="73"/>
      <c r="RDW40" s="73"/>
      <c r="RDX40" s="73"/>
      <c r="RDY40" s="73"/>
      <c r="RDZ40" s="73"/>
      <c r="REA40" s="73"/>
      <c r="REB40" s="73"/>
      <c r="REC40" s="73"/>
      <c r="RED40" s="73"/>
      <c r="REE40" s="73"/>
      <c r="REF40" s="73"/>
      <c r="REG40" s="73"/>
      <c r="REH40" s="73"/>
      <c r="REI40" s="73"/>
      <c r="REJ40" s="73"/>
      <c r="REK40" s="73"/>
      <c r="REL40" s="73"/>
      <c r="REM40" s="73"/>
      <c r="REN40" s="73"/>
      <c r="REO40" s="73"/>
      <c r="REP40" s="73"/>
      <c r="REQ40" s="73"/>
      <c r="RER40" s="73"/>
      <c r="RES40" s="73"/>
      <c r="RET40" s="73"/>
      <c r="REU40" s="73"/>
      <c r="REV40" s="73"/>
      <c r="REW40" s="73"/>
      <c r="REX40" s="73"/>
      <c r="REY40" s="73"/>
      <c r="REZ40" s="73"/>
      <c r="RFA40" s="73"/>
      <c r="RFB40" s="73"/>
      <c r="RFC40" s="73"/>
      <c r="RFD40" s="73"/>
      <c r="RFE40" s="73"/>
      <c r="RFF40" s="73"/>
      <c r="RFG40" s="73"/>
      <c r="RFH40" s="73"/>
      <c r="RFI40" s="73"/>
      <c r="RFJ40" s="73"/>
      <c r="RFK40" s="73"/>
      <c r="RFL40" s="73"/>
      <c r="RFM40" s="73"/>
      <c r="RFN40" s="73"/>
      <c r="RFO40" s="73"/>
      <c r="RFP40" s="73"/>
      <c r="RFQ40" s="73"/>
      <c r="RFR40" s="73"/>
      <c r="RFS40" s="73"/>
      <c r="RFT40" s="73"/>
      <c r="RFU40" s="73"/>
      <c r="RFV40" s="73"/>
      <c r="RFW40" s="73"/>
      <c r="RFX40" s="73"/>
      <c r="RFY40" s="73"/>
      <c r="RFZ40" s="73"/>
      <c r="RGA40" s="73"/>
      <c r="RGB40" s="73"/>
      <c r="RGC40" s="73"/>
      <c r="RGD40" s="73"/>
      <c r="RGE40" s="73"/>
      <c r="RGF40" s="73"/>
      <c r="RGG40" s="73"/>
      <c r="RGH40" s="73"/>
      <c r="RGI40" s="73"/>
      <c r="RGJ40" s="73"/>
      <c r="RGK40" s="73"/>
      <c r="RGL40" s="73"/>
      <c r="RGM40" s="73"/>
      <c r="RGN40" s="73"/>
      <c r="RGO40" s="73"/>
      <c r="RGP40" s="73"/>
      <c r="RGQ40" s="73"/>
      <c r="RGR40" s="73"/>
      <c r="RGS40" s="73"/>
      <c r="RGT40" s="73"/>
      <c r="RGU40" s="73"/>
      <c r="RGV40" s="73"/>
      <c r="RGW40" s="73"/>
      <c r="RGX40" s="73"/>
      <c r="RGY40" s="73"/>
      <c r="RGZ40" s="73"/>
      <c r="RHA40" s="73"/>
      <c r="RHB40" s="73"/>
      <c r="RHC40" s="73"/>
      <c r="RHD40" s="73"/>
      <c r="RHE40" s="73"/>
      <c r="RHF40" s="73"/>
      <c r="RHG40" s="73"/>
      <c r="RHH40" s="73"/>
      <c r="RHI40" s="73"/>
      <c r="RHJ40" s="73"/>
      <c r="RHK40" s="73"/>
      <c r="RHL40" s="73"/>
      <c r="RHM40" s="73"/>
      <c r="RHN40" s="73"/>
      <c r="RHO40" s="73"/>
      <c r="RHP40" s="73"/>
      <c r="RHQ40" s="73"/>
      <c r="RHR40" s="73"/>
      <c r="RHS40" s="73"/>
      <c r="RHT40" s="73"/>
      <c r="RHU40" s="73"/>
      <c r="RHV40" s="73"/>
      <c r="RHW40" s="73"/>
      <c r="RHX40" s="73"/>
      <c r="RHY40" s="73"/>
      <c r="RHZ40" s="73"/>
      <c r="RIA40" s="73"/>
      <c r="RIB40" s="73"/>
      <c r="RIC40" s="73"/>
      <c r="RID40" s="73"/>
      <c r="RIE40" s="73"/>
      <c r="RIF40" s="73"/>
      <c r="RIG40" s="73"/>
      <c r="RIH40" s="73"/>
      <c r="RII40" s="73"/>
      <c r="RIJ40" s="73"/>
      <c r="RIK40" s="73"/>
      <c r="RIL40" s="73"/>
      <c r="RIM40" s="73"/>
      <c r="RIN40" s="73"/>
      <c r="RIO40" s="73"/>
      <c r="RIP40" s="73"/>
      <c r="RIQ40" s="73"/>
      <c r="RIR40" s="73"/>
      <c r="RIS40" s="73"/>
      <c r="RIT40" s="73"/>
      <c r="RIU40" s="73"/>
      <c r="RIV40" s="73"/>
      <c r="RIW40" s="73"/>
      <c r="RIX40" s="73"/>
      <c r="RIY40" s="73"/>
      <c r="RIZ40" s="73"/>
      <c r="RJA40" s="73"/>
      <c r="RJB40" s="73"/>
      <c r="RJC40" s="73"/>
      <c r="RJD40" s="73"/>
      <c r="RJE40" s="73"/>
      <c r="RJF40" s="73"/>
      <c r="RJG40" s="73"/>
      <c r="RJH40" s="73"/>
      <c r="RJI40" s="73"/>
      <c r="RJJ40" s="73"/>
      <c r="RJK40" s="73"/>
      <c r="RJL40" s="73"/>
      <c r="RJM40" s="73"/>
      <c r="RJN40" s="73"/>
      <c r="RJO40" s="73"/>
      <c r="RJP40" s="73"/>
      <c r="RJQ40" s="73"/>
      <c r="RJR40" s="73"/>
      <c r="RJS40" s="73"/>
      <c r="RJT40" s="73"/>
      <c r="RJU40" s="73"/>
      <c r="RJV40" s="73"/>
      <c r="RJW40" s="73"/>
      <c r="RJX40" s="73"/>
      <c r="RJY40" s="73"/>
      <c r="RJZ40" s="73"/>
      <c r="RKA40" s="73"/>
      <c r="RKB40" s="73"/>
      <c r="RKC40" s="73"/>
      <c r="RKD40" s="73"/>
      <c r="RKE40" s="73"/>
      <c r="RKF40" s="73"/>
      <c r="RKG40" s="73"/>
      <c r="RKH40" s="73"/>
      <c r="RKI40" s="73"/>
      <c r="RKJ40" s="73"/>
      <c r="RKK40" s="73"/>
      <c r="RKL40" s="73"/>
      <c r="RKM40" s="73"/>
      <c r="RKN40" s="73"/>
      <c r="RKO40" s="73"/>
      <c r="RKP40" s="73"/>
      <c r="RKQ40" s="73"/>
      <c r="RKR40" s="73"/>
      <c r="RKS40" s="73"/>
      <c r="RKT40" s="73"/>
      <c r="RKU40" s="73"/>
      <c r="RKV40" s="73"/>
      <c r="RKW40" s="73"/>
      <c r="RKX40" s="73"/>
      <c r="RKY40" s="73"/>
      <c r="RKZ40" s="73"/>
      <c r="RLA40" s="73"/>
      <c r="RLB40" s="73"/>
      <c r="RLC40" s="73"/>
      <c r="RLD40" s="73"/>
      <c r="RLE40" s="73"/>
      <c r="RLF40" s="73"/>
      <c r="RLG40" s="73"/>
      <c r="RLH40" s="73"/>
      <c r="RLI40" s="73"/>
      <c r="RLJ40" s="73"/>
      <c r="RLK40" s="73"/>
      <c r="RLL40" s="73"/>
      <c r="RLM40" s="73"/>
      <c r="RLN40" s="73"/>
      <c r="RLO40" s="73"/>
      <c r="RLP40" s="73"/>
      <c r="RLQ40" s="73"/>
      <c r="RLR40" s="73"/>
      <c r="RLS40" s="73"/>
      <c r="RLT40" s="73"/>
      <c r="RLU40" s="73"/>
      <c r="RLV40" s="73"/>
      <c r="RLW40" s="73"/>
      <c r="RLX40" s="73"/>
      <c r="RLY40" s="73"/>
      <c r="RLZ40" s="73"/>
      <c r="RMA40" s="73"/>
      <c r="RMB40" s="73"/>
      <c r="RMC40" s="73"/>
      <c r="RMD40" s="73"/>
      <c r="RME40" s="73"/>
      <c r="RMF40" s="73"/>
      <c r="RMG40" s="73"/>
      <c r="RMH40" s="73"/>
      <c r="RMI40" s="73"/>
      <c r="RMJ40" s="73"/>
      <c r="RMK40" s="73"/>
      <c r="RML40" s="73"/>
      <c r="RMM40" s="73"/>
      <c r="RMN40" s="73"/>
      <c r="RMO40" s="73"/>
      <c r="RMP40" s="73"/>
      <c r="RMQ40" s="73"/>
      <c r="RMR40" s="73"/>
      <c r="RMS40" s="73"/>
      <c r="RMT40" s="73"/>
      <c r="RMU40" s="73"/>
      <c r="RMV40" s="73"/>
      <c r="RMW40" s="73"/>
      <c r="RMX40" s="73"/>
      <c r="RMY40" s="73"/>
      <c r="RMZ40" s="73"/>
      <c r="RNA40" s="73"/>
      <c r="RNB40" s="73"/>
      <c r="RNC40" s="73"/>
      <c r="RND40" s="73"/>
      <c r="RNE40" s="73"/>
      <c r="RNF40" s="73"/>
      <c r="RNG40" s="73"/>
      <c r="RNH40" s="73"/>
      <c r="RNI40" s="73"/>
      <c r="RNJ40" s="73"/>
      <c r="RNK40" s="73"/>
      <c r="RNL40" s="73"/>
      <c r="RNM40" s="73"/>
      <c r="RNN40" s="73"/>
      <c r="RNO40" s="73"/>
      <c r="RNP40" s="73"/>
      <c r="RNQ40" s="73"/>
      <c r="RNR40" s="73"/>
      <c r="RNS40" s="73"/>
      <c r="RNT40" s="73"/>
      <c r="RNU40" s="73"/>
      <c r="RNV40" s="73"/>
      <c r="RNW40" s="73"/>
      <c r="RNX40" s="73"/>
      <c r="RNY40" s="73"/>
      <c r="RNZ40" s="73"/>
      <c r="ROA40" s="73"/>
      <c r="ROB40" s="73"/>
      <c r="ROC40" s="73"/>
      <c r="ROD40" s="73"/>
      <c r="ROE40" s="73"/>
      <c r="ROF40" s="73"/>
      <c r="ROG40" s="73"/>
      <c r="ROH40" s="73"/>
      <c r="ROI40" s="73"/>
      <c r="ROJ40" s="73"/>
      <c r="ROK40" s="73"/>
      <c r="ROL40" s="73"/>
      <c r="ROM40" s="73"/>
      <c r="RON40" s="73"/>
      <c r="ROO40" s="73"/>
      <c r="ROP40" s="73"/>
      <c r="ROQ40" s="73"/>
      <c r="ROR40" s="73"/>
      <c r="ROS40" s="73"/>
      <c r="ROT40" s="73"/>
      <c r="ROU40" s="73"/>
      <c r="ROV40" s="73"/>
      <c r="ROW40" s="73"/>
      <c r="ROX40" s="73"/>
      <c r="ROY40" s="73"/>
      <c r="ROZ40" s="73"/>
      <c r="RPA40" s="73"/>
      <c r="RPB40" s="73"/>
      <c r="RPC40" s="73"/>
      <c r="RPD40" s="73"/>
      <c r="RPE40" s="73"/>
      <c r="RPF40" s="73"/>
      <c r="RPG40" s="73"/>
      <c r="RPH40" s="73"/>
      <c r="RPI40" s="73"/>
      <c r="RPJ40" s="73"/>
      <c r="RPK40" s="73"/>
      <c r="RPL40" s="73"/>
      <c r="RPM40" s="73"/>
      <c r="RPN40" s="73"/>
      <c r="RPO40" s="73"/>
      <c r="RPP40" s="73"/>
      <c r="RPQ40" s="73"/>
      <c r="RPR40" s="73"/>
      <c r="RPS40" s="73"/>
      <c r="RPT40" s="73"/>
      <c r="RPU40" s="73"/>
      <c r="RPV40" s="73"/>
      <c r="RPW40" s="73"/>
      <c r="RPX40" s="73"/>
      <c r="RPY40" s="73"/>
      <c r="RPZ40" s="73"/>
      <c r="RQA40" s="73"/>
      <c r="RQB40" s="73"/>
      <c r="RQC40" s="73"/>
      <c r="RQD40" s="73"/>
      <c r="RQE40" s="73"/>
      <c r="RQF40" s="73"/>
      <c r="RQG40" s="73"/>
      <c r="RQH40" s="73"/>
      <c r="RQI40" s="73"/>
      <c r="RQJ40" s="73"/>
      <c r="RQK40" s="73"/>
      <c r="RQL40" s="73"/>
      <c r="RQM40" s="73"/>
      <c r="RQN40" s="73"/>
      <c r="RQO40" s="73"/>
      <c r="RQP40" s="73"/>
      <c r="RQQ40" s="73"/>
      <c r="RQR40" s="73"/>
      <c r="RQS40" s="73"/>
      <c r="RQT40" s="73"/>
      <c r="RQU40" s="73"/>
      <c r="RQV40" s="73"/>
      <c r="RQW40" s="73"/>
      <c r="RQX40" s="73"/>
      <c r="RQY40" s="73"/>
      <c r="RQZ40" s="73"/>
      <c r="RRA40" s="73"/>
      <c r="RRB40" s="73"/>
      <c r="RRC40" s="73"/>
      <c r="RRD40" s="73"/>
      <c r="RRE40" s="73"/>
      <c r="RRF40" s="73"/>
      <c r="RRG40" s="73"/>
      <c r="RRH40" s="73"/>
      <c r="RRI40" s="73"/>
      <c r="RRJ40" s="73"/>
      <c r="RRK40" s="73"/>
      <c r="RRL40" s="73"/>
      <c r="RRM40" s="73"/>
      <c r="RRN40" s="73"/>
      <c r="RRO40" s="73"/>
      <c r="RRP40" s="73"/>
      <c r="RRQ40" s="73"/>
      <c r="RRR40" s="73"/>
      <c r="RRS40" s="73"/>
      <c r="RRT40" s="73"/>
      <c r="RRU40" s="73"/>
      <c r="RRV40" s="73"/>
      <c r="RRW40" s="73"/>
      <c r="RRX40" s="73"/>
      <c r="RRY40" s="73"/>
      <c r="RRZ40" s="73"/>
      <c r="RSA40" s="73"/>
      <c r="RSB40" s="73"/>
      <c r="RSC40" s="73"/>
      <c r="RSD40" s="73"/>
      <c r="RSE40" s="73"/>
      <c r="RSF40" s="73"/>
      <c r="RSG40" s="73"/>
      <c r="RSH40" s="73"/>
      <c r="RSI40" s="73"/>
      <c r="RSJ40" s="73"/>
      <c r="RSK40" s="73"/>
      <c r="RSL40" s="73"/>
      <c r="RSM40" s="73"/>
      <c r="RSN40" s="73"/>
      <c r="RSO40" s="73"/>
      <c r="RSP40" s="73"/>
      <c r="RSQ40" s="73"/>
      <c r="RSR40" s="73"/>
      <c r="RSS40" s="73"/>
      <c r="RST40" s="73"/>
      <c r="RSU40" s="73"/>
      <c r="RSV40" s="73"/>
      <c r="RSW40" s="73"/>
      <c r="RSX40" s="73"/>
      <c r="RSY40" s="73"/>
      <c r="RSZ40" s="73"/>
      <c r="RTA40" s="73"/>
      <c r="RTB40" s="73"/>
      <c r="RTC40" s="73"/>
      <c r="RTD40" s="73"/>
      <c r="RTE40" s="73"/>
      <c r="RTF40" s="73"/>
      <c r="RTG40" s="73"/>
      <c r="RTH40" s="73"/>
      <c r="RTI40" s="73"/>
      <c r="RTJ40" s="73"/>
      <c r="RTK40" s="73"/>
      <c r="RTL40" s="73"/>
      <c r="RTM40" s="73"/>
      <c r="RTN40" s="73"/>
      <c r="RTO40" s="73"/>
      <c r="RTP40" s="73"/>
      <c r="RTQ40" s="73"/>
      <c r="RTR40" s="73"/>
      <c r="RTS40" s="73"/>
      <c r="RTT40" s="73"/>
      <c r="RTU40" s="73"/>
      <c r="RTV40" s="73"/>
      <c r="RTW40" s="73"/>
      <c r="RTX40" s="73"/>
      <c r="RTY40" s="73"/>
      <c r="RTZ40" s="73"/>
      <c r="RUA40" s="73"/>
      <c r="RUB40" s="73"/>
      <c r="RUC40" s="73"/>
      <c r="RUD40" s="73"/>
      <c r="RUE40" s="73"/>
      <c r="RUF40" s="73"/>
      <c r="RUG40" s="73"/>
      <c r="RUH40" s="73"/>
      <c r="RUI40" s="73"/>
      <c r="RUJ40" s="73"/>
      <c r="RUK40" s="73"/>
      <c r="RUL40" s="73"/>
      <c r="RUM40" s="73"/>
      <c r="RUN40" s="73"/>
      <c r="RUO40" s="73"/>
      <c r="RUP40" s="73"/>
      <c r="RUQ40" s="73"/>
      <c r="RUR40" s="73"/>
      <c r="RUS40" s="73"/>
      <c r="RUT40" s="73"/>
      <c r="RUU40" s="73"/>
      <c r="RUV40" s="73"/>
      <c r="RUW40" s="73"/>
      <c r="RUX40" s="73"/>
      <c r="RUY40" s="73"/>
      <c r="RUZ40" s="73"/>
      <c r="RVA40" s="73"/>
      <c r="RVB40" s="73"/>
      <c r="RVC40" s="73"/>
      <c r="RVD40" s="73"/>
      <c r="RVE40" s="73"/>
      <c r="RVF40" s="73"/>
      <c r="RVG40" s="73"/>
      <c r="RVH40" s="73"/>
      <c r="RVI40" s="73"/>
      <c r="RVJ40" s="73"/>
      <c r="RVK40" s="73"/>
      <c r="RVL40" s="73"/>
      <c r="RVM40" s="73"/>
      <c r="RVN40" s="73"/>
      <c r="RVO40" s="73"/>
      <c r="RVP40" s="73"/>
      <c r="RVQ40" s="73"/>
      <c r="RVR40" s="73"/>
      <c r="RVS40" s="73"/>
      <c r="RVT40" s="73"/>
      <c r="RVU40" s="73"/>
      <c r="RVV40" s="73"/>
      <c r="RVW40" s="73"/>
      <c r="RVX40" s="73"/>
      <c r="RVY40" s="73"/>
      <c r="RVZ40" s="73"/>
      <c r="RWA40" s="73"/>
      <c r="RWB40" s="73"/>
      <c r="RWC40" s="73"/>
      <c r="RWD40" s="73"/>
      <c r="RWE40" s="73"/>
      <c r="RWF40" s="73"/>
      <c r="RWG40" s="73"/>
      <c r="RWH40" s="73"/>
      <c r="RWI40" s="73"/>
      <c r="RWJ40" s="73"/>
      <c r="RWK40" s="73"/>
      <c r="RWL40" s="73"/>
      <c r="RWM40" s="73"/>
      <c r="RWN40" s="73"/>
      <c r="RWO40" s="73"/>
      <c r="RWP40" s="73"/>
      <c r="RWQ40" s="73"/>
      <c r="RWR40" s="73"/>
      <c r="RWS40" s="73"/>
      <c r="RWT40" s="73"/>
      <c r="RWU40" s="73"/>
      <c r="RWV40" s="73"/>
      <c r="RWW40" s="73"/>
      <c r="RWX40" s="73"/>
      <c r="RWY40" s="73"/>
      <c r="RWZ40" s="73"/>
      <c r="RXA40" s="73"/>
      <c r="RXB40" s="73"/>
      <c r="RXC40" s="73"/>
      <c r="RXD40" s="73"/>
      <c r="RXE40" s="73"/>
      <c r="RXF40" s="73"/>
      <c r="RXG40" s="73"/>
      <c r="RXH40" s="73"/>
      <c r="RXI40" s="73"/>
      <c r="RXJ40" s="73"/>
      <c r="RXK40" s="73"/>
      <c r="RXL40" s="73"/>
      <c r="RXM40" s="73"/>
      <c r="RXN40" s="73"/>
      <c r="RXO40" s="73"/>
      <c r="RXP40" s="73"/>
      <c r="RXQ40" s="73"/>
      <c r="RXR40" s="73"/>
      <c r="RXS40" s="73"/>
      <c r="RXT40" s="73"/>
      <c r="RXU40" s="73"/>
      <c r="RXV40" s="73"/>
      <c r="RXW40" s="73"/>
      <c r="RXX40" s="73"/>
      <c r="RXY40" s="73"/>
      <c r="RXZ40" s="73"/>
      <c r="RYA40" s="73"/>
      <c r="RYB40" s="73"/>
      <c r="RYC40" s="73"/>
      <c r="RYD40" s="73"/>
      <c r="RYE40" s="73"/>
      <c r="RYF40" s="73"/>
      <c r="RYG40" s="73"/>
      <c r="RYH40" s="73"/>
      <c r="RYI40" s="73"/>
      <c r="RYJ40" s="73"/>
      <c r="RYK40" s="73"/>
      <c r="RYL40" s="73"/>
      <c r="RYM40" s="73"/>
      <c r="RYN40" s="73"/>
      <c r="RYO40" s="73"/>
      <c r="RYP40" s="73"/>
      <c r="RYQ40" s="73"/>
      <c r="RYR40" s="73"/>
      <c r="RYS40" s="73"/>
      <c r="RYT40" s="73"/>
      <c r="RYU40" s="73"/>
      <c r="RYV40" s="73"/>
      <c r="RYW40" s="73"/>
      <c r="RYX40" s="73"/>
      <c r="RYY40" s="73"/>
      <c r="RYZ40" s="73"/>
      <c r="RZA40" s="73"/>
      <c r="RZB40" s="73"/>
      <c r="RZC40" s="73"/>
      <c r="RZD40" s="73"/>
      <c r="RZE40" s="73"/>
      <c r="RZF40" s="73"/>
      <c r="RZG40" s="73"/>
      <c r="RZH40" s="73"/>
      <c r="RZI40" s="73"/>
      <c r="RZJ40" s="73"/>
      <c r="RZK40" s="73"/>
      <c r="RZL40" s="73"/>
      <c r="RZM40" s="73"/>
      <c r="RZN40" s="73"/>
      <c r="RZO40" s="73"/>
      <c r="RZP40" s="73"/>
      <c r="RZQ40" s="73"/>
      <c r="RZR40" s="73"/>
      <c r="RZS40" s="73"/>
      <c r="RZT40" s="73"/>
      <c r="RZU40" s="73"/>
      <c r="RZV40" s="73"/>
      <c r="RZW40" s="73"/>
      <c r="RZX40" s="73"/>
      <c r="RZY40" s="73"/>
      <c r="RZZ40" s="73"/>
      <c r="SAA40" s="73"/>
      <c r="SAB40" s="73"/>
      <c r="SAC40" s="73"/>
      <c r="SAD40" s="73"/>
      <c r="SAE40" s="73"/>
      <c r="SAF40" s="73"/>
      <c r="SAG40" s="73"/>
      <c r="SAH40" s="73"/>
      <c r="SAI40" s="73"/>
      <c r="SAJ40" s="73"/>
      <c r="SAK40" s="73"/>
      <c r="SAL40" s="73"/>
      <c r="SAM40" s="73"/>
      <c r="SAN40" s="73"/>
      <c r="SAO40" s="73"/>
      <c r="SAP40" s="73"/>
      <c r="SAQ40" s="73"/>
      <c r="SAR40" s="73"/>
      <c r="SAS40" s="73"/>
      <c r="SAT40" s="73"/>
      <c r="SAU40" s="73"/>
      <c r="SAV40" s="73"/>
      <c r="SAW40" s="73"/>
      <c r="SAX40" s="73"/>
      <c r="SAY40" s="73"/>
      <c r="SAZ40" s="73"/>
      <c r="SBA40" s="73"/>
      <c r="SBB40" s="73"/>
      <c r="SBC40" s="73"/>
      <c r="SBD40" s="73"/>
      <c r="SBE40" s="73"/>
      <c r="SBF40" s="73"/>
      <c r="SBG40" s="73"/>
      <c r="SBH40" s="73"/>
      <c r="SBI40" s="73"/>
      <c r="SBJ40" s="73"/>
      <c r="SBK40" s="73"/>
      <c r="SBL40" s="73"/>
      <c r="SBM40" s="73"/>
      <c r="SBN40" s="73"/>
      <c r="SBO40" s="73"/>
      <c r="SBP40" s="73"/>
      <c r="SBQ40" s="73"/>
      <c r="SBR40" s="73"/>
      <c r="SBS40" s="73"/>
      <c r="SBT40" s="73"/>
      <c r="SBU40" s="73"/>
      <c r="SBV40" s="73"/>
      <c r="SBW40" s="73"/>
      <c r="SBX40" s="73"/>
      <c r="SBY40" s="73"/>
      <c r="SBZ40" s="73"/>
      <c r="SCA40" s="73"/>
      <c r="SCB40" s="73"/>
      <c r="SCC40" s="73"/>
      <c r="SCD40" s="73"/>
      <c r="SCE40" s="73"/>
      <c r="SCF40" s="73"/>
      <c r="SCG40" s="73"/>
      <c r="SCH40" s="73"/>
      <c r="SCI40" s="73"/>
      <c r="SCJ40" s="73"/>
      <c r="SCK40" s="73"/>
      <c r="SCL40" s="73"/>
      <c r="SCM40" s="73"/>
      <c r="SCN40" s="73"/>
      <c r="SCO40" s="73"/>
      <c r="SCP40" s="73"/>
      <c r="SCQ40" s="73"/>
      <c r="SCR40" s="73"/>
      <c r="SCS40" s="73"/>
      <c r="SCT40" s="73"/>
      <c r="SCU40" s="73"/>
      <c r="SCV40" s="73"/>
      <c r="SCW40" s="73"/>
      <c r="SCX40" s="73"/>
      <c r="SCY40" s="73"/>
      <c r="SCZ40" s="73"/>
      <c r="SDA40" s="73"/>
      <c r="SDB40" s="73"/>
      <c r="SDC40" s="73"/>
      <c r="SDD40" s="73"/>
      <c r="SDE40" s="73"/>
      <c r="SDF40" s="73"/>
      <c r="SDG40" s="73"/>
      <c r="SDH40" s="73"/>
      <c r="SDI40" s="73"/>
      <c r="SDJ40" s="73"/>
      <c r="SDK40" s="73"/>
      <c r="SDL40" s="73"/>
      <c r="SDM40" s="73"/>
      <c r="SDN40" s="73"/>
      <c r="SDO40" s="73"/>
      <c r="SDP40" s="73"/>
      <c r="SDQ40" s="73"/>
      <c r="SDR40" s="73"/>
      <c r="SDS40" s="73"/>
      <c r="SDT40" s="73"/>
      <c r="SDU40" s="73"/>
      <c r="SDV40" s="73"/>
      <c r="SDW40" s="73"/>
      <c r="SDX40" s="73"/>
      <c r="SDY40" s="73"/>
      <c r="SDZ40" s="73"/>
      <c r="SEA40" s="73"/>
      <c r="SEB40" s="73"/>
      <c r="SEC40" s="73"/>
      <c r="SED40" s="73"/>
      <c r="SEE40" s="73"/>
      <c r="SEF40" s="73"/>
      <c r="SEG40" s="73"/>
      <c r="SEH40" s="73"/>
      <c r="SEI40" s="73"/>
      <c r="SEJ40" s="73"/>
      <c r="SEK40" s="73"/>
      <c r="SEL40" s="73"/>
      <c r="SEM40" s="73"/>
      <c r="SEN40" s="73"/>
      <c r="SEO40" s="73"/>
      <c r="SEP40" s="73"/>
      <c r="SEQ40" s="73"/>
      <c r="SER40" s="73"/>
      <c r="SES40" s="73"/>
      <c r="SET40" s="73"/>
      <c r="SEU40" s="73"/>
      <c r="SEV40" s="73"/>
      <c r="SEW40" s="73"/>
      <c r="SEX40" s="73"/>
      <c r="SEY40" s="73"/>
      <c r="SEZ40" s="73"/>
      <c r="SFA40" s="73"/>
      <c r="SFB40" s="73"/>
      <c r="SFC40" s="73"/>
      <c r="SFD40" s="73"/>
      <c r="SFE40" s="73"/>
      <c r="SFF40" s="73"/>
      <c r="SFG40" s="73"/>
      <c r="SFH40" s="73"/>
      <c r="SFI40" s="73"/>
      <c r="SFJ40" s="73"/>
      <c r="SFK40" s="73"/>
      <c r="SFL40" s="73"/>
      <c r="SFM40" s="73"/>
      <c r="SFN40" s="73"/>
      <c r="SFO40" s="73"/>
      <c r="SFP40" s="73"/>
      <c r="SFQ40" s="73"/>
      <c r="SFR40" s="73"/>
      <c r="SFS40" s="73"/>
      <c r="SFT40" s="73"/>
      <c r="SFU40" s="73"/>
      <c r="SFV40" s="73"/>
      <c r="SFW40" s="73"/>
      <c r="SFX40" s="73"/>
      <c r="SFY40" s="73"/>
      <c r="SFZ40" s="73"/>
      <c r="SGA40" s="73"/>
      <c r="SGB40" s="73"/>
      <c r="SGC40" s="73"/>
      <c r="SGD40" s="73"/>
      <c r="SGE40" s="73"/>
      <c r="SGF40" s="73"/>
      <c r="SGG40" s="73"/>
      <c r="SGH40" s="73"/>
      <c r="SGI40" s="73"/>
      <c r="SGJ40" s="73"/>
      <c r="SGK40" s="73"/>
      <c r="SGL40" s="73"/>
      <c r="SGM40" s="73"/>
      <c r="SGN40" s="73"/>
      <c r="SGO40" s="73"/>
      <c r="SGP40" s="73"/>
      <c r="SGQ40" s="73"/>
      <c r="SGR40" s="73"/>
      <c r="SGS40" s="73"/>
      <c r="SGT40" s="73"/>
      <c r="SGU40" s="73"/>
      <c r="SGV40" s="73"/>
      <c r="SGW40" s="73"/>
      <c r="SGX40" s="73"/>
      <c r="SGY40" s="73"/>
      <c r="SGZ40" s="73"/>
      <c r="SHA40" s="73"/>
      <c r="SHB40" s="73"/>
      <c r="SHC40" s="73"/>
      <c r="SHD40" s="73"/>
      <c r="SHE40" s="73"/>
      <c r="SHF40" s="73"/>
      <c r="SHG40" s="73"/>
      <c r="SHH40" s="73"/>
      <c r="SHI40" s="73"/>
      <c r="SHJ40" s="73"/>
      <c r="SHK40" s="73"/>
      <c r="SHL40" s="73"/>
      <c r="SHM40" s="73"/>
      <c r="SHN40" s="73"/>
      <c r="SHO40" s="73"/>
      <c r="SHP40" s="73"/>
      <c r="SHQ40" s="73"/>
      <c r="SHR40" s="73"/>
      <c r="SHS40" s="73"/>
      <c r="SHT40" s="73"/>
      <c r="SHU40" s="73"/>
      <c r="SHV40" s="73"/>
      <c r="SHW40" s="73"/>
      <c r="SHX40" s="73"/>
      <c r="SHY40" s="73"/>
      <c r="SHZ40" s="73"/>
      <c r="SIA40" s="73"/>
      <c r="SIB40" s="73"/>
      <c r="SIC40" s="73"/>
      <c r="SID40" s="73"/>
      <c r="SIE40" s="73"/>
      <c r="SIF40" s="73"/>
      <c r="SIG40" s="73"/>
      <c r="SIH40" s="73"/>
      <c r="SII40" s="73"/>
      <c r="SIJ40" s="73"/>
      <c r="SIK40" s="73"/>
      <c r="SIL40" s="73"/>
      <c r="SIM40" s="73"/>
      <c r="SIN40" s="73"/>
      <c r="SIO40" s="73"/>
      <c r="SIP40" s="73"/>
      <c r="SIQ40" s="73"/>
      <c r="SIR40" s="73"/>
      <c r="SIS40" s="73"/>
      <c r="SIT40" s="73"/>
      <c r="SIU40" s="73"/>
      <c r="SIV40" s="73"/>
      <c r="SIW40" s="73"/>
      <c r="SIX40" s="73"/>
      <c r="SIY40" s="73"/>
      <c r="SIZ40" s="73"/>
      <c r="SJA40" s="73"/>
      <c r="SJB40" s="73"/>
      <c r="SJC40" s="73"/>
      <c r="SJD40" s="73"/>
      <c r="SJE40" s="73"/>
      <c r="SJF40" s="73"/>
      <c r="SJG40" s="73"/>
      <c r="SJH40" s="73"/>
      <c r="SJI40" s="73"/>
      <c r="SJJ40" s="73"/>
      <c r="SJK40" s="73"/>
      <c r="SJL40" s="73"/>
      <c r="SJM40" s="73"/>
      <c r="SJN40" s="73"/>
      <c r="SJO40" s="73"/>
      <c r="SJP40" s="73"/>
      <c r="SJQ40" s="73"/>
      <c r="SJR40" s="73"/>
      <c r="SJS40" s="73"/>
      <c r="SJT40" s="73"/>
      <c r="SJU40" s="73"/>
      <c r="SJV40" s="73"/>
      <c r="SJW40" s="73"/>
      <c r="SJX40" s="73"/>
      <c r="SJY40" s="73"/>
      <c r="SJZ40" s="73"/>
      <c r="SKA40" s="73"/>
      <c r="SKB40" s="73"/>
      <c r="SKC40" s="73"/>
      <c r="SKD40" s="73"/>
      <c r="SKE40" s="73"/>
      <c r="SKF40" s="73"/>
      <c r="SKG40" s="73"/>
      <c r="SKH40" s="73"/>
      <c r="SKI40" s="73"/>
      <c r="SKJ40" s="73"/>
      <c r="SKK40" s="73"/>
      <c r="SKL40" s="73"/>
      <c r="SKM40" s="73"/>
      <c r="SKN40" s="73"/>
      <c r="SKO40" s="73"/>
      <c r="SKP40" s="73"/>
      <c r="SKQ40" s="73"/>
      <c r="SKR40" s="73"/>
      <c r="SKS40" s="73"/>
      <c r="SKT40" s="73"/>
      <c r="SKU40" s="73"/>
      <c r="SKV40" s="73"/>
      <c r="SKW40" s="73"/>
      <c r="SKX40" s="73"/>
      <c r="SKY40" s="73"/>
      <c r="SKZ40" s="73"/>
      <c r="SLA40" s="73"/>
      <c r="SLB40" s="73"/>
      <c r="SLC40" s="73"/>
      <c r="SLD40" s="73"/>
      <c r="SLE40" s="73"/>
      <c r="SLF40" s="73"/>
      <c r="SLG40" s="73"/>
      <c r="SLH40" s="73"/>
      <c r="SLI40" s="73"/>
      <c r="SLJ40" s="73"/>
      <c r="SLK40" s="73"/>
      <c r="SLL40" s="73"/>
      <c r="SLM40" s="73"/>
      <c r="SLN40" s="73"/>
      <c r="SLO40" s="73"/>
      <c r="SLP40" s="73"/>
      <c r="SLQ40" s="73"/>
      <c r="SLR40" s="73"/>
      <c r="SLS40" s="73"/>
      <c r="SLT40" s="73"/>
      <c r="SLU40" s="73"/>
      <c r="SLV40" s="73"/>
      <c r="SLW40" s="73"/>
      <c r="SLX40" s="73"/>
      <c r="SLY40" s="73"/>
      <c r="SLZ40" s="73"/>
      <c r="SMA40" s="73"/>
      <c r="SMB40" s="73"/>
      <c r="SMC40" s="73"/>
      <c r="SMD40" s="73"/>
      <c r="SME40" s="73"/>
      <c r="SMF40" s="73"/>
      <c r="SMG40" s="73"/>
      <c r="SMH40" s="73"/>
      <c r="SMI40" s="73"/>
      <c r="SMJ40" s="73"/>
      <c r="SMK40" s="73"/>
      <c r="SML40" s="73"/>
      <c r="SMM40" s="73"/>
      <c r="SMN40" s="73"/>
      <c r="SMO40" s="73"/>
      <c r="SMP40" s="73"/>
      <c r="SMQ40" s="73"/>
      <c r="SMR40" s="73"/>
      <c r="SMS40" s="73"/>
      <c r="SMT40" s="73"/>
      <c r="SMU40" s="73"/>
      <c r="SMV40" s="73"/>
      <c r="SMW40" s="73"/>
      <c r="SMX40" s="73"/>
      <c r="SMY40" s="73"/>
      <c r="SMZ40" s="73"/>
      <c r="SNA40" s="73"/>
      <c r="SNB40" s="73"/>
      <c r="SNC40" s="73"/>
      <c r="SND40" s="73"/>
      <c r="SNE40" s="73"/>
      <c r="SNF40" s="73"/>
      <c r="SNG40" s="73"/>
      <c r="SNH40" s="73"/>
      <c r="SNI40" s="73"/>
      <c r="SNJ40" s="73"/>
      <c r="SNK40" s="73"/>
      <c r="SNL40" s="73"/>
      <c r="SNM40" s="73"/>
      <c r="SNN40" s="73"/>
      <c r="SNO40" s="73"/>
      <c r="SNP40" s="73"/>
      <c r="SNQ40" s="73"/>
      <c r="SNR40" s="73"/>
      <c r="SNS40" s="73"/>
      <c r="SNT40" s="73"/>
      <c r="SNU40" s="73"/>
      <c r="SNV40" s="73"/>
      <c r="SNW40" s="73"/>
      <c r="SNX40" s="73"/>
      <c r="SNY40" s="73"/>
      <c r="SNZ40" s="73"/>
      <c r="SOA40" s="73"/>
      <c r="SOB40" s="73"/>
      <c r="SOC40" s="73"/>
      <c r="SOD40" s="73"/>
      <c r="SOE40" s="73"/>
      <c r="SOF40" s="73"/>
      <c r="SOG40" s="73"/>
      <c r="SOH40" s="73"/>
      <c r="SOI40" s="73"/>
      <c r="SOJ40" s="73"/>
      <c r="SOK40" s="73"/>
      <c r="SOL40" s="73"/>
      <c r="SOM40" s="73"/>
      <c r="SON40" s="73"/>
      <c r="SOO40" s="73"/>
      <c r="SOP40" s="73"/>
      <c r="SOQ40" s="73"/>
      <c r="SOR40" s="73"/>
      <c r="SOS40" s="73"/>
      <c r="SOT40" s="73"/>
      <c r="SOU40" s="73"/>
      <c r="SOV40" s="73"/>
      <c r="SOW40" s="73"/>
      <c r="SOX40" s="73"/>
      <c r="SOY40" s="73"/>
      <c r="SOZ40" s="73"/>
      <c r="SPA40" s="73"/>
      <c r="SPB40" s="73"/>
      <c r="SPC40" s="73"/>
      <c r="SPD40" s="73"/>
      <c r="SPE40" s="73"/>
      <c r="SPF40" s="73"/>
      <c r="SPG40" s="73"/>
      <c r="SPH40" s="73"/>
      <c r="SPI40" s="73"/>
      <c r="SPJ40" s="73"/>
      <c r="SPK40" s="73"/>
      <c r="SPL40" s="73"/>
      <c r="SPM40" s="73"/>
      <c r="SPN40" s="73"/>
      <c r="SPO40" s="73"/>
      <c r="SPP40" s="73"/>
      <c r="SPQ40" s="73"/>
      <c r="SPR40" s="73"/>
      <c r="SPS40" s="73"/>
      <c r="SPT40" s="73"/>
      <c r="SPU40" s="73"/>
      <c r="SPV40" s="73"/>
      <c r="SPW40" s="73"/>
      <c r="SPX40" s="73"/>
      <c r="SPY40" s="73"/>
      <c r="SPZ40" s="73"/>
      <c r="SQA40" s="73"/>
      <c r="SQB40" s="73"/>
      <c r="SQC40" s="73"/>
      <c r="SQD40" s="73"/>
      <c r="SQE40" s="73"/>
      <c r="SQF40" s="73"/>
      <c r="SQG40" s="73"/>
      <c r="SQH40" s="73"/>
      <c r="SQI40" s="73"/>
      <c r="SQJ40" s="73"/>
      <c r="SQK40" s="73"/>
      <c r="SQL40" s="73"/>
      <c r="SQM40" s="73"/>
      <c r="SQN40" s="73"/>
      <c r="SQO40" s="73"/>
      <c r="SQP40" s="73"/>
      <c r="SQQ40" s="73"/>
      <c r="SQR40" s="73"/>
      <c r="SQS40" s="73"/>
      <c r="SQT40" s="73"/>
      <c r="SQU40" s="73"/>
      <c r="SQV40" s="73"/>
      <c r="SQW40" s="73"/>
      <c r="SQX40" s="73"/>
      <c r="SQY40" s="73"/>
      <c r="SQZ40" s="73"/>
      <c r="SRA40" s="73"/>
      <c r="SRB40" s="73"/>
      <c r="SRC40" s="73"/>
      <c r="SRD40" s="73"/>
      <c r="SRE40" s="73"/>
      <c r="SRF40" s="73"/>
      <c r="SRG40" s="73"/>
      <c r="SRH40" s="73"/>
      <c r="SRI40" s="73"/>
      <c r="SRJ40" s="73"/>
      <c r="SRK40" s="73"/>
      <c r="SRL40" s="73"/>
      <c r="SRM40" s="73"/>
      <c r="SRN40" s="73"/>
      <c r="SRO40" s="73"/>
      <c r="SRP40" s="73"/>
      <c r="SRQ40" s="73"/>
      <c r="SRR40" s="73"/>
      <c r="SRS40" s="73"/>
      <c r="SRT40" s="73"/>
      <c r="SRU40" s="73"/>
      <c r="SRV40" s="73"/>
      <c r="SRW40" s="73"/>
      <c r="SRX40" s="73"/>
      <c r="SRY40" s="73"/>
      <c r="SRZ40" s="73"/>
      <c r="SSA40" s="73"/>
      <c r="SSB40" s="73"/>
      <c r="SSC40" s="73"/>
      <c r="SSD40" s="73"/>
      <c r="SSE40" s="73"/>
      <c r="SSF40" s="73"/>
      <c r="SSG40" s="73"/>
      <c r="SSH40" s="73"/>
      <c r="SSI40" s="73"/>
      <c r="SSJ40" s="73"/>
      <c r="SSK40" s="73"/>
      <c r="SSL40" s="73"/>
      <c r="SSM40" s="73"/>
      <c r="SSN40" s="73"/>
      <c r="SSO40" s="73"/>
      <c r="SSP40" s="73"/>
      <c r="SSQ40" s="73"/>
      <c r="SSR40" s="73"/>
      <c r="SSS40" s="73"/>
      <c r="SST40" s="73"/>
      <c r="SSU40" s="73"/>
      <c r="SSV40" s="73"/>
      <c r="SSW40" s="73"/>
      <c r="SSX40" s="73"/>
      <c r="SSY40" s="73"/>
      <c r="SSZ40" s="73"/>
      <c r="STA40" s="73"/>
      <c r="STB40" s="73"/>
      <c r="STC40" s="73"/>
      <c r="STD40" s="73"/>
      <c r="STE40" s="73"/>
      <c r="STF40" s="73"/>
      <c r="STG40" s="73"/>
      <c r="STH40" s="73"/>
      <c r="STI40" s="73"/>
      <c r="STJ40" s="73"/>
      <c r="STK40" s="73"/>
      <c r="STL40" s="73"/>
      <c r="STM40" s="73"/>
      <c r="STN40" s="73"/>
      <c r="STO40" s="73"/>
      <c r="STP40" s="73"/>
      <c r="STQ40" s="73"/>
      <c r="STR40" s="73"/>
      <c r="STS40" s="73"/>
      <c r="STT40" s="73"/>
      <c r="STU40" s="73"/>
      <c r="STV40" s="73"/>
      <c r="STW40" s="73"/>
      <c r="STX40" s="73"/>
      <c r="STY40" s="73"/>
      <c r="STZ40" s="73"/>
      <c r="SUA40" s="73"/>
      <c r="SUB40" s="73"/>
      <c r="SUC40" s="73"/>
      <c r="SUD40" s="73"/>
      <c r="SUE40" s="73"/>
      <c r="SUF40" s="73"/>
      <c r="SUG40" s="73"/>
      <c r="SUH40" s="73"/>
      <c r="SUI40" s="73"/>
      <c r="SUJ40" s="73"/>
      <c r="SUK40" s="73"/>
      <c r="SUL40" s="73"/>
      <c r="SUM40" s="73"/>
      <c r="SUN40" s="73"/>
      <c r="SUO40" s="73"/>
      <c r="SUP40" s="73"/>
      <c r="SUQ40" s="73"/>
      <c r="SUR40" s="73"/>
      <c r="SUS40" s="73"/>
      <c r="SUT40" s="73"/>
      <c r="SUU40" s="73"/>
      <c r="SUV40" s="73"/>
      <c r="SUW40" s="73"/>
      <c r="SUX40" s="73"/>
      <c r="SUY40" s="73"/>
      <c r="SUZ40" s="73"/>
      <c r="SVA40" s="73"/>
      <c r="SVB40" s="73"/>
      <c r="SVC40" s="73"/>
      <c r="SVD40" s="73"/>
      <c r="SVE40" s="73"/>
      <c r="SVF40" s="73"/>
      <c r="SVG40" s="73"/>
      <c r="SVH40" s="73"/>
      <c r="SVI40" s="73"/>
      <c r="SVJ40" s="73"/>
      <c r="SVK40" s="73"/>
      <c r="SVL40" s="73"/>
      <c r="SVM40" s="73"/>
      <c r="SVN40" s="73"/>
      <c r="SVO40" s="73"/>
      <c r="SVP40" s="73"/>
      <c r="SVQ40" s="73"/>
      <c r="SVR40" s="73"/>
      <c r="SVS40" s="73"/>
      <c r="SVT40" s="73"/>
      <c r="SVU40" s="73"/>
      <c r="SVV40" s="73"/>
      <c r="SVW40" s="73"/>
      <c r="SVX40" s="73"/>
      <c r="SVY40" s="73"/>
      <c r="SVZ40" s="73"/>
      <c r="SWA40" s="73"/>
      <c r="SWB40" s="73"/>
      <c r="SWC40" s="73"/>
      <c r="SWD40" s="73"/>
      <c r="SWE40" s="73"/>
      <c r="SWF40" s="73"/>
      <c r="SWG40" s="73"/>
      <c r="SWH40" s="73"/>
      <c r="SWI40" s="73"/>
      <c r="SWJ40" s="73"/>
      <c r="SWK40" s="73"/>
      <c r="SWL40" s="73"/>
      <c r="SWM40" s="73"/>
      <c r="SWN40" s="73"/>
      <c r="SWO40" s="73"/>
      <c r="SWP40" s="73"/>
      <c r="SWQ40" s="73"/>
      <c r="SWR40" s="73"/>
      <c r="SWS40" s="73"/>
      <c r="SWT40" s="73"/>
      <c r="SWU40" s="73"/>
      <c r="SWV40" s="73"/>
      <c r="SWW40" s="73"/>
      <c r="SWX40" s="73"/>
      <c r="SWY40" s="73"/>
      <c r="SWZ40" s="73"/>
      <c r="SXA40" s="73"/>
      <c r="SXB40" s="73"/>
      <c r="SXC40" s="73"/>
      <c r="SXD40" s="73"/>
      <c r="SXE40" s="73"/>
      <c r="SXF40" s="73"/>
      <c r="SXG40" s="73"/>
      <c r="SXH40" s="73"/>
      <c r="SXI40" s="73"/>
      <c r="SXJ40" s="73"/>
      <c r="SXK40" s="73"/>
      <c r="SXL40" s="73"/>
      <c r="SXM40" s="73"/>
      <c r="SXN40" s="73"/>
      <c r="SXO40" s="73"/>
      <c r="SXP40" s="73"/>
      <c r="SXQ40" s="73"/>
      <c r="SXR40" s="73"/>
      <c r="SXS40" s="73"/>
      <c r="SXT40" s="73"/>
      <c r="SXU40" s="73"/>
      <c r="SXV40" s="73"/>
      <c r="SXW40" s="73"/>
      <c r="SXX40" s="73"/>
      <c r="SXY40" s="73"/>
      <c r="SXZ40" s="73"/>
      <c r="SYA40" s="73"/>
      <c r="SYB40" s="73"/>
      <c r="SYC40" s="73"/>
      <c r="SYD40" s="73"/>
      <c r="SYE40" s="73"/>
      <c r="SYF40" s="73"/>
      <c r="SYG40" s="73"/>
      <c r="SYH40" s="73"/>
      <c r="SYI40" s="73"/>
      <c r="SYJ40" s="73"/>
      <c r="SYK40" s="73"/>
      <c r="SYL40" s="73"/>
      <c r="SYM40" s="73"/>
      <c r="SYN40" s="73"/>
      <c r="SYO40" s="73"/>
      <c r="SYP40" s="73"/>
      <c r="SYQ40" s="73"/>
      <c r="SYR40" s="73"/>
      <c r="SYS40" s="73"/>
      <c r="SYT40" s="73"/>
      <c r="SYU40" s="73"/>
      <c r="SYV40" s="73"/>
      <c r="SYW40" s="73"/>
      <c r="SYX40" s="73"/>
      <c r="SYY40" s="73"/>
      <c r="SYZ40" s="73"/>
      <c r="SZA40" s="73"/>
      <c r="SZB40" s="73"/>
      <c r="SZC40" s="73"/>
      <c r="SZD40" s="73"/>
      <c r="SZE40" s="73"/>
      <c r="SZF40" s="73"/>
      <c r="SZG40" s="73"/>
      <c r="SZH40" s="73"/>
      <c r="SZI40" s="73"/>
      <c r="SZJ40" s="73"/>
      <c r="SZK40" s="73"/>
      <c r="SZL40" s="73"/>
      <c r="SZM40" s="73"/>
      <c r="SZN40" s="73"/>
      <c r="SZO40" s="73"/>
      <c r="SZP40" s="73"/>
      <c r="SZQ40" s="73"/>
      <c r="SZR40" s="73"/>
      <c r="SZS40" s="73"/>
      <c r="SZT40" s="73"/>
      <c r="SZU40" s="73"/>
      <c r="SZV40" s="73"/>
      <c r="SZW40" s="73"/>
      <c r="SZX40" s="73"/>
      <c r="SZY40" s="73"/>
      <c r="SZZ40" s="73"/>
      <c r="TAA40" s="73"/>
      <c r="TAB40" s="73"/>
      <c r="TAC40" s="73"/>
      <c r="TAD40" s="73"/>
      <c r="TAE40" s="73"/>
      <c r="TAF40" s="73"/>
      <c r="TAG40" s="73"/>
      <c r="TAH40" s="73"/>
      <c r="TAI40" s="73"/>
      <c r="TAJ40" s="73"/>
      <c r="TAK40" s="73"/>
      <c r="TAL40" s="73"/>
      <c r="TAM40" s="73"/>
      <c r="TAN40" s="73"/>
      <c r="TAO40" s="73"/>
      <c r="TAP40" s="73"/>
      <c r="TAQ40" s="73"/>
      <c r="TAR40" s="73"/>
      <c r="TAS40" s="73"/>
      <c r="TAT40" s="73"/>
      <c r="TAU40" s="73"/>
      <c r="TAV40" s="73"/>
      <c r="TAW40" s="73"/>
      <c r="TAX40" s="73"/>
      <c r="TAY40" s="73"/>
      <c r="TAZ40" s="73"/>
      <c r="TBA40" s="73"/>
      <c r="TBB40" s="73"/>
      <c r="TBC40" s="73"/>
      <c r="TBD40" s="73"/>
      <c r="TBE40" s="73"/>
      <c r="TBF40" s="73"/>
      <c r="TBG40" s="73"/>
      <c r="TBH40" s="73"/>
      <c r="TBI40" s="73"/>
      <c r="TBJ40" s="73"/>
      <c r="TBK40" s="73"/>
      <c r="TBL40" s="73"/>
      <c r="TBM40" s="73"/>
      <c r="TBN40" s="73"/>
      <c r="TBO40" s="73"/>
      <c r="TBP40" s="73"/>
      <c r="TBQ40" s="73"/>
      <c r="TBR40" s="73"/>
      <c r="TBS40" s="73"/>
      <c r="TBT40" s="73"/>
      <c r="TBU40" s="73"/>
      <c r="TBV40" s="73"/>
      <c r="TBW40" s="73"/>
      <c r="TBX40" s="73"/>
      <c r="TBY40" s="73"/>
      <c r="TBZ40" s="73"/>
      <c r="TCA40" s="73"/>
      <c r="TCB40" s="73"/>
      <c r="TCC40" s="73"/>
      <c r="TCD40" s="73"/>
      <c r="TCE40" s="73"/>
      <c r="TCF40" s="73"/>
      <c r="TCG40" s="73"/>
      <c r="TCH40" s="73"/>
      <c r="TCI40" s="73"/>
      <c r="TCJ40" s="73"/>
      <c r="TCK40" s="73"/>
      <c r="TCL40" s="73"/>
      <c r="TCM40" s="73"/>
      <c r="TCN40" s="73"/>
      <c r="TCO40" s="73"/>
      <c r="TCP40" s="73"/>
      <c r="TCQ40" s="73"/>
      <c r="TCR40" s="73"/>
      <c r="TCS40" s="73"/>
      <c r="TCT40" s="73"/>
      <c r="TCU40" s="73"/>
      <c r="TCV40" s="73"/>
      <c r="TCW40" s="73"/>
      <c r="TCX40" s="73"/>
      <c r="TCY40" s="73"/>
      <c r="TCZ40" s="73"/>
      <c r="TDA40" s="73"/>
      <c r="TDB40" s="73"/>
      <c r="TDC40" s="73"/>
      <c r="TDD40" s="73"/>
      <c r="TDE40" s="73"/>
      <c r="TDF40" s="73"/>
      <c r="TDG40" s="73"/>
      <c r="TDH40" s="73"/>
      <c r="TDI40" s="73"/>
      <c r="TDJ40" s="73"/>
      <c r="TDK40" s="73"/>
      <c r="TDL40" s="73"/>
      <c r="TDM40" s="73"/>
      <c r="TDN40" s="73"/>
      <c r="TDO40" s="73"/>
      <c r="TDP40" s="73"/>
      <c r="TDQ40" s="73"/>
      <c r="TDR40" s="73"/>
      <c r="TDS40" s="73"/>
      <c r="TDT40" s="73"/>
      <c r="TDU40" s="73"/>
      <c r="TDV40" s="73"/>
      <c r="TDW40" s="73"/>
      <c r="TDX40" s="73"/>
      <c r="TDY40" s="73"/>
      <c r="TDZ40" s="73"/>
      <c r="TEA40" s="73"/>
      <c r="TEB40" s="73"/>
      <c r="TEC40" s="73"/>
      <c r="TED40" s="73"/>
      <c r="TEE40" s="73"/>
      <c r="TEF40" s="73"/>
      <c r="TEG40" s="73"/>
      <c r="TEH40" s="73"/>
      <c r="TEI40" s="73"/>
      <c r="TEJ40" s="73"/>
      <c r="TEK40" s="73"/>
      <c r="TEL40" s="73"/>
      <c r="TEM40" s="73"/>
      <c r="TEN40" s="73"/>
      <c r="TEO40" s="73"/>
      <c r="TEP40" s="73"/>
      <c r="TEQ40" s="73"/>
      <c r="TER40" s="73"/>
      <c r="TES40" s="73"/>
      <c r="TET40" s="73"/>
      <c r="TEU40" s="73"/>
      <c r="TEV40" s="73"/>
      <c r="TEW40" s="73"/>
      <c r="TEX40" s="73"/>
      <c r="TEY40" s="73"/>
      <c r="TEZ40" s="73"/>
      <c r="TFA40" s="73"/>
      <c r="TFB40" s="73"/>
      <c r="TFC40" s="73"/>
      <c r="TFD40" s="73"/>
      <c r="TFE40" s="73"/>
      <c r="TFF40" s="73"/>
      <c r="TFG40" s="73"/>
      <c r="TFH40" s="73"/>
      <c r="TFI40" s="73"/>
      <c r="TFJ40" s="73"/>
      <c r="TFK40" s="73"/>
      <c r="TFL40" s="73"/>
      <c r="TFM40" s="73"/>
      <c r="TFN40" s="73"/>
      <c r="TFO40" s="73"/>
      <c r="TFP40" s="73"/>
      <c r="TFQ40" s="73"/>
      <c r="TFR40" s="73"/>
      <c r="TFS40" s="73"/>
      <c r="TFT40" s="73"/>
      <c r="TFU40" s="73"/>
      <c r="TFV40" s="73"/>
      <c r="TFW40" s="73"/>
      <c r="TFX40" s="73"/>
      <c r="TFY40" s="73"/>
      <c r="TFZ40" s="73"/>
      <c r="TGA40" s="73"/>
      <c r="TGB40" s="73"/>
      <c r="TGC40" s="73"/>
      <c r="TGD40" s="73"/>
      <c r="TGE40" s="73"/>
      <c r="TGF40" s="73"/>
      <c r="TGG40" s="73"/>
      <c r="TGH40" s="73"/>
      <c r="TGI40" s="73"/>
      <c r="TGJ40" s="73"/>
      <c r="TGK40" s="73"/>
      <c r="TGL40" s="73"/>
      <c r="TGM40" s="73"/>
      <c r="TGN40" s="73"/>
      <c r="TGO40" s="73"/>
      <c r="TGP40" s="73"/>
      <c r="TGQ40" s="73"/>
      <c r="TGR40" s="73"/>
      <c r="TGS40" s="73"/>
      <c r="TGT40" s="73"/>
      <c r="TGU40" s="73"/>
      <c r="TGV40" s="73"/>
      <c r="TGW40" s="73"/>
      <c r="TGX40" s="73"/>
      <c r="TGY40" s="73"/>
      <c r="TGZ40" s="73"/>
      <c r="THA40" s="73"/>
      <c r="THB40" s="73"/>
      <c r="THC40" s="73"/>
      <c r="THD40" s="73"/>
      <c r="THE40" s="73"/>
      <c r="THF40" s="73"/>
      <c r="THG40" s="73"/>
      <c r="THH40" s="73"/>
      <c r="THI40" s="73"/>
      <c r="THJ40" s="73"/>
      <c r="THK40" s="73"/>
      <c r="THL40" s="73"/>
      <c r="THM40" s="73"/>
      <c r="THN40" s="73"/>
      <c r="THO40" s="73"/>
      <c r="THP40" s="73"/>
      <c r="THQ40" s="73"/>
      <c r="THR40" s="73"/>
      <c r="THS40" s="73"/>
      <c r="THT40" s="73"/>
      <c r="THU40" s="73"/>
      <c r="THV40" s="73"/>
      <c r="THW40" s="73"/>
      <c r="THX40" s="73"/>
      <c r="THY40" s="73"/>
      <c r="THZ40" s="73"/>
      <c r="TIA40" s="73"/>
      <c r="TIB40" s="73"/>
      <c r="TIC40" s="73"/>
      <c r="TID40" s="73"/>
      <c r="TIE40" s="73"/>
      <c r="TIF40" s="73"/>
      <c r="TIG40" s="73"/>
      <c r="TIH40" s="73"/>
      <c r="TII40" s="73"/>
      <c r="TIJ40" s="73"/>
      <c r="TIK40" s="73"/>
      <c r="TIL40" s="73"/>
      <c r="TIM40" s="73"/>
      <c r="TIN40" s="73"/>
      <c r="TIO40" s="73"/>
      <c r="TIP40" s="73"/>
      <c r="TIQ40" s="73"/>
      <c r="TIR40" s="73"/>
      <c r="TIS40" s="73"/>
      <c r="TIT40" s="73"/>
      <c r="TIU40" s="73"/>
      <c r="TIV40" s="73"/>
      <c r="TIW40" s="73"/>
      <c r="TIX40" s="73"/>
      <c r="TIY40" s="73"/>
      <c r="TIZ40" s="73"/>
      <c r="TJA40" s="73"/>
      <c r="TJB40" s="73"/>
      <c r="TJC40" s="73"/>
      <c r="TJD40" s="73"/>
      <c r="TJE40" s="73"/>
      <c r="TJF40" s="73"/>
      <c r="TJG40" s="73"/>
      <c r="TJH40" s="73"/>
      <c r="TJI40" s="73"/>
      <c r="TJJ40" s="73"/>
      <c r="TJK40" s="73"/>
      <c r="TJL40" s="73"/>
      <c r="TJM40" s="73"/>
      <c r="TJN40" s="73"/>
      <c r="TJO40" s="73"/>
      <c r="TJP40" s="73"/>
      <c r="TJQ40" s="73"/>
      <c r="TJR40" s="73"/>
      <c r="TJS40" s="73"/>
      <c r="TJT40" s="73"/>
      <c r="TJU40" s="73"/>
      <c r="TJV40" s="73"/>
      <c r="TJW40" s="73"/>
      <c r="TJX40" s="73"/>
      <c r="TJY40" s="73"/>
      <c r="TJZ40" s="73"/>
      <c r="TKA40" s="73"/>
      <c r="TKB40" s="73"/>
      <c r="TKC40" s="73"/>
      <c r="TKD40" s="73"/>
      <c r="TKE40" s="73"/>
      <c r="TKF40" s="73"/>
      <c r="TKG40" s="73"/>
      <c r="TKH40" s="73"/>
      <c r="TKI40" s="73"/>
      <c r="TKJ40" s="73"/>
      <c r="TKK40" s="73"/>
      <c r="TKL40" s="73"/>
      <c r="TKM40" s="73"/>
      <c r="TKN40" s="73"/>
      <c r="TKO40" s="73"/>
      <c r="TKP40" s="73"/>
      <c r="TKQ40" s="73"/>
      <c r="TKR40" s="73"/>
      <c r="TKS40" s="73"/>
      <c r="TKT40" s="73"/>
      <c r="TKU40" s="73"/>
      <c r="TKV40" s="73"/>
      <c r="TKW40" s="73"/>
      <c r="TKX40" s="73"/>
      <c r="TKY40" s="73"/>
      <c r="TKZ40" s="73"/>
      <c r="TLA40" s="73"/>
      <c r="TLB40" s="73"/>
      <c r="TLC40" s="73"/>
      <c r="TLD40" s="73"/>
      <c r="TLE40" s="73"/>
      <c r="TLF40" s="73"/>
      <c r="TLG40" s="73"/>
      <c r="TLH40" s="73"/>
      <c r="TLI40" s="73"/>
      <c r="TLJ40" s="73"/>
      <c r="TLK40" s="73"/>
      <c r="TLL40" s="73"/>
      <c r="TLM40" s="73"/>
      <c r="TLN40" s="73"/>
      <c r="TLO40" s="73"/>
      <c r="TLP40" s="73"/>
      <c r="TLQ40" s="73"/>
      <c r="TLR40" s="73"/>
      <c r="TLS40" s="73"/>
      <c r="TLT40" s="73"/>
      <c r="TLU40" s="73"/>
      <c r="TLV40" s="73"/>
      <c r="TLW40" s="73"/>
      <c r="TLX40" s="73"/>
      <c r="TLY40" s="73"/>
      <c r="TLZ40" s="73"/>
      <c r="TMA40" s="73"/>
      <c r="TMB40" s="73"/>
      <c r="TMC40" s="73"/>
      <c r="TMD40" s="73"/>
      <c r="TME40" s="73"/>
      <c r="TMF40" s="73"/>
      <c r="TMG40" s="73"/>
      <c r="TMH40" s="73"/>
      <c r="TMI40" s="73"/>
      <c r="TMJ40" s="73"/>
      <c r="TMK40" s="73"/>
      <c r="TML40" s="73"/>
      <c r="TMM40" s="73"/>
      <c r="TMN40" s="73"/>
      <c r="TMO40" s="73"/>
      <c r="TMP40" s="73"/>
      <c r="TMQ40" s="73"/>
      <c r="TMR40" s="73"/>
      <c r="TMS40" s="73"/>
      <c r="TMT40" s="73"/>
      <c r="TMU40" s="73"/>
      <c r="TMV40" s="73"/>
      <c r="TMW40" s="73"/>
      <c r="TMX40" s="73"/>
      <c r="TMY40" s="73"/>
      <c r="TMZ40" s="73"/>
      <c r="TNA40" s="73"/>
      <c r="TNB40" s="73"/>
      <c r="TNC40" s="73"/>
      <c r="TND40" s="73"/>
      <c r="TNE40" s="73"/>
      <c r="TNF40" s="73"/>
      <c r="TNG40" s="73"/>
      <c r="TNH40" s="73"/>
      <c r="TNI40" s="73"/>
      <c r="TNJ40" s="73"/>
      <c r="TNK40" s="73"/>
      <c r="TNL40" s="73"/>
      <c r="TNM40" s="73"/>
      <c r="TNN40" s="73"/>
      <c r="TNO40" s="73"/>
      <c r="TNP40" s="73"/>
      <c r="TNQ40" s="73"/>
      <c r="TNR40" s="73"/>
      <c r="TNS40" s="73"/>
      <c r="TNT40" s="73"/>
      <c r="TNU40" s="73"/>
      <c r="TNV40" s="73"/>
      <c r="TNW40" s="73"/>
      <c r="TNX40" s="73"/>
      <c r="TNY40" s="73"/>
      <c r="TNZ40" s="73"/>
      <c r="TOA40" s="73"/>
      <c r="TOB40" s="73"/>
      <c r="TOC40" s="73"/>
      <c r="TOD40" s="73"/>
      <c r="TOE40" s="73"/>
      <c r="TOF40" s="73"/>
      <c r="TOG40" s="73"/>
      <c r="TOH40" s="73"/>
      <c r="TOI40" s="73"/>
      <c r="TOJ40" s="73"/>
      <c r="TOK40" s="73"/>
      <c r="TOL40" s="73"/>
      <c r="TOM40" s="73"/>
      <c r="TON40" s="73"/>
      <c r="TOO40" s="73"/>
      <c r="TOP40" s="73"/>
      <c r="TOQ40" s="73"/>
      <c r="TOR40" s="73"/>
      <c r="TOS40" s="73"/>
      <c r="TOT40" s="73"/>
      <c r="TOU40" s="73"/>
      <c r="TOV40" s="73"/>
      <c r="TOW40" s="73"/>
      <c r="TOX40" s="73"/>
      <c r="TOY40" s="73"/>
      <c r="TOZ40" s="73"/>
      <c r="TPA40" s="73"/>
      <c r="TPB40" s="73"/>
      <c r="TPC40" s="73"/>
      <c r="TPD40" s="73"/>
      <c r="TPE40" s="73"/>
      <c r="TPF40" s="73"/>
      <c r="TPG40" s="73"/>
      <c r="TPH40" s="73"/>
      <c r="TPI40" s="73"/>
      <c r="TPJ40" s="73"/>
      <c r="TPK40" s="73"/>
      <c r="TPL40" s="73"/>
      <c r="TPM40" s="73"/>
      <c r="TPN40" s="73"/>
      <c r="TPO40" s="73"/>
      <c r="TPP40" s="73"/>
      <c r="TPQ40" s="73"/>
      <c r="TPR40" s="73"/>
      <c r="TPS40" s="73"/>
      <c r="TPT40" s="73"/>
      <c r="TPU40" s="73"/>
      <c r="TPV40" s="73"/>
      <c r="TPW40" s="73"/>
      <c r="TPX40" s="73"/>
      <c r="TPY40" s="73"/>
      <c r="TPZ40" s="73"/>
      <c r="TQA40" s="73"/>
      <c r="TQB40" s="73"/>
      <c r="TQC40" s="73"/>
      <c r="TQD40" s="73"/>
      <c r="TQE40" s="73"/>
      <c r="TQF40" s="73"/>
      <c r="TQG40" s="73"/>
      <c r="TQH40" s="73"/>
      <c r="TQI40" s="73"/>
      <c r="TQJ40" s="73"/>
      <c r="TQK40" s="73"/>
      <c r="TQL40" s="73"/>
      <c r="TQM40" s="73"/>
      <c r="TQN40" s="73"/>
      <c r="TQO40" s="73"/>
      <c r="TQP40" s="73"/>
      <c r="TQQ40" s="73"/>
      <c r="TQR40" s="73"/>
      <c r="TQS40" s="73"/>
      <c r="TQT40" s="73"/>
      <c r="TQU40" s="73"/>
      <c r="TQV40" s="73"/>
      <c r="TQW40" s="73"/>
      <c r="TQX40" s="73"/>
      <c r="TQY40" s="73"/>
      <c r="TQZ40" s="73"/>
      <c r="TRA40" s="73"/>
      <c r="TRB40" s="73"/>
      <c r="TRC40" s="73"/>
      <c r="TRD40" s="73"/>
      <c r="TRE40" s="73"/>
      <c r="TRF40" s="73"/>
      <c r="TRG40" s="73"/>
      <c r="TRH40" s="73"/>
      <c r="TRI40" s="73"/>
      <c r="TRJ40" s="73"/>
      <c r="TRK40" s="73"/>
      <c r="TRL40" s="73"/>
      <c r="TRM40" s="73"/>
      <c r="TRN40" s="73"/>
      <c r="TRO40" s="73"/>
      <c r="TRP40" s="73"/>
      <c r="TRQ40" s="73"/>
      <c r="TRR40" s="73"/>
      <c r="TRS40" s="73"/>
      <c r="TRT40" s="73"/>
      <c r="TRU40" s="73"/>
      <c r="TRV40" s="73"/>
      <c r="TRW40" s="73"/>
      <c r="TRX40" s="73"/>
      <c r="TRY40" s="73"/>
      <c r="TRZ40" s="73"/>
      <c r="TSA40" s="73"/>
      <c r="TSB40" s="73"/>
      <c r="TSC40" s="73"/>
      <c r="TSD40" s="73"/>
      <c r="TSE40" s="73"/>
      <c r="TSF40" s="73"/>
      <c r="TSG40" s="73"/>
      <c r="TSH40" s="73"/>
      <c r="TSI40" s="73"/>
      <c r="TSJ40" s="73"/>
      <c r="TSK40" s="73"/>
      <c r="TSL40" s="73"/>
      <c r="TSM40" s="73"/>
      <c r="TSN40" s="73"/>
      <c r="TSO40" s="73"/>
      <c r="TSP40" s="73"/>
      <c r="TSQ40" s="73"/>
      <c r="TSR40" s="73"/>
      <c r="TSS40" s="73"/>
      <c r="TST40" s="73"/>
      <c r="TSU40" s="73"/>
      <c r="TSV40" s="73"/>
      <c r="TSW40" s="73"/>
      <c r="TSX40" s="73"/>
      <c r="TSY40" s="73"/>
      <c r="TSZ40" s="73"/>
      <c r="TTA40" s="73"/>
      <c r="TTB40" s="73"/>
      <c r="TTC40" s="73"/>
      <c r="TTD40" s="73"/>
      <c r="TTE40" s="73"/>
      <c r="TTF40" s="73"/>
      <c r="TTG40" s="73"/>
      <c r="TTH40" s="73"/>
      <c r="TTI40" s="73"/>
      <c r="TTJ40" s="73"/>
      <c r="TTK40" s="73"/>
      <c r="TTL40" s="73"/>
      <c r="TTM40" s="73"/>
      <c r="TTN40" s="73"/>
      <c r="TTO40" s="73"/>
      <c r="TTP40" s="73"/>
      <c r="TTQ40" s="73"/>
      <c r="TTR40" s="73"/>
      <c r="TTS40" s="73"/>
      <c r="TTT40" s="73"/>
      <c r="TTU40" s="73"/>
      <c r="TTV40" s="73"/>
      <c r="TTW40" s="73"/>
      <c r="TTX40" s="73"/>
      <c r="TTY40" s="73"/>
      <c r="TTZ40" s="73"/>
      <c r="TUA40" s="73"/>
      <c r="TUB40" s="73"/>
      <c r="TUC40" s="73"/>
      <c r="TUD40" s="73"/>
      <c r="TUE40" s="73"/>
      <c r="TUF40" s="73"/>
      <c r="TUG40" s="73"/>
      <c r="TUH40" s="73"/>
      <c r="TUI40" s="73"/>
      <c r="TUJ40" s="73"/>
      <c r="TUK40" s="73"/>
      <c r="TUL40" s="73"/>
      <c r="TUM40" s="73"/>
      <c r="TUN40" s="73"/>
      <c r="TUO40" s="73"/>
      <c r="TUP40" s="73"/>
      <c r="TUQ40" s="73"/>
      <c r="TUR40" s="73"/>
      <c r="TUS40" s="73"/>
      <c r="TUT40" s="73"/>
      <c r="TUU40" s="73"/>
      <c r="TUV40" s="73"/>
      <c r="TUW40" s="73"/>
      <c r="TUX40" s="73"/>
      <c r="TUY40" s="73"/>
      <c r="TUZ40" s="73"/>
      <c r="TVA40" s="73"/>
      <c r="TVB40" s="73"/>
      <c r="TVC40" s="73"/>
      <c r="TVD40" s="73"/>
      <c r="TVE40" s="73"/>
      <c r="TVF40" s="73"/>
      <c r="TVG40" s="73"/>
      <c r="TVH40" s="73"/>
      <c r="TVI40" s="73"/>
      <c r="TVJ40" s="73"/>
      <c r="TVK40" s="73"/>
      <c r="TVL40" s="73"/>
      <c r="TVM40" s="73"/>
      <c r="TVN40" s="73"/>
      <c r="TVO40" s="73"/>
      <c r="TVP40" s="73"/>
      <c r="TVQ40" s="73"/>
      <c r="TVR40" s="73"/>
      <c r="TVS40" s="73"/>
      <c r="TVT40" s="73"/>
      <c r="TVU40" s="73"/>
      <c r="TVV40" s="73"/>
      <c r="TVW40" s="73"/>
      <c r="TVX40" s="73"/>
      <c r="TVY40" s="73"/>
      <c r="TVZ40" s="73"/>
      <c r="TWA40" s="73"/>
      <c r="TWB40" s="73"/>
      <c r="TWC40" s="73"/>
      <c r="TWD40" s="73"/>
      <c r="TWE40" s="73"/>
      <c r="TWF40" s="73"/>
      <c r="TWG40" s="73"/>
      <c r="TWH40" s="73"/>
      <c r="TWI40" s="73"/>
      <c r="TWJ40" s="73"/>
      <c r="TWK40" s="73"/>
      <c r="TWL40" s="73"/>
      <c r="TWM40" s="73"/>
      <c r="TWN40" s="73"/>
      <c r="TWO40" s="73"/>
      <c r="TWP40" s="73"/>
      <c r="TWQ40" s="73"/>
      <c r="TWR40" s="73"/>
      <c r="TWS40" s="73"/>
      <c r="TWT40" s="73"/>
      <c r="TWU40" s="73"/>
      <c r="TWV40" s="73"/>
      <c r="TWW40" s="73"/>
      <c r="TWX40" s="73"/>
      <c r="TWY40" s="73"/>
      <c r="TWZ40" s="73"/>
      <c r="TXA40" s="73"/>
      <c r="TXB40" s="73"/>
      <c r="TXC40" s="73"/>
      <c r="TXD40" s="73"/>
      <c r="TXE40" s="73"/>
      <c r="TXF40" s="73"/>
      <c r="TXG40" s="73"/>
      <c r="TXH40" s="73"/>
      <c r="TXI40" s="73"/>
      <c r="TXJ40" s="73"/>
      <c r="TXK40" s="73"/>
      <c r="TXL40" s="73"/>
      <c r="TXM40" s="73"/>
      <c r="TXN40" s="73"/>
      <c r="TXO40" s="73"/>
      <c r="TXP40" s="73"/>
      <c r="TXQ40" s="73"/>
      <c r="TXR40" s="73"/>
      <c r="TXS40" s="73"/>
      <c r="TXT40" s="73"/>
      <c r="TXU40" s="73"/>
      <c r="TXV40" s="73"/>
      <c r="TXW40" s="73"/>
      <c r="TXX40" s="73"/>
      <c r="TXY40" s="73"/>
      <c r="TXZ40" s="73"/>
      <c r="TYA40" s="73"/>
      <c r="TYB40" s="73"/>
      <c r="TYC40" s="73"/>
      <c r="TYD40" s="73"/>
      <c r="TYE40" s="73"/>
      <c r="TYF40" s="73"/>
      <c r="TYG40" s="73"/>
      <c r="TYH40" s="73"/>
      <c r="TYI40" s="73"/>
      <c r="TYJ40" s="73"/>
      <c r="TYK40" s="73"/>
      <c r="TYL40" s="73"/>
      <c r="TYM40" s="73"/>
      <c r="TYN40" s="73"/>
      <c r="TYO40" s="73"/>
      <c r="TYP40" s="73"/>
      <c r="TYQ40" s="73"/>
      <c r="TYR40" s="73"/>
      <c r="TYS40" s="73"/>
      <c r="TYT40" s="73"/>
      <c r="TYU40" s="73"/>
      <c r="TYV40" s="73"/>
      <c r="TYW40" s="73"/>
      <c r="TYX40" s="73"/>
      <c r="TYY40" s="73"/>
      <c r="TYZ40" s="73"/>
      <c r="TZA40" s="73"/>
      <c r="TZB40" s="73"/>
      <c r="TZC40" s="73"/>
      <c r="TZD40" s="73"/>
      <c r="TZE40" s="73"/>
      <c r="TZF40" s="73"/>
      <c r="TZG40" s="73"/>
      <c r="TZH40" s="73"/>
      <c r="TZI40" s="73"/>
      <c r="TZJ40" s="73"/>
      <c r="TZK40" s="73"/>
      <c r="TZL40" s="73"/>
      <c r="TZM40" s="73"/>
      <c r="TZN40" s="73"/>
      <c r="TZO40" s="73"/>
      <c r="TZP40" s="73"/>
      <c r="TZQ40" s="73"/>
      <c r="TZR40" s="73"/>
      <c r="TZS40" s="73"/>
      <c r="TZT40" s="73"/>
      <c r="TZU40" s="73"/>
      <c r="TZV40" s="73"/>
      <c r="TZW40" s="73"/>
      <c r="TZX40" s="73"/>
      <c r="TZY40" s="73"/>
      <c r="TZZ40" s="73"/>
      <c r="UAA40" s="73"/>
      <c r="UAB40" s="73"/>
      <c r="UAC40" s="73"/>
      <c r="UAD40" s="73"/>
      <c r="UAE40" s="73"/>
      <c r="UAF40" s="73"/>
      <c r="UAG40" s="73"/>
      <c r="UAH40" s="73"/>
      <c r="UAI40" s="73"/>
      <c r="UAJ40" s="73"/>
      <c r="UAK40" s="73"/>
      <c r="UAL40" s="73"/>
      <c r="UAM40" s="73"/>
      <c r="UAN40" s="73"/>
      <c r="UAO40" s="73"/>
      <c r="UAP40" s="73"/>
      <c r="UAQ40" s="73"/>
      <c r="UAR40" s="73"/>
      <c r="UAS40" s="73"/>
      <c r="UAT40" s="73"/>
      <c r="UAU40" s="73"/>
      <c r="UAV40" s="73"/>
      <c r="UAW40" s="73"/>
      <c r="UAX40" s="73"/>
      <c r="UAY40" s="73"/>
      <c r="UAZ40" s="73"/>
      <c r="UBA40" s="73"/>
      <c r="UBB40" s="73"/>
      <c r="UBC40" s="73"/>
      <c r="UBD40" s="73"/>
      <c r="UBE40" s="73"/>
      <c r="UBF40" s="73"/>
      <c r="UBG40" s="73"/>
      <c r="UBH40" s="73"/>
      <c r="UBI40" s="73"/>
      <c r="UBJ40" s="73"/>
      <c r="UBK40" s="73"/>
      <c r="UBL40" s="73"/>
      <c r="UBM40" s="73"/>
      <c r="UBN40" s="73"/>
      <c r="UBO40" s="73"/>
      <c r="UBP40" s="73"/>
      <c r="UBQ40" s="73"/>
      <c r="UBR40" s="73"/>
      <c r="UBS40" s="73"/>
      <c r="UBT40" s="73"/>
      <c r="UBU40" s="73"/>
      <c r="UBV40" s="73"/>
      <c r="UBW40" s="73"/>
      <c r="UBX40" s="73"/>
      <c r="UBY40" s="73"/>
      <c r="UBZ40" s="73"/>
      <c r="UCA40" s="73"/>
      <c r="UCB40" s="73"/>
      <c r="UCC40" s="73"/>
      <c r="UCD40" s="73"/>
      <c r="UCE40" s="73"/>
      <c r="UCF40" s="73"/>
      <c r="UCG40" s="73"/>
      <c r="UCH40" s="73"/>
      <c r="UCI40" s="73"/>
      <c r="UCJ40" s="73"/>
      <c r="UCK40" s="73"/>
      <c r="UCL40" s="73"/>
      <c r="UCM40" s="73"/>
      <c r="UCN40" s="73"/>
      <c r="UCO40" s="73"/>
      <c r="UCP40" s="73"/>
      <c r="UCQ40" s="73"/>
      <c r="UCR40" s="73"/>
      <c r="UCS40" s="73"/>
      <c r="UCT40" s="73"/>
      <c r="UCU40" s="73"/>
      <c r="UCV40" s="73"/>
      <c r="UCW40" s="73"/>
      <c r="UCX40" s="73"/>
      <c r="UCY40" s="73"/>
      <c r="UCZ40" s="73"/>
      <c r="UDA40" s="73"/>
      <c r="UDB40" s="73"/>
      <c r="UDC40" s="73"/>
      <c r="UDD40" s="73"/>
      <c r="UDE40" s="73"/>
      <c r="UDF40" s="73"/>
      <c r="UDG40" s="73"/>
      <c r="UDH40" s="73"/>
      <c r="UDI40" s="73"/>
      <c r="UDJ40" s="73"/>
      <c r="UDK40" s="73"/>
      <c r="UDL40" s="73"/>
      <c r="UDM40" s="73"/>
      <c r="UDN40" s="73"/>
      <c r="UDO40" s="73"/>
      <c r="UDP40" s="73"/>
      <c r="UDQ40" s="73"/>
      <c r="UDR40" s="73"/>
      <c r="UDS40" s="73"/>
      <c r="UDT40" s="73"/>
      <c r="UDU40" s="73"/>
      <c r="UDV40" s="73"/>
      <c r="UDW40" s="73"/>
      <c r="UDX40" s="73"/>
      <c r="UDY40" s="73"/>
      <c r="UDZ40" s="73"/>
      <c r="UEA40" s="73"/>
      <c r="UEB40" s="73"/>
      <c r="UEC40" s="73"/>
      <c r="UED40" s="73"/>
      <c r="UEE40" s="73"/>
      <c r="UEF40" s="73"/>
      <c r="UEG40" s="73"/>
      <c r="UEH40" s="73"/>
      <c r="UEI40" s="73"/>
      <c r="UEJ40" s="73"/>
      <c r="UEK40" s="73"/>
      <c r="UEL40" s="73"/>
      <c r="UEM40" s="73"/>
      <c r="UEN40" s="73"/>
      <c r="UEO40" s="73"/>
      <c r="UEP40" s="73"/>
      <c r="UEQ40" s="73"/>
      <c r="UER40" s="73"/>
      <c r="UES40" s="73"/>
      <c r="UET40" s="73"/>
      <c r="UEU40" s="73"/>
      <c r="UEV40" s="73"/>
      <c r="UEW40" s="73"/>
      <c r="UEX40" s="73"/>
      <c r="UEY40" s="73"/>
      <c r="UEZ40" s="73"/>
      <c r="UFA40" s="73"/>
      <c r="UFB40" s="73"/>
      <c r="UFC40" s="73"/>
      <c r="UFD40" s="73"/>
      <c r="UFE40" s="73"/>
      <c r="UFF40" s="73"/>
      <c r="UFG40" s="73"/>
      <c r="UFH40" s="73"/>
      <c r="UFI40" s="73"/>
      <c r="UFJ40" s="73"/>
      <c r="UFK40" s="73"/>
      <c r="UFL40" s="73"/>
      <c r="UFM40" s="73"/>
      <c r="UFN40" s="73"/>
      <c r="UFO40" s="73"/>
      <c r="UFP40" s="73"/>
      <c r="UFQ40" s="73"/>
      <c r="UFR40" s="73"/>
      <c r="UFS40" s="73"/>
      <c r="UFT40" s="73"/>
      <c r="UFU40" s="73"/>
      <c r="UFV40" s="73"/>
      <c r="UFW40" s="73"/>
      <c r="UFX40" s="73"/>
      <c r="UFY40" s="73"/>
      <c r="UFZ40" s="73"/>
      <c r="UGA40" s="73"/>
      <c r="UGB40" s="73"/>
      <c r="UGC40" s="73"/>
      <c r="UGD40" s="73"/>
      <c r="UGE40" s="73"/>
      <c r="UGF40" s="73"/>
      <c r="UGG40" s="73"/>
      <c r="UGH40" s="73"/>
      <c r="UGI40" s="73"/>
      <c r="UGJ40" s="73"/>
      <c r="UGK40" s="73"/>
      <c r="UGL40" s="73"/>
      <c r="UGM40" s="73"/>
      <c r="UGN40" s="73"/>
      <c r="UGO40" s="73"/>
      <c r="UGP40" s="73"/>
      <c r="UGQ40" s="73"/>
      <c r="UGR40" s="73"/>
      <c r="UGS40" s="73"/>
      <c r="UGT40" s="73"/>
      <c r="UGU40" s="73"/>
      <c r="UGV40" s="73"/>
      <c r="UGW40" s="73"/>
      <c r="UGX40" s="73"/>
      <c r="UGY40" s="73"/>
      <c r="UGZ40" s="73"/>
      <c r="UHA40" s="73"/>
      <c r="UHB40" s="73"/>
      <c r="UHC40" s="73"/>
      <c r="UHD40" s="73"/>
      <c r="UHE40" s="73"/>
      <c r="UHF40" s="73"/>
      <c r="UHG40" s="73"/>
      <c r="UHH40" s="73"/>
      <c r="UHI40" s="73"/>
      <c r="UHJ40" s="73"/>
      <c r="UHK40" s="73"/>
      <c r="UHL40" s="73"/>
      <c r="UHM40" s="73"/>
      <c r="UHN40" s="73"/>
      <c r="UHO40" s="73"/>
      <c r="UHP40" s="73"/>
      <c r="UHQ40" s="73"/>
      <c r="UHR40" s="73"/>
      <c r="UHS40" s="73"/>
      <c r="UHT40" s="73"/>
      <c r="UHU40" s="73"/>
      <c r="UHV40" s="73"/>
      <c r="UHW40" s="73"/>
      <c r="UHX40" s="73"/>
      <c r="UHY40" s="73"/>
      <c r="UHZ40" s="73"/>
      <c r="UIA40" s="73"/>
      <c r="UIB40" s="73"/>
      <c r="UIC40" s="73"/>
      <c r="UID40" s="73"/>
      <c r="UIE40" s="73"/>
      <c r="UIF40" s="73"/>
      <c r="UIG40" s="73"/>
      <c r="UIH40" s="73"/>
      <c r="UII40" s="73"/>
      <c r="UIJ40" s="73"/>
      <c r="UIK40" s="73"/>
      <c r="UIL40" s="73"/>
      <c r="UIM40" s="73"/>
      <c r="UIN40" s="73"/>
      <c r="UIO40" s="73"/>
      <c r="UIP40" s="73"/>
      <c r="UIQ40" s="73"/>
      <c r="UIR40" s="73"/>
      <c r="UIS40" s="73"/>
      <c r="UIT40" s="73"/>
      <c r="UIU40" s="73"/>
      <c r="UIV40" s="73"/>
      <c r="UIW40" s="73"/>
      <c r="UIX40" s="73"/>
      <c r="UIY40" s="73"/>
      <c r="UIZ40" s="73"/>
      <c r="UJA40" s="73"/>
      <c r="UJB40" s="73"/>
      <c r="UJC40" s="73"/>
      <c r="UJD40" s="73"/>
      <c r="UJE40" s="73"/>
      <c r="UJF40" s="73"/>
      <c r="UJG40" s="73"/>
      <c r="UJH40" s="73"/>
      <c r="UJI40" s="73"/>
      <c r="UJJ40" s="73"/>
      <c r="UJK40" s="73"/>
      <c r="UJL40" s="73"/>
      <c r="UJM40" s="73"/>
      <c r="UJN40" s="73"/>
      <c r="UJO40" s="73"/>
      <c r="UJP40" s="73"/>
      <c r="UJQ40" s="73"/>
      <c r="UJR40" s="73"/>
      <c r="UJS40" s="73"/>
      <c r="UJT40" s="73"/>
      <c r="UJU40" s="73"/>
      <c r="UJV40" s="73"/>
      <c r="UJW40" s="73"/>
      <c r="UJX40" s="73"/>
      <c r="UJY40" s="73"/>
      <c r="UJZ40" s="73"/>
      <c r="UKA40" s="73"/>
      <c r="UKB40" s="73"/>
      <c r="UKC40" s="73"/>
      <c r="UKD40" s="73"/>
      <c r="UKE40" s="73"/>
      <c r="UKF40" s="73"/>
      <c r="UKG40" s="73"/>
      <c r="UKH40" s="73"/>
      <c r="UKI40" s="73"/>
      <c r="UKJ40" s="73"/>
      <c r="UKK40" s="73"/>
      <c r="UKL40" s="73"/>
      <c r="UKM40" s="73"/>
      <c r="UKN40" s="73"/>
      <c r="UKO40" s="73"/>
      <c r="UKP40" s="73"/>
      <c r="UKQ40" s="73"/>
      <c r="UKR40" s="73"/>
      <c r="UKS40" s="73"/>
      <c r="UKT40" s="73"/>
      <c r="UKU40" s="73"/>
      <c r="UKV40" s="73"/>
      <c r="UKW40" s="73"/>
      <c r="UKX40" s="73"/>
      <c r="UKY40" s="73"/>
      <c r="UKZ40" s="73"/>
      <c r="ULA40" s="73"/>
      <c r="ULB40" s="73"/>
      <c r="ULC40" s="73"/>
      <c r="ULD40" s="73"/>
      <c r="ULE40" s="73"/>
      <c r="ULF40" s="73"/>
      <c r="ULG40" s="73"/>
      <c r="ULH40" s="73"/>
      <c r="ULI40" s="73"/>
      <c r="ULJ40" s="73"/>
      <c r="ULK40" s="73"/>
      <c r="ULL40" s="73"/>
      <c r="ULM40" s="73"/>
      <c r="ULN40" s="73"/>
      <c r="ULO40" s="73"/>
      <c r="ULP40" s="73"/>
      <c r="ULQ40" s="73"/>
      <c r="ULR40" s="73"/>
      <c r="ULS40" s="73"/>
      <c r="ULT40" s="73"/>
      <c r="ULU40" s="73"/>
      <c r="ULV40" s="73"/>
      <c r="ULW40" s="73"/>
      <c r="ULX40" s="73"/>
      <c r="ULY40" s="73"/>
      <c r="ULZ40" s="73"/>
      <c r="UMA40" s="73"/>
      <c r="UMB40" s="73"/>
      <c r="UMC40" s="73"/>
      <c r="UMD40" s="73"/>
      <c r="UME40" s="73"/>
      <c r="UMF40" s="73"/>
      <c r="UMG40" s="73"/>
      <c r="UMH40" s="73"/>
      <c r="UMI40" s="73"/>
      <c r="UMJ40" s="73"/>
      <c r="UMK40" s="73"/>
      <c r="UML40" s="73"/>
      <c r="UMM40" s="73"/>
      <c r="UMN40" s="73"/>
      <c r="UMO40" s="73"/>
      <c r="UMP40" s="73"/>
      <c r="UMQ40" s="73"/>
      <c r="UMR40" s="73"/>
      <c r="UMS40" s="73"/>
      <c r="UMT40" s="73"/>
      <c r="UMU40" s="73"/>
      <c r="UMV40" s="73"/>
      <c r="UMW40" s="73"/>
      <c r="UMX40" s="73"/>
      <c r="UMY40" s="73"/>
      <c r="UMZ40" s="73"/>
      <c r="UNA40" s="73"/>
      <c r="UNB40" s="73"/>
      <c r="UNC40" s="73"/>
      <c r="UND40" s="73"/>
      <c r="UNE40" s="73"/>
      <c r="UNF40" s="73"/>
      <c r="UNG40" s="73"/>
      <c r="UNH40" s="73"/>
      <c r="UNI40" s="73"/>
      <c r="UNJ40" s="73"/>
      <c r="UNK40" s="73"/>
      <c r="UNL40" s="73"/>
      <c r="UNM40" s="73"/>
      <c r="UNN40" s="73"/>
      <c r="UNO40" s="73"/>
      <c r="UNP40" s="73"/>
      <c r="UNQ40" s="73"/>
      <c r="UNR40" s="73"/>
      <c r="UNS40" s="73"/>
      <c r="UNT40" s="73"/>
      <c r="UNU40" s="73"/>
      <c r="UNV40" s="73"/>
      <c r="UNW40" s="73"/>
      <c r="UNX40" s="73"/>
      <c r="UNY40" s="73"/>
      <c r="UNZ40" s="73"/>
      <c r="UOA40" s="73"/>
      <c r="UOB40" s="73"/>
      <c r="UOC40" s="73"/>
      <c r="UOD40" s="73"/>
      <c r="UOE40" s="73"/>
      <c r="UOF40" s="73"/>
      <c r="UOG40" s="73"/>
      <c r="UOH40" s="73"/>
      <c r="UOI40" s="73"/>
      <c r="UOJ40" s="73"/>
      <c r="UOK40" s="73"/>
      <c r="UOL40" s="73"/>
      <c r="UOM40" s="73"/>
      <c r="UON40" s="73"/>
      <c r="UOO40" s="73"/>
      <c r="UOP40" s="73"/>
      <c r="UOQ40" s="73"/>
      <c r="UOR40" s="73"/>
      <c r="UOS40" s="73"/>
      <c r="UOT40" s="73"/>
      <c r="UOU40" s="73"/>
      <c r="UOV40" s="73"/>
      <c r="UOW40" s="73"/>
      <c r="UOX40" s="73"/>
      <c r="UOY40" s="73"/>
      <c r="UOZ40" s="73"/>
      <c r="UPA40" s="73"/>
      <c r="UPB40" s="73"/>
      <c r="UPC40" s="73"/>
      <c r="UPD40" s="73"/>
      <c r="UPE40" s="73"/>
      <c r="UPF40" s="73"/>
      <c r="UPG40" s="73"/>
      <c r="UPH40" s="73"/>
      <c r="UPI40" s="73"/>
      <c r="UPJ40" s="73"/>
      <c r="UPK40" s="73"/>
      <c r="UPL40" s="73"/>
      <c r="UPM40" s="73"/>
      <c r="UPN40" s="73"/>
      <c r="UPO40" s="73"/>
      <c r="UPP40" s="73"/>
      <c r="UPQ40" s="73"/>
      <c r="UPR40" s="73"/>
      <c r="UPS40" s="73"/>
      <c r="UPT40" s="73"/>
      <c r="UPU40" s="73"/>
      <c r="UPV40" s="73"/>
      <c r="UPW40" s="73"/>
      <c r="UPX40" s="73"/>
      <c r="UPY40" s="73"/>
      <c r="UPZ40" s="73"/>
      <c r="UQA40" s="73"/>
      <c r="UQB40" s="73"/>
      <c r="UQC40" s="73"/>
      <c r="UQD40" s="73"/>
      <c r="UQE40" s="73"/>
      <c r="UQF40" s="73"/>
      <c r="UQG40" s="73"/>
      <c r="UQH40" s="73"/>
      <c r="UQI40" s="73"/>
      <c r="UQJ40" s="73"/>
      <c r="UQK40" s="73"/>
      <c r="UQL40" s="73"/>
      <c r="UQM40" s="73"/>
      <c r="UQN40" s="73"/>
      <c r="UQO40" s="73"/>
      <c r="UQP40" s="73"/>
      <c r="UQQ40" s="73"/>
      <c r="UQR40" s="73"/>
      <c r="UQS40" s="73"/>
      <c r="UQT40" s="73"/>
      <c r="UQU40" s="73"/>
      <c r="UQV40" s="73"/>
      <c r="UQW40" s="73"/>
      <c r="UQX40" s="73"/>
      <c r="UQY40" s="73"/>
      <c r="UQZ40" s="73"/>
      <c r="URA40" s="73"/>
      <c r="URB40" s="73"/>
      <c r="URC40" s="73"/>
      <c r="URD40" s="73"/>
      <c r="URE40" s="73"/>
      <c r="URF40" s="73"/>
      <c r="URG40" s="73"/>
      <c r="URH40" s="73"/>
      <c r="URI40" s="73"/>
      <c r="URJ40" s="73"/>
      <c r="URK40" s="73"/>
      <c r="URL40" s="73"/>
      <c r="URM40" s="73"/>
      <c r="URN40" s="73"/>
      <c r="URO40" s="73"/>
      <c r="URP40" s="73"/>
      <c r="URQ40" s="73"/>
      <c r="URR40" s="73"/>
      <c r="URS40" s="73"/>
      <c r="URT40" s="73"/>
      <c r="URU40" s="73"/>
      <c r="URV40" s="73"/>
      <c r="URW40" s="73"/>
      <c r="URX40" s="73"/>
      <c r="URY40" s="73"/>
      <c r="URZ40" s="73"/>
      <c r="USA40" s="73"/>
      <c r="USB40" s="73"/>
      <c r="USC40" s="73"/>
      <c r="USD40" s="73"/>
      <c r="USE40" s="73"/>
      <c r="USF40" s="73"/>
      <c r="USG40" s="73"/>
      <c r="USH40" s="73"/>
      <c r="USI40" s="73"/>
      <c r="USJ40" s="73"/>
      <c r="USK40" s="73"/>
      <c r="USL40" s="73"/>
      <c r="USM40" s="73"/>
      <c r="USN40" s="73"/>
      <c r="USO40" s="73"/>
      <c r="USP40" s="73"/>
      <c r="USQ40" s="73"/>
      <c r="USR40" s="73"/>
      <c r="USS40" s="73"/>
      <c r="UST40" s="73"/>
      <c r="USU40" s="73"/>
      <c r="USV40" s="73"/>
      <c r="USW40" s="73"/>
      <c r="USX40" s="73"/>
      <c r="USY40" s="73"/>
      <c r="USZ40" s="73"/>
      <c r="UTA40" s="73"/>
      <c r="UTB40" s="73"/>
      <c r="UTC40" s="73"/>
      <c r="UTD40" s="73"/>
      <c r="UTE40" s="73"/>
      <c r="UTF40" s="73"/>
      <c r="UTG40" s="73"/>
      <c r="UTH40" s="73"/>
      <c r="UTI40" s="73"/>
      <c r="UTJ40" s="73"/>
      <c r="UTK40" s="73"/>
      <c r="UTL40" s="73"/>
      <c r="UTM40" s="73"/>
      <c r="UTN40" s="73"/>
      <c r="UTO40" s="73"/>
      <c r="UTP40" s="73"/>
      <c r="UTQ40" s="73"/>
      <c r="UTR40" s="73"/>
      <c r="UTS40" s="73"/>
      <c r="UTT40" s="73"/>
      <c r="UTU40" s="73"/>
      <c r="UTV40" s="73"/>
      <c r="UTW40" s="73"/>
      <c r="UTX40" s="73"/>
      <c r="UTY40" s="73"/>
      <c r="UTZ40" s="73"/>
      <c r="UUA40" s="73"/>
      <c r="UUB40" s="73"/>
      <c r="UUC40" s="73"/>
      <c r="UUD40" s="73"/>
      <c r="UUE40" s="73"/>
      <c r="UUF40" s="73"/>
      <c r="UUG40" s="73"/>
      <c r="UUH40" s="73"/>
      <c r="UUI40" s="73"/>
      <c r="UUJ40" s="73"/>
      <c r="UUK40" s="73"/>
      <c r="UUL40" s="73"/>
      <c r="UUM40" s="73"/>
      <c r="UUN40" s="73"/>
      <c r="UUO40" s="73"/>
      <c r="UUP40" s="73"/>
      <c r="UUQ40" s="73"/>
      <c r="UUR40" s="73"/>
      <c r="UUS40" s="73"/>
      <c r="UUT40" s="73"/>
      <c r="UUU40" s="73"/>
      <c r="UUV40" s="73"/>
      <c r="UUW40" s="73"/>
      <c r="UUX40" s="73"/>
      <c r="UUY40" s="73"/>
      <c r="UUZ40" s="73"/>
      <c r="UVA40" s="73"/>
      <c r="UVB40" s="73"/>
      <c r="UVC40" s="73"/>
      <c r="UVD40" s="73"/>
      <c r="UVE40" s="73"/>
      <c r="UVF40" s="73"/>
      <c r="UVG40" s="73"/>
      <c r="UVH40" s="73"/>
      <c r="UVI40" s="73"/>
      <c r="UVJ40" s="73"/>
      <c r="UVK40" s="73"/>
      <c r="UVL40" s="73"/>
      <c r="UVM40" s="73"/>
      <c r="UVN40" s="73"/>
      <c r="UVO40" s="73"/>
      <c r="UVP40" s="73"/>
      <c r="UVQ40" s="73"/>
      <c r="UVR40" s="73"/>
      <c r="UVS40" s="73"/>
      <c r="UVT40" s="73"/>
      <c r="UVU40" s="73"/>
      <c r="UVV40" s="73"/>
      <c r="UVW40" s="73"/>
      <c r="UVX40" s="73"/>
      <c r="UVY40" s="73"/>
      <c r="UVZ40" s="73"/>
      <c r="UWA40" s="73"/>
      <c r="UWB40" s="73"/>
      <c r="UWC40" s="73"/>
      <c r="UWD40" s="73"/>
      <c r="UWE40" s="73"/>
      <c r="UWF40" s="73"/>
      <c r="UWG40" s="73"/>
      <c r="UWH40" s="73"/>
      <c r="UWI40" s="73"/>
      <c r="UWJ40" s="73"/>
      <c r="UWK40" s="73"/>
      <c r="UWL40" s="73"/>
      <c r="UWM40" s="73"/>
      <c r="UWN40" s="73"/>
      <c r="UWO40" s="73"/>
      <c r="UWP40" s="73"/>
      <c r="UWQ40" s="73"/>
      <c r="UWR40" s="73"/>
      <c r="UWS40" s="73"/>
      <c r="UWT40" s="73"/>
      <c r="UWU40" s="73"/>
      <c r="UWV40" s="73"/>
      <c r="UWW40" s="73"/>
      <c r="UWX40" s="73"/>
      <c r="UWY40" s="73"/>
      <c r="UWZ40" s="73"/>
      <c r="UXA40" s="73"/>
      <c r="UXB40" s="73"/>
      <c r="UXC40" s="73"/>
      <c r="UXD40" s="73"/>
      <c r="UXE40" s="73"/>
      <c r="UXF40" s="73"/>
      <c r="UXG40" s="73"/>
      <c r="UXH40" s="73"/>
      <c r="UXI40" s="73"/>
      <c r="UXJ40" s="73"/>
      <c r="UXK40" s="73"/>
      <c r="UXL40" s="73"/>
      <c r="UXM40" s="73"/>
      <c r="UXN40" s="73"/>
      <c r="UXO40" s="73"/>
      <c r="UXP40" s="73"/>
      <c r="UXQ40" s="73"/>
      <c r="UXR40" s="73"/>
      <c r="UXS40" s="73"/>
      <c r="UXT40" s="73"/>
      <c r="UXU40" s="73"/>
      <c r="UXV40" s="73"/>
      <c r="UXW40" s="73"/>
      <c r="UXX40" s="73"/>
      <c r="UXY40" s="73"/>
      <c r="UXZ40" s="73"/>
      <c r="UYA40" s="73"/>
      <c r="UYB40" s="73"/>
      <c r="UYC40" s="73"/>
      <c r="UYD40" s="73"/>
      <c r="UYE40" s="73"/>
      <c r="UYF40" s="73"/>
      <c r="UYG40" s="73"/>
      <c r="UYH40" s="73"/>
      <c r="UYI40" s="73"/>
      <c r="UYJ40" s="73"/>
      <c r="UYK40" s="73"/>
      <c r="UYL40" s="73"/>
      <c r="UYM40" s="73"/>
      <c r="UYN40" s="73"/>
      <c r="UYO40" s="73"/>
      <c r="UYP40" s="73"/>
      <c r="UYQ40" s="73"/>
      <c r="UYR40" s="73"/>
      <c r="UYS40" s="73"/>
      <c r="UYT40" s="73"/>
      <c r="UYU40" s="73"/>
      <c r="UYV40" s="73"/>
      <c r="UYW40" s="73"/>
      <c r="UYX40" s="73"/>
      <c r="UYY40" s="73"/>
      <c r="UYZ40" s="73"/>
      <c r="UZA40" s="73"/>
      <c r="UZB40" s="73"/>
      <c r="UZC40" s="73"/>
      <c r="UZD40" s="73"/>
      <c r="UZE40" s="73"/>
      <c r="UZF40" s="73"/>
      <c r="UZG40" s="73"/>
      <c r="UZH40" s="73"/>
      <c r="UZI40" s="73"/>
      <c r="UZJ40" s="73"/>
      <c r="UZK40" s="73"/>
      <c r="UZL40" s="73"/>
      <c r="UZM40" s="73"/>
      <c r="UZN40" s="73"/>
      <c r="UZO40" s="73"/>
      <c r="UZP40" s="73"/>
      <c r="UZQ40" s="73"/>
      <c r="UZR40" s="73"/>
      <c r="UZS40" s="73"/>
      <c r="UZT40" s="73"/>
      <c r="UZU40" s="73"/>
      <c r="UZV40" s="73"/>
      <c r="UZW40" s="73"/>
      <c r="UZX40" s="73"/>
      <c r="UZY40" s="73"/>
      <c r="UZZ40" s="73"/>
      <c r="VAA40" s="73"/>
      <c r="VAB40" s="73"/>
      <c r="VAC40" s="73"/>
      <c r="VAD40" s="73"/>
      <c r="VAE40" s="73"/>
      <c r="VAF40" s="73"/>
      <c r="VAG40" s="73"/>
      <c r="VAH40" s="73"/>
      <c r="VAI40" s="73"/>
      <c r="VAJ40" s="73"/>
      <c r="VAK40" s="73"/>
      <c r="VAL40" s="73"/>
      <c r="VAM40" s="73"/>
      <c r="VAN40" s="73"/>
      <c r="VAO40" s="73"/>
      <c r="VAP40" s="73"/>
      <c r="VAQ40" s="73"/>
      <c r="VAR40" s="73"/>
      <c r="VAS40" s="73"/>
      <c r="VAT40" s="73"/>
      <c r="VAU40" s="73"/>
      <c r="VAV40" s="73"/>
      <c r="VAW40" s="73"/>
      <c r="VAX40" s="73"/>
      <c r="VAY40" s="73"/>
      <c r="VAZ40" s="73"/>
      <c r="VBA40" s="73"/>
      <c r="VBB40" s="73"/>
      <c r="VBC40" s="73"/>
      <c r="VBD40" s="73"/>
      <c r="VBE40" s="73"/>
      <c r="VBF40" s="73"/>
      <c r="VBG40" s="73"/>
      <c r="VBH40" s="73"/>
      <c r="VBI40" s="73"/>
      <c r="VBJ40" s="73"/>
      <c r="VBK40" s="73"/>
      <c r="VBL40" s="73"/>
      <c r="VBM40" s="73"/>
      <c r="VBN40" s="73"/>
      <c r="VBO40" s="73"/>
      <c r="VBP40" s="73"/>
      <c r="VBQ40" s="73"/>
      <c r="VBR40" s="73"/>
      <c r="VBS40" s="73"/>
      <c r="VBT40" s="73"/>
      <c r="VBU40" s="73"/>
      <c r="VBV40" s="73"/>
      <c r="VBW40" s="73"/>
      <c r="VBX40" s="73"/>
      <c r="VBY40" s="73"/>
      <c r="VBZ40" s="73"/>
      <c r="VCA40" s="73"/>
      <c r="VCB40" s="73"/>
      <c r="VCC40" s="73"/>
      <c r="VCD40" s="73"/>
      <c r="VCE40" s="73"/>
      <c r="VCF40" s="73"/>
      <c r="VCG40" s="73"/>
      <c r="VCH40" s="73"/>
      <c r="VCI40" s="73"/>
      <c r="VCJ40" s="73"/>
      <c r="VCK40" s="73"/>
      <c r="VCL40" s="73"/>
      <c r="VCM40" s="73"/>
      <c r="VCN40" s="73"/>
      <c r="VCO40" s="73"/>
      <c r="VCP40" s="73"/>
      <c r="VCQ40" s="73"/>
      <c r="VCR40" s="73"/>
      <c r="VCS40" s="73"/>
      <c r="VCT40" s="73"/>
      <c r="VCU40" s="73"/>
      <c r="VCV40" s="73"/>
      <c r="VCW40" s="73"/>
      <c r="VCX40" s="73"/>
      <c r="VCY40" s="73"/>
      <c r="VCZ40" s="73"/>
      <c r="VDA40" s="73"/>
      <c r="VDB40" s="73"/>
      <c r="VDC40" s="73"/>
      <c r="VDD40" s="73"/>
      <c r="VDE40" s="73"/>
      <c r="VDF40" s="73"/>
      <c r="VDG40" s="73"/>
      <c r="VDH40" s="73"/>
      <c r="VDI40" s="73"/>
      <c r="VDJ40" s="73"/>
      <c r="VDK40" s="73"/>
      <c r="VDL40" s="73"/>
      <c r="VDM40" s="73"/>
      <c r="VDN40" s="73"/>
      <c r="VDO40" s="73"/>
      <c r="VDP40" s="73"/>
      <c r="VDQ40" s="73"/>
      <c r="VDR40" s="73"/>
      <c r="VDS40" s="73"/>
      <c r="VDT40" s="73"/>
      <c r="VDU40" s="73"/>
      <c r="VDV40" s="73"/>
      <c r="VDW40" s="73"/>
      <c r="VDX40" s="73"/>
      <c r="VDY40" s="73"/>
      <c r="VDZ40" s="73"/>
      <c r="VEA40" s="73"/>
      <c r="VEB40" s="73"/>
      <c r="VEC40" s="73"/>
      <c r="VED40" s="73"/>
      <c r="VEE40" s="73"/>
      <c r="VEF40" s="73"/>
      <c r="VEG40" s="73"/>
      <c r="VEH40" s="73"/>
      <c r="VEI40" s="73"/>
      <c r="VEJ40" s="73"/>
      <c r="VEK40" s="73"/>
      <c r="VEL40" s="73"/>
      <c r="VEM40" s="73"/>
      <c r="VEN40" s="73"/>
      <c r="VEO40" s="73"/>
      <c r="VEP40" s="73"/>
      <c r="VEQ40" s="73"/>
      <c r="VER40" s="73"/>
      <c r="VES40" s="73"/>
      <c r="VET40" s="73"/>
      <c r="VEU40" s="73"/>
      <c r="VEV40" s="73"/>
      <c r="VEW40" s="73"/>
      <c r="VEX40" s="73"/>
      <c r="VEY40" s="73"/>
      <c r="VEZ40" s="73"/>
      <c r="VFA40" s="73"/>
      <c r="VFB40" s="73"/>
      <c r="VFC40" s="73"/>
      <c r="VFD40" s="73"/>
      <c r="VFE40" s="73"/>
      <c r="VFF40" s="73"/>
      <c r="VFG40" s="73"/>
      <c r="VFH40" s="73"/>
      <c r="VFI40" s="73"/>
      <c r="VFJ40" s="73"/>
      <c r="VFK40" s="73"/>
      <c r="VFL40" s="73"/>
      <c r="VFM40" s="73"/>
      <c r="VFN40" s="73"/>
      <c r="VFO40" s="73"/>
      <c r="VFP40" s="73"/>
      <c r="VFQ40" s="73"/>
      <c r="VFR40" s="73"/>
      <c r="VFS40" s="73"/>
      <c r="VFT40" s="73"/>
      <c r="VFU40" s="73"/>
      <c r="VFV40" s="73"/>
      <c r="VFW40" s="73"/>
      <c r="VFX40" s="73"/>
      <c r="VFY40" s="73"/>
      <c r="VFZ40" s="73"/>
      <c r="VGA40" s="73"/>
      <c r="VGB40" s="73"/>
      <c r="VGC40" s="73"/>
      <c r="VGD40" s="73"/>
      <c r="VGE40" s="73"/>
      <c r="VGF40" s="73"/>
      <c r="VGG40" s="73"/>
      <c r="VGH40" s="73"/>
      <c r="VGI40" s="73"/>
      <c r="VGJ40" s="73"/>
      <c r="VGK40" s="73"/>
      <c r="VGL40" s="73"/>
      <c r="VGM40" s="73"/>
      <c r="VGN40" s="73"/>
      <c r="VGO40" s="73"/>
      <c r="VGP40" s="73"/>
      <c r="VGQ40" s="73"/>
      <c r="VGR40" s="73"/>
      <c r="VGS40" s="73"/>
      <c r="VGT40" s="73"/>
      <c r="VGU40" s="73"/>
      <c r="VGV40" s="73"/>
      <c r="VGW40" s="73"/>
      <c r="VGX40" s="73"/>
      <c r="VGY40" s="73"/>
      <c r="VGZ40" s="73"/>
      <c r="VHA40" s="73"/>
      <c r="VHB40" s="73"/>
      <c r="VHC40" s="73"/>
      <c r="VHD40" s="73"/>
      <c r="VHE40" s="73"/>
      <c r="VHF40" s="73"/>
      <c r="VHG40" s="73"/>
      <c r="VHH40" s="73"/>
      <c r="VHI40" s="73"/>
      <c r="VHJ40" s="73"/>
      <c r="VHK40" s="73"/>
      <c r="VHL40" s="73"/>
      <c r="VHM40" s="73"/>
      <c r="VHN40" s="73"/>
      <c r="VHO40" s="73"/>
      <c r="VHP40" s="73"/>
      <c r="VHQ40" s="73"/>
      <c r="VHR40" s="73"/>
      <c r="VHS40" s="73"/>
      <c r="VHT40" s="73"/>
      <c r="VHU40" s="73"/>
      <c r="VHV40" s="73"/>
      <c r="VHW40" s="73"/>
      <c r="VHX40" s="73"/>
      <c r="VHY40" s="73"/>
      <c r="VHZ40" s="73"/>
      <c r="VIA40" s="73"/>
      <c r="VIB40" s="73"/>
      <c r="VIC40" s="73"/>
      <c r="VID40" s="73"/>
      <c r="VIE40" s="73"/>
      <c r="VIF40" s="73"/>
      <c r="VIG40" s="73"/>
      <c r="VIH40" s="73"/>
      <c r="VII40" s="73"/>
      <c r="VIJ40" s="73"/>
      <c r="VIK40" s="73"/>
      <c r="VIL40" s="73"/>
      <c r="VIM40" s="73"/>
      <c r="VIN40" s="73"/>
      <c r="VIO40" s="73"/>
      <c r="VIP40" s="73"/>
      <c r="VIQ40" s="73"/>
      <c r="VIR40" s="73"/>
      <c r="VIS40" s="73"/>
      <c r="VIT40" s="73"/>
      <c r="VIU40" s="73"/>
      <c r="VIV40" s="73"/>
      <c r="VIW40" s="73"/>
      <c r="VIX40" s="73"/>
      <c r="VIY40" s="73"/>
      <c r="VIZ40" s="73"/>
      <c r="VJA40" s="73"/>
      <c r="VJB40" s="73"/>
      <c r="VJC40" s="73"/>
      <c r="VJD40" s="73"/>
      <c r="VJE40" s="73"/>
      <c r="VJF40" s="73"/>
      <c r="VJG40" s="73"/>
      <c r="VJH40" s="73"/>
      <c r="VJI40" s="73"/>
      <c r="VJJ40" s="73"/>
      <c r="VJK40" s="73"/>
      <c r="VJL40" s="73"/>
      <c r="VJM40" s="73"/>
      <c r="VJN40" s="73"/>
      <c r="VJO40" s="73"/>
      <c r="VJP40" s="73"/>
      <c r="VJQ40" s="73"/>
      <c r="VJR40" s="73"/>
      <c r="VJS40" s="73"/>
      <c r="VJT40" s="73"/>
      <c r="VJU40" s="73"/>
      <c r="VJV40" s="73"/>
      <c r="VJW40" s="73"/>
      <c r="VJX40" s="73"/>
      <c r="VJY40" s="73"/>
      <c r="VJZ40" s="73"/>
      <c r="VKA40" s="73"/>
      <c r="VKB40" s="73"/>
      <c r="VKC40" s="73"/>
      <c r="VKD40" s="73"/>
      <c r="VKE40" s="73"/>
      <c r="VKF40" s="73"/>
      <c r="VKG40" s="73"/>
      <c r="VKH40" s="73"/>
      <c r="VKI40" s="73"/>
      <c r="VKJ40" s="73"/>
      <c r="VKK40" s="73"/>
      <c r="VKL40" s="73"/>
      <c r="VKM40" s="73"/>
      <c r="VKN40" s="73"/>
      <c r="VKO40" s="73"/>
      <c r="VKP40" s="73"/>
      <c r="VKQ40" s="73"/>
      <c r="VKR40" s="73"/>
      <c r="VKS40" s="73"/>
      <c r="VKT40" s="73"/>
      <c r="VKU40" s="73"/>
      <c r="VKV40" s="73"/>
      <c r="VKW40" s="73"/>
      <c r="VKX40" s="73"/>
      <c r="VKY40" s="73"/>
      <c r="VKZ40" s="73"/>
      <c r="VLA40" s="73"/>
      <c r="VLB40" s="73"/>
      <c r="VLC40" s="73"/>
      <c r="VLD40" s="73"/>
      <c r="VLE40" s="73"/>
      <c r="VLF40" s="73"/>
      <c r="VLG40" s="73"/>
      <c r="VLH40" s="73"/>
      <c r="VLI40" s="73"/>
      <c r="VLJ40" s="73"/>
      <c r="VLK40" s="73"/>
      <c r="VLL40" s="73"/>
      <c r="VLM40" s="73"/>
      <c r="VLN40" s="73"/>
      <c r="VLO40" s="73"/>
      <c r="VLP40" s="73"/>
      <c r="VLQ40" s="73"/>
      <c r="VLR40" s="73"/>
      <c r="VLS40" s="73"/>
      <c r="VLT40" s="73"/>
      <c r="VLU40" s="73"/>
      <c r="VLV40" s="73"/>
      <c r="VLW40" s="73"/>
      <c r="VLX40" s="73"/>
      <c r="VLY40" s="73"/>
      <c r="VLZ40" s="73"/>
      <c r="VMA40" s="73"/>
      <c r="VMB40" s="73"/>
      <c r="VMC40" s="73"/>
      <c r="VMD40" s="73"/>
      <c r="VME40" s="73"/>
      <c r="VMF40" s="73"/>
      <c r="VMG40" s="73"/>
      <c r="VMH40" s="73"/>
      <c r="VMI40" s="73"/>
      <c r="VMJ40" s="73"/>
      <c r="VMK40" s="73"/>
      <c r="VML40" s="73"/>
      <c r="VMM40" s="73"/>
      <c r="VMN40" s="73"/>
      <c r="VMO40" s="73"/>
      <c r="VMP40" s="73"/>
      <c r="VMQ40" s="73"/>
      <c r="VMR40" s="73"/>
      <c r="VMS40" s="73"/>
      <c r="VMT40" s="73"/>
      <c r="VMU40" s="73"/>
      <c r="VMV40" s="73"/>
      <c r="VMW40" s="73"/>
      <c r="VMX40" s="73"/>
      <c r="VMY40" s="73"/>
      <c r="VMZ40" s="73"/>
      <c r="VNA40" s="73"/>
      <c r="VNB40" s="73"/>
      <c r="VNC40" s="73"/>
      <c r="VND40" s="73"/>
      <c r="VNE40" s="73"/>
      <c r="VNF40" s="73"/>
      <c r="VNG40" s="73"/>
      <c r="VNH40" s="73"/>
      <c r="VNI40" s="73"/>
      <c r="VNJ40" s="73"/>
      <c r="VNK40" s="73"/>
      <c r="VNL40" s="73"/>
      <c r="VNM40" s="73"/>
      <c r="VNN40" s="73"/>
      <c r="VNO40" s="73"/>
      <c r="VNP40" s="73"/>
      <c r="VNQ40" s="73"/>
      <c r="VNR40" s="73"/>
      <c r="VNS40" s="73"/>
      <c r="VNT40" s="73"/>
      <c r="VNU40" s="73"/>
      <c r="VNV40" s="73"/>
      <c r="VNW40" s="73"/>
      <c r="VNX40" s="73"/>
      <c r="VNY40" s="73"/>
      <c r="VNZ40" s="73"/>
      <c r="VOA40" s="73"/>
      <c r="VOB40" s="73"/>
      <c r="VOC40" s="73"/>
      <c r="VOD40" s="73"/>
      <c r="VOE40" s="73"/>
      <c r="VOF40" s="73"/>
      <c r="VOG40" s="73"/>
      <c r="VOH40" s="73"/>
      <c r="VOI40" s="73"/>
      <c r="VOJ40" s="73"/>
      <c r="VOK40" s="73"/>
      <c r="VOL40" s="73"/>
      <c r="VOM40" s="73"/>
      <c r="VON40" s="73"/>
      <c r="VOO40" s="73"/>
      <c r="VOP40" s="73"/>
      <c r="VOQ40" s="73"/>
      <c r="VOR40" s="73"/>
      <c r="VOS40" s="73"/>
      <c r="VOT40" s="73"/>
      <c r="VOU40" s="73"/>
      <c r="VOV40" s="73"/>
      <c r="VOW40" s="73"/>
      <c r="VOX40" s="73"/>
      <c r="VOY40" s="73"/>
      <c r="VOZ40" s="73"/>
      <c r="VPA40" s="73"/>
      <c r="VPB40" s="73"/>
      <c r="VPC40" s="73"/>
      <c r="VPD40" s="73"/>
      <c r="VPE40" s="73"/>
      <c r="VPF40" s="73"/>
      <c r="VPG40" s="73"/>
      <c r="VPH40" s="73"/>
      <c r="VPI40" s="73"/>
      <c r="VPJ40" s="73"/>
      <c r="VPK40" s="73"/>
      <c r="VPL40" s="73"/>
      <c r="VPM40" s="73"/>
      <c r="VPN40" s="73"/>
      <c r="VPO40" s="73"/>
      <c r="VPP40" s="73"/>
      <c r="VPQ40" s="73"/>
      <c r="VPR40" s="73"/>
      <c r="VPS40" s="73"/>
      <c r="VPT40" s="73"/>
      <c r="VPU40" s="73"/>
      <c r="VPV40" s="73"/>
      <c r="VPW40" s="73"/>
      <c r="VPX40" s="73"/>
      <c r="VPY40" s="73"/>
      <c r="VPZ40" s="73"/>
      <c r="VQA40" s="73"/>
      <c r="VQB40" s="73"/>
      <c r="VQC40" s="73"/>
      <c r="VQD40" s="73"/>
      <c r="VQE40" s="73"/>
      <c r="VQF40" s="73"/>
      <c r="VQG40" s="73"/>
      <c r="VQH40" s="73"/>
      <c r="VQI40" s="73"/>
      <c r="VQJ40" s="73"/>
      <c r="VQK40" s="73"/>
      <c r="VQL40" s="73"/>
      <c r="VQM40" s="73"/>
      <c r="VQN40" s="73"/>
      <c r="VQO40" s="73"/>
      <c r="VQP40" s="73"/>
      <c r="VQQ40" s="73"/>
      <c r="VQR40" s="73"/>
      <c r="VQS40" s="73"/>
      <c r="VQT40" s="73"/>
      <c r="VQU40" s="73"/>
      <c r="VQV40" s="73"/>
      <c r="VQW40" s="73"/>
      <c r="VQX40" s="73"/>
      <c r="VQY40" s="73"/>
      <c r="VQZ40" s="73"/>
      <c r="VRA40" s="73"/>
      <c r="VRB40" s="73"/>
      <c r="VRC40" s="73"/>
      <c r="VRD40" s="73"/>
      <c r="VRE40" s="73"/>
      <c r="VRF40" s="73"/>
      <c r="VRG40" s="73"/>
      <c r="VRH40" s="73"/>
      <c r="VRI40" s="73"/>
      <c r="VRJ40" s="73"/>
      <c r="VRK40" s="73"/>
      <c r="VRL40" s="73"/>
      <c r="VRM40" s="73"/>
      <c r="VRN40" s="73"/>
      <c r="VRO40" s="73"/>
      <c r="VRP40" s="73"/>
      <c r="VRQ40" s="73"/>
      <c r="VRR40" s="73"/>
      <c r="VRS40" s="73"/>
      <c r="VRT40" s="73"/>
      <c r="VRU40" s="73"/>
      <c r="VRV40" s="73"/>
      <c r="VRW40" s="73"/>
      <c r="VRX40" s="73"/>
      <c r="VRY40" s="73"/>
      <c r="VRZ40" s="73"/>
      <c r="VSA40" s="73"/>
      <c r="VSB40" s="73"/>
      <c r="VSC40" s="73"/>
      <c r="VSD40" s="73"/>
      <c r="VSE40" s="73"/>
      <c r="VSF40" s="73"/>
      <c r="VSG40" s="73"/>
      <c r="VSH40" s="73"/>
      <c r="VSI40" s="73"/>
      <c r="VSJ40" s="73"/>
      <c r="VSK40" s="73"/>
      <c r="VSL40" s="73"/>
      <c r="VSM40" s="73"/>
      <c r="VSN40" s="73"/>
      <c r="VSO40" s="73"/>
      <c r="VSP40" s="73"/>
      <c r="VSQ40" s="73"/>
      <c r="VSR40" s="73"/>
      <c r="VSS40" s="73"/>
      <c r="VST40" s="73"/>
      <c r="VSU40" s="73"/>
      <c r="VSV40" s="73"/>
      <c r="VSW40" s="73"/>
      <c r="VSX40" s="73"/>
      <c r="VSY40" s="73"/>
      <c r="VSZ40" s="73"/>
      <c r="VTA40" s="73"/>
      <c r="VTB40" s="73"/>
      <c r="VTC40" s="73"/>
      <c r="VTD40" s="73"/>
      <c r="VTE40" s="73"/>
      <c r="VTF40" s="73"/>
      <c r="VTG40" s="73"/>
      <c r="VTH40" s="73"/>
      <c r="VTI40" s="73"/>
      <c r="VTJ40" s="73"/>
      <c r="VTK40" s="73"/>
      <c r="VTL40" s="73"/>
      <c r="VTM40" s="73"/>
      <c r="VTN40" s="73"/>
      <c r="VTO40" s="73"/>
      <c r="VTP40" s="73"/>
      <c r="VTQ40" s="73"/>
      <c r="VTR40" s="73"/>
      <c r="VTS40" s="73"/>
      <c r="VTT40" s="73"/>
      <c r="VTU40" s="73"/>
      <c r="VTV40" s="73"/>
      <c r="VTW40" s="73"/>
      <c r="VTX40" s="73"/>
      <c r="VTY40" s="73"/>
      <c r="VTZ40" s="73"/>
      <c r="VUA40" s="73"/>
      <c r="VUB40" s="73"/>
      <c r="VUC40" s="73"/>
      <c r="VUD40" s="73"/>
      <c r="VUE40" s="73"/>
      <c r="VUF40" s="73"/>
      <c r="VUG40" s="73"/>
      <c r="VUH40" s="73"/>
      <c r="VUI40" s="73"/>
      <c r="VUJ40" s="73"/>
      <c r="VUK40" s="73"/>
      <c r="VUL40" s="73"/>
      <c r="VUM40" s="73"/>
      <c r="VUN40" s="73"/>
      <c r="VUO40" s="73"/>
      <c r="VUP40" s="73"/>
      <c r="VUQ40" s="73"/>
      <c r="VUR40" s="73"/>
      <c r="VUS40" s="73"/>
      <c r="VUT40" s="73"/>
      <c r="VUU40" s="73"/>
      <c r="VUV40" s="73"/>
      <c r="VUW40" s="73"/>
      <c r="VUX40" s="73"/>
      <c r="VUY40" s="73"/>
      <c r="VUZ40" s="73"/>
      <c r="VVA40" s="73"/>
      <c r="VVB40" s="73"/>
      <c r="VVC40" s="73"/>
      <c r="VVD40" s="73"/>
      <c r="VVE40" s="73"/>
      <c r="VVF40" s="73"/>
      <c r="VVG40" s="73"/>
      <c r="VVH40" s="73"/>
      <c r="VVI40" s="73"/>
      <c r="VVJ40" s="73"/>
      <c r="VVK40" s="73"/>
      <c r="VVL40" s="73"/>
      <c r="VVM40" s="73"/>
      <c r="VVN40" s="73"/>
      <c r="VVO40" s="73"/>
      <c r="VVP40" s="73"/>
      <c r="VVQ40" s="73"/>
      <c r="VVR40" s="73"/>
      <c r="VVS40" s="73"/>
      <c r="VVT40" s="73"/>
      <c r="VVU40" s="73"/>
      <c r="VVV40" s="73"/>
      <c r="VVW40" s="73"/>
      <c r="VVX40" s="73"/>
      <c r="VVY40" s="73"/>
      <c r="VVZ40" s="73"/>
      <c r="VWA40" s="73"/>
      <c r="VWB40" s="73"/>
      <c r="VWC40" s="73"/>
      <c r="VWD40" s="73"/>
      <c r="VWE40" s="73"/>
      <c r="VWF40" s="73"/>
      <c r="VWG40" s="73"/>
      <c r="VWH40" s="73"/>
      <c r="VWI40" s="73"/>
      <c r="VWJ40" s="73"/>
      <c r="VWK40" s="73"/>
      <c r="VWL40" s="73"/>
      <c r="VWM40" s="73"/>
      <c r="VWN40" s="73"/>
      <c r="VWO40" s="73"/>
      <c r="VWP40" s="73"/>
      <c r="VWQ40" s="73"/>
      <c r="VWR40" s="73"/>
      <c r="VWS40" s="73"/>
      <c r="VWT40" s="73"/>
      <c r="VWU40" s="73"/>
      <c r="VWV40" s="73"/>
      <c r="VWW40" s="73"/>
      <c r="VWX40" s="73"/>
      <c r="VWY40" s="73"/>
      <c r="VWZ40" s="73"/>
      <c r="VXA40" s="73"/>
      <c r="VXB40" s="73"/>
      <c r="VXC40" s="73"/>
      <c r="VXD40" s="73"/>
      <c r="VXE40" s="73"/>
      <c r="VXF40" s="73"/>
      <c r="VXG40" s="73"/>
      <c r="VXH40" s="73"/>
      <c r="VXI40" s="73"/>
      <c r="VXJ40" s="73"/>
      <c r="VXK40" s="73"/>
      <c r="VXL40" s="73"/>
      <c r="VXM40" s="73"/>
      <c r="VXN40" s="73"/>
      <c r="VXO40" s="73"/>
      <c r="VXP40" s="73"/>
      <c r="VXQ40" s="73"/>
      <c r="VXR40" s="73"/>
      <c r="VXS40" s="73"/>
      <c r="VXT40" s="73"/>
      <c r="VXU40" s="73"/>
      <c r="VXV40" s="73"/>
      <c r="VXW40" s="73"/>
      <c r="VXX40" s="73"/>
      <c r="VXY40" s="73"/>
      <c r="VXZ40" s="73"/>
      <c r="VYA40" s="73"/>
      <c r="VYB40" s="73"/>
      <c r="VYC40" s="73"/>
      <c r="VYD40" s="73"/>
      <c r="VYE40" s="73"/>
      <c r="VYF40" s="73"/>
      <c r="VYG40" s="73"/>
      <c r="VYH40" s="73"/>
      <c r="VYI40" s="73"/>
      <c r="VYJ40" s="73"/>
      <c r="VYK40" s="73"/>
      <c r="VYL40" s="73"/>
      <c r="VYM40" s="73"/>
      <c r="VYN40" s="73"/>
      <c r="VYO40" s="73"/>
      <c r="VYP40" s="73"/>
      <c r="VYQ40" s="73"/>
      <c r="VYR40" s="73"/>
      <c r="VYS40" s="73"/>
      <c r="VYT40" s="73"/>
      <c r="VYU40" s="73"/>
      <c r="VYV40" s="73"/>
      <c r="VYW40" s="73"/>
      <c r="VYX40" s="73"/>
      <c r="VYY40" s="73"/>
      <c r="VYZ40" s="73"/>
      <c r="VZA40" s="73"/>
      <c r="VZB40" s="73"/>
      <c r="VZC40" s="73"/>
      <c r="VZD40" s="73"/>
      <c r="VZE40" s="73"/>
      <c r="VZF40" s="73"/>
      <c r="VZG40" s="73"/>
      <c r="VZH40" s="73"/>
      <c r="VZI40" s="73"/>
      <c r="VZJ40" s="73"/>
      <c r="VZK40" s="73"/>
      <c r="VZL40" s="73"/>
      <c r="VZM40" s="73"/>
      <c r="VZN40" s="73"/>
      <c r="VZO40" s="73"/>
      <c r="VZP40" s="73"/>
      <c r="VZQ40" s="73"/>
      <c r="VZR40" s="73"/>
      <c r="VZS40" s="73"/>
      <c r="VZT40" s="73"/>
      <c r="VZU40" s="73"/>
      <c r="VZV40" s="73"/>
      <c r="VZW40" s="73"/>
      <c r="VZX40" s="73"/>
      <c r="VZY40" s="73"/>
      <c r="VZZ40" s="73"/>
      <c r="WAA40" s="73"/>
      <c r="WAB40" s="73"/>
      <c r="WAC40" s="73"/>
      <c r="WAD40" s="73"/>
      <c r="WAE40" s="73"/>
      <c r="WAF40" s="73"/>
      <c r="WAG40" s="73"/>
      <c r="WAH40" s="73"/>
      <c r="WAI40" s="73"/>
      <c r="WAJ40" s="73"/>
      <c r="WAK40" s="73"/>
      <c r="WAL40" s="73"/>
      <c r="WAM40" s="73"/>
      <c r="WAN40" s="73"/>
      <c r="WAO40" s="73"/>
      <c r="WAP40" s="73"/>
      <c r="WAQ40" s="73"/>
      <c r="WAR40" s="73"/>
      <c r="WAS40" s="73"/>
      <c r="WAT40" s="73"/>
      <c r="WAU40" s="73"/>
      <c r="WAV40" s="73"/>
      <c r="WAW40" s="73"/>
      <c r="WAX40" s="73"/>
      <c r="WAY40" s="73"/>
      <c r="WAZ40" s="73"/>
      <c r="WBA40" s="73"/>
      <c r="WBB40" s="73"/>
      <c r="WBC40" s="73"/>
      <c r="WBD40" s="73"/>
      <c r="WBE40" s="73"/>
      <c r="WBF40" s="73"/>
      <c r="WBG40" s="73"/>
      <c r="WBH40" s="73"/>
      <c r="WBI40" s="73"/>
      <c r="WBJ40" s="73"/>
      <c r="WBK40" s="73"/>
      <c r="WBL40" s="73"/>
      <c r="WBM40" s="73"/>
      <c r="WBN40" s="73"/>
      <c r="WBO40" s="73"/>
      <c r="WBP40" s="73"/>
      <c r="WBQ40" s="73"/>
      <c r="WBR40" s="73"/>
      <c r="WBS40" s="73"/>
      <c r="WBT40" s="73"/>
      <c r="WBU40" s="73"/>
      <c r="WBV40" s="73"/>
      <c r="WBW40" s="73"/>
      <c r="WBX40" s="73"/>
      <c r="WBY40" s="73"/>
      <c r="WBZ40" s="73"/>
      <c r="WCA40" s="73"/>
      <c r="WCB40" s="73"/>
      <c r="WCC40" s="73"/>
      <c r="WCD40" s="73"/>
      <c r="WCE40" s="73"/>
      <c r="WCF40" s="73"/>
      <c r="WCG40" s="73"/>
      <c r="WCH40" s="73"/>
      <c r="WCI40" s="73"/>
      <c r="WCJ40" s="73"/>
      <c r="WCK40" s="73"/>
      <c r="WCL40" s="73"/>
      <c r="WCM40" s="73"/>
      <c r="WCN40" s="73"/>
      <c r="WCO40" s="73"/>
      <c r="WCP40" s="73"/>
      <c r="WCQ40" s="73"/>
      <c r="WCR40" s="73"/>
      <c r="WCS40" s="73"/>
      <c r="WCT40" s="73"/>
      <c r="WCU40" s="73"/>
      <c r="WCV40" s="73"/>
      <c r="WCW40" s="73"/>
      <c r="WCX40" s="73"/>
      <c r="WCY40" s="73"/>
      <c r="WCZ40" s="73"/>
      <c r="WDA40" s="73"/>
      <c r="WDB40" s="73"/>
      <c r="WDC40" s="73"/>
      <c r="WDD40" s="73"/>
      <c r="WDE40" s="73"/>
      <c r="WDF40" s="73"/>
      <c r="WDG40" s="73"/>
      <c r="WDH40" s="73"/>
      <c r="WDI40" s="73"/>
      <c r="WDJ40" s="73"/>
      <c r="WDK40" s="73"/>
      <c r="WDL40" s="73"/>
      <c r="WDM40" s="73"/>
      <c r="WDN40" s="73"/>
      <c r="WDO40" s="73"/>
      <c r="WDP40" s="73"/>
      <c r="WDQ40" s="73"/>
      <c r="WDR40" s="73"/>
      <c r="WDS40" s="73"/>
      <c r="WDT40" s="73"/>
      <c r="WDU40" s="73"/>
      <c r="WDV40" s="73"/>
      <c r="WDW40" s="73"/>
      <c r="WDX40" s="73"/>
      <c r="WDY40" s="73"/>
      <c r="WDZ40" s="73"/>
      <c r="WEA40" s="73"/>
      <c r="WEB40" s="73"/>
      <c r="WEC40" s="73"/>
      <c r="WED40" s="73"/>
      <c r="WEE40" s="73"/>
      <c r="WEF40" s="73"/>
      <c r="WEG40" s="73"/>
      <c r="WEH40" s="73"/>
      <c r="WEI40" s="73"/>
      <c r="WEJ40" s="73"/>
      <c r="WEK40" s="73"/>
      <c r="WEL40" s="73"/>
      <c r="WEM40" s="73"/>
      <c r="WEN40" s="73"/>
      <c r="WEO40" s="73"/>
      <c r="WEP40" s="73"/>
      <c r="WEQ40" s="73"/>
      <c r="WER40" s="73"/>
      <c r="WES40" s="73"/>
      <c r="WET40" s="73"/>
      <c r="WEU40" s="73"/>
      <c r="WEV40" s="73"/>
      <c r="WEW40" s="73"/>
      <c r="WEX40" s="73"/>
      <c r="WEY40" s="73"/>
      <c r="WEZ40" s="73"/>
      <c r="WFA40" s="73"/>
      <c r="WFB40" s="73"/>
      <c r="WFC40" s="73"/>
      <c r="WFD40" s="73"/>
      <c r="WFE40" s="73"/>
      <c r="WFF40" s="73"/>
      <c r="WFG40" s="73"/>
      <c r="WFH40" s="73"/>
      <c r="WFI40" s="73"/>
      <c r="WFJ40" s="73"/>
      <c r="WFK40" s="73"/>
      <c r="WFL40" s="73"/>
      <c r="WFM40" s="73"/>
      <c r="WFN40" s="73"/>
      <c r="WFO40" s="73"/>
      <c r="WFP40" s="73"/>
      <c r="WFQ40" s="73"/>
      <c r="WFR40" s="73"/>
      <c r="WFS40" s="73"/>
      <c r="WFT40" s="73"/>
      <c r="WFU40" s="73"/>
      <c r="WFV40" s="73"/>
      <c r="WFW40" s="73"/>
      <c r="WFX40" s="73"/>
      <c r="WFY40" s="73"/>
      <c r="WFZ40" s="73"/>
      <c r="WGA40" s="73"/>
      <c r="WGB40" s="73"/>
      <c r="WGC40" s="73"/>
      <c r="WGD40" s="73"/>
      <c r="WGE40" s="73"/>
      <c r="WGF40" s="73"/>
      <c r="WGG40" s="73"/>
      <c r="WGH40" s="73"/>
      <c r="WGI40" s="73"/>
      <c r="WGJ40" s="73"/>
      <c r="WGK40" s="73"/>
      <c r="WGL40" s="73"/>
      <c r="WGM40" s="73"/>
      <c r="WGN40" s="73"/>
      <c r="WGO40" s="73"/>
      <c r="WGP40" s="73"/>
      <c r="WGQ40" s="73"/>
      <c r="WGR40" s="73"/>
      <c r="WGS40" s="73"/>
      <c r="WGT40" s="73"/>
      <c r="WGU40" s="73"/>
      <c r="WGV40" s="73"/>
      <c r="WGW40" s="73"/>
      <c r="WGX40" s="73"/>
      <c r="WGY40" s="73"/>
      <c r="WGZ40" s="73"/>
      <c r="WHA40" s="73"/>
      <c r="WHB40" s="73"/>
      <c r="WHC40" s="73"/>
      <c r="WHD40" s="73"/>
      <c r="WHE40" s="73"/>
      <c r="WHF40" s="73"/>
      <c r="WHG40" s="73"/>
      <c r="WHH40" s="73"/>
      <c r="WHI40" s="73"/>
      <c r="WHJ40" s="73"/>
      <c r="WHK40" s="73"/>
      <c r="WHL40" s="73"/>
      <c r="WHM40" s="73"/>
      <c r="WHN40" s="73"/>
      <c r="WHO40" s="73"/>
      <c r="WHP40" s="73"/>
      <c r="WHQ40" s="73"/>
      <c r="WHR40" s="73"/>
      <c r="WHS40" s="73"/>
      <c r="WHT40" s="73"/>
      <c r="WHU40" s="73"/>
      <c r="WHV40" s="73"/>
      <c r="WHW40" s="73"/>
      <c r="WHX40" s="73"/>
      <c r="WHY40" s="73"/>
      <c r="WHZ40" s="73"/>
      <c r="WIA40" s="73"/>
      <c r="WIB40" s="73"/>
      <c r="WIC40" s="73"/>
      <c r="WID40" s="73"/>
      <c r="WIE40" s="73"/>
      <c r="WIF40" s="73"/>
      <c r="WIG40" s="73"/>
      <c r="WIH40" s="73"/>
      <c r="WII40" s="73"/>
      <c r="WIJ40" s="73"/>
      <c r="WIK40" s="73"/>
      <c r="WIL40" s="73"/>
      <c r="WIM40" s="73"/>
      <c r="WIN40" s="73"/>
      <c r="WIO40" s="73"/>
      <c r="WIP40" s="73"/>
      <c r="WIQ40" s="73"/>
      <c r="WIR40" s="73"/>
      <c r="WIS40" s="73"/>
      <c r="WIT40" s="73"/>
      <c r="WIU40" s="73"/>
      <c r="WIV40" s="73"/>
      <c r="WIW40" s="73"/>
      <c r="WIX40" s="73"/>
      <c r="WIY40" s="73"/>
      <c r="WIZ40" s="73"/>
      <c r="WJA40" s="73"/>
      <c r="WJB40" s="73"/>
      <c r="WJC40" s="73"/>
      <c r="WJD40" s="73"/>
      <c r="WJE40" s="73"/>
      <c r="WJF40" s="73"/>
      <c r="WJG40" s="73"/>
      <c r="WJH40" s="73"/>
      <c r="WJI40" s="73"/>
      <c r="WJJ40" s="73"/>
      <c r="WJK40" s="73"/>
      <c r="WJL40" s="73"/>
      <c r="WJM40" s="73"/>
      <c r="WJN40" s="73"/>
      <c r="WJO40" s="73"/>
      <c r="WJP40" s="73"/>
      <c r="WJQ40" s="73"/>
      <c r="WJR40" s="73"/>
      <c r="WJS40" s="73"/>
      <c r="WJT40" s="73"/>
      <c r="WJU40" s="73"/>
      <c r="WJV40" s="73"/>
      <c r="WJW40" s="73"/>
      <c r="WJX40" s="73"/>
      <c r="WJY40" s="73"/>
      <c r="WJZ40" s="73"/>
      <c r="WKA40" s="73"/>
      <c r="WKB40" s="73"/>
      <c r="WKC40" s="73"/>
      <c r="WKD40" s="73"/>
      <c r="WKE40" s="73"/>
      <c r="WKF40" s="73"/>
      <c r="WKG40" s="73"/>
      <c r="WKH40" s="73"/>
      <c r="WKI40" s="73"/>
      <c r="WKJ40" s="73"/>
      <c r="WKK40" s="73"/>
      <c r="WKL40" s="73"/>
      <c r="WKM40" s="73"/>
      <c r="WKN40" s="73"/>
      <c r="WKO40" s="73"/>
      <c r="WKP40" s="73"/>
      <c r="WKQ40" s="73"/>
      <c r="WKR40" s="73"/>
      <c r="WKS40" s="73"/>
      <c r="WKT40" s="73"/>
      <c r="WKU40" s="73"/>
      <c r="WKV40" s="73"/>
      <c r="WKW40" s="73"/>
      <c r="WKX40" s="73"/>
      <c r="WKY40" s="73"/>
      <c r="WKZ40" s="73"/>
      <c r="WLA40" s="73"/>
      <c r="WLB40" s="73"/>
      <c r="WLC40" s="73"/>
      <c r="WLD40" s="73"/>
      <c r="WLE40" s="73"/>
      <c r="WLF40" s="73"/>
      <c r="WLG40" s="73"/>
      <c r="WLH40" s="73"/>
      <c r="WLI40" s="73"/>
      <c r="WLJ40" s="73"/>
      <c r="WLK40" s="73"/>
      <c r="WLL40" s="73"/>
      <c r="WLM40" s="73"/>
      <c r="WLN40" s="73"/>
      <c r="WLO40" s="73"/>
      <c r="WLP40" s="73"/>
      <c r="WLQ40" s="73"/>
      <c r="WLR40" s="73"/>
      <c r="WLS40" s="73"/>
      <c r="WLT40" s="73"/>
      <c r="WLU40" s="73"/>
      <c r="WLV40" s="73"/>
      <c r="WLW40" s="73"/>
      <c r="WLX40" s="73"/>
      <c r="WLY40" s="73"/>
      <c r="WLZ40" s="73"/>
      <c r="WMA40" s="73"/>
      <c r="WMB40" s="73"/>
      <c r="WMC40" s="73"/>
      <c r="WMD40" s="73"/>
      <c r="WME40" s="73"/>
      <c r="WMF40" s="73"/>
      <c r="WMG40" s="73"/>
      <c r="WMH40" s="73"/>
      <c r="WMI40" s="73"/>
      <c r="WMJ40" s="73"/>
      <c r="WMK40" s="73"/>
      <c r="WML40" s="73"/>
      <c r="WMM40" s="73"/>
      <c r="WMN40" s="73"/>
      <c r="WMO40" s="73"/>
      <c r="WMP40" s="73"/>
      <c r="WMQ40" s="73"/>
      <c r="WMR40" s="73"/>
      <c r="WMS40" s="73"/>
      <c r="WMT40" s="73"/>
      <c r="WMU40" s="73"/>
      <c r="WMV40" s="73"/>
      <c r="WMW40" s="73"/>
      <c r="WMX40" s="73"/>
      <c r="WMY40" s="73"/>
      <c r="WMZ40" s="73"/>
      <c r="WNA40" s="73"/>
      <c r="WNB40" s="73"/>
      <c r="WNC40" s="73"/>
      <c r="WND40" s="73"/>
      <c r="WNE40" s="73"/>
      <c r="WNF40" s="73"/>
      <c r="WNG40" s="73"/>
      <c r="WNH40" s="73"/>
      <c r="WNI40" s="73"/>
      <c r="WNJ40" s="73"/>
      <c r="WNK40" s="73"/>
      <c r="WNL40" s="73"/>
      <c r="WNM40" s="73"/>
      <c r="WNN40" s="73"/>
      <c r="WNO40" s="73"/>
      <c r="WNP40" s="73"/>
      <c r="WNQ40" s="73"/>
      <c r="WNR40" s="73"/>
      <c r="WNS40" s="73"/>
      <c r="WNT40" s="73"/>
      <c r="WNU40" s="73"/>
      <c r="WNV40" s="73"/>
      <c r="WNW40" s="73"/>
      <c r="WNX40" s="73"/>
      <c r="WNY40" s="73"/>
      <c r="WNZ40" s="73"/>
      <c r="WOA40" s="73"/>
      <c r="WOB40" s="73"/>
      <c r="WOC40" s="73"/>
      <c r="WOD40" s="73"/>
      <c r="WOE40" s="73"/>
      <c r="WOF40" s="73"/>
      <c r="WOG40" s="73"/>
      <c r="WOH40" s="73"/>
      <c r="WOI40" s="73"/>
      <c r="WOJ40" s="73"/>
      <c r="WOK40" s="73"/>
      <c r="WOL40" s="73"/>
      <c r="WOM40" s="73"/>
      <c r="WON40" s="73"/>
      <c r="WOO40" s="73"/>
      <c r="WOP40" s="73"/>
      <c r="WOQ40" s="73"/>
      <c r="WOR40" s="73"/>
      <c r="WOS40" s="73"/>
      <c r="WOT40" s="73"/>
      <c r="WOU40" s="73"/>
      <c r="WOV40" s="73"/>
      <c r="WOW40" s="73"/>
      <c r="WOX40" s="73"/>
      <c r="WOY40" s="73"/>
      <c r="WOZ40" s="73"/>
      <c r="WPA40" s="73"/>
      <c r="WPB40" s="73"/>
      <c r="WPC40" s="73"/>
      <c r="WPD40" s="73"/>
      <c r="WPE40" s="73"/>
      <c r="WPF40" s="73"/>
      <c r="WPG40" s="73"/>
      <c r="WPH40" s="73"/>
      <c r="WPI40" s="73"/>
      <c r="WPJ40" s="73"/>
      <c r="WPK40" s="73"/>
      <c r="WPL40" s="73"/>
      <c r="WPM40" s="73"/>
      <c r="WPN40" s="73"/>
      <c r="WPO40" s="73"/>
      <c r="WPP40" s="73"/>
      <c r="WPQ40" s="73"/>
      <c r="WPR40" s="73"/>
      <c r="WPS40" s="73"/>
      <c r="WPT40" s="73"/>
      <c r="WPU40" s="73"/>
      <c r="WPV40" s="73"/>
      <c r="WPW40" s="73"/>
      <c r="WPX40" s="73"/>
      <c r="WPY40" s="73"/>
      <c r="WPZ40" s="73"/>
      <c r="WQA40" s="73"/>
      <c r="WQB40" s="73"/>
      <c r="WQC40" s="73"/>
      <c r="WQD40" s="73"/>
      <c r="WQE40" s="73"/>
      <c r="WQF40" s="73"/>
      <c r="WQG40" s="73"/>
      <c r="WQH40" s="73"/>
      <c r="WQI40" s="73"/>
      <c r="WQJ40" s="73"/>
      <c r="WQK40" s="73"/>
      <c r="WQL40" s="73"/>
      <c r="WQM40" s="73"/>
      <c r="WQN40" s="73"/>
      <c r="WQO40" s="73"/>
      <c r="WQP40" s="73"/>
      <c r="WQQ40" s="73"/>
      <c r="WQR40" s="73"/>
      <c r="WQS40" s="73"/>
      <c r="WQT40" s="73"/>
      <c r="WQU40" s="73"/>
      <c r="WQV40" s="73"/>
      <c r="WQW40" s="73"/>
      <c r="WQX40" s="73"/>
      <c r="WQY40" s="73"/>
      <c r="WQZ40" s="73"/>
      <c r="WRA40" s="73"/>
      <c r="WRB40" s="73"/>
      <c r="WRC40" s="73"/>
      <c r="WRD40" s="73"/>
      <c r="WRE40" s="73"/>
      <c r="WRF40" s="73"/>
      <c r="WRG40" s="73"/>
      <c r="WRH40" s="73"/>
      <c r="WRI40" s="73"/>
      <c r="WRJ40" s="73"/>
      <c r="WRK40" s="73"/>
      <c r="WRL40" s="73"/>
      <c r="WRM40" s="73"/>
      <c r="WRN40" s="73"/>
      <c r="WRO40" s="73"/>
      <c r="WRP40" s="73"/>
      <c r="WRQ40" s="73"/>
      <c r="WRR40" s="73"/>
      <c r="WRS40" s="73"/>
      <c r="WRT40" s="73"/>
      <c r="WRU40" s="73"/>
      <c r="WRV40" s="73"/>
      <c r="WRW40" s="73"/>
      <c r="WRX40" s="73"/>
      <c r="WRY40" s="73"/>
      <c r="WRZ40" s="73"/>
      <c r="WSA40" s="73"/>
      <c r="WSB40" s="73"/>
      <c r="WSC40" s="73"/>
      <c r="WSD40" s="73"/>
      <c r="WSE40" s="73"/>
      <c r="WSF40" s="73"/>
      <c r="WSG40" s="73"/>
      <c r="WSH40" s="73"/>
      <c r="WSI40" s="73"/>
      <c r="WSJ40" s="73"/>
      <c r="WSK40" s="73"/>
      <c r="WSL40" s="73"/>
      <c r="WSM40" s="73"/>
      <c r="WSN40" s="73"/>
      <c r="WSO40" s="73"/>
      <c r="WSP40" s="73"/>
      <c r="WSQ40" s="73"/>
      <c r="WSR40" s="73"/>
      <c r="WSS40" s="73"/>
      <c r="WST40" s="73"/>
      <c r="WSU40" s="73"/>
      <c r="WSV40" s="73"/>
      <c r="WSW40" s="73"/>
      <c r="WSX40" s="73"/>
      <c r="WSY40" s="73"/>
      <c r="WSZ40" s="73"/>
      <c r="WTA40" s="73"/>
      <c r="WTB40" s="73"/>
      <c r="WTC40" s="73"/>
      <c r="WTD40" s="73"/>
      <c r="WTE40" s="73"/>
      <c r="WTF40" s="73"/>
      <c r="WTG40" s="73"/>
      <c r="WTH40" s="73"/>
      <c r="WTI40" s="73"/>
      <c r="WTJ40" s="73"/>
      <c r="WTK40" s="73"/>
      <c r="WTL40" s="73"/>
      <c r="WTM40" s="73"/>
      <c r="WTN40" s="73"/>
      <c r="WTO40" s="73"/>
      <c r="WTP40" s="73"/>
      <c r="WTQ40" s="73"/>
      <c r="WTR40" s="73"/>
      <c r="WTS40" s="73"/>
      <c r="WTT40" s="73"/>
      <c r="WTU40" s="73"/>
      <c r="WTV40" s="73"/>
      <c r="WTW40" s="73"/>
      <c r="WTX40" s="73"/>
      <c r="WTY40" s="73"/>
      <c r="WTZ40" s="73"/>
      <c r="WUA40" s="73"/>
      <c r="WUB40" s="73"/>
      <c r="WUC40" s="73"/>
      <c r="WUD40" s="73"/>
      <c r="WUE40" s="73"/>
      <c r="WUF40" s="73"/>
      <c r="WUG40" s="73"/>
      <c r="WUH40" s="73"/>
      <c r="WUI40" s="73"/>
      <c r="WUJ40" s="73"/>
      <c r="WUK40" s="73"/>
      <c r="WUL40" s="73"/>
      <c r="WUM40" s="73"/>
      <c r="WUN40" s="73"/>
      <c r="WUO40" s="73"/>
      <c r="WUP40" s="73"/>
      <c r="WUQ40" s="73"/>
      <c r="WUR40" s="73"/>
      <c r="WUS40" s="73"/>
      <c r="WUT40" s="73"/>
      <c r="WUU40" s="73"/>
      <c r="WUV40" s="73"/>
      <c r="WUW40" s="73"/>
      <c r="WUX40" s="73"/>
      <c r="WUY40" s="73"/>
      <c r="WUZ40" s="73"/>
      <c r="WVA40" s="73"/>
      <c r="WVB40" s="73"/>
      <c r="WVC40" s="73"/>
      <c r="WVD40" s="73"/>
      <c r="WVE40" s="73"/>
      <c r="WVF40" s="73"/>
      <c r="WVG40" s="73"/>
      <c r="WVH40" s="73"/>
      <c r="WVI40" s="73"/>
      <c r="WVJ40" s="73"/>
      <c r="WVK40" s="73"/>
      <c r="WVL40" s="73"/>
      <c r="WVM40" s="73"/>
      <c r="WVN40" s="73"/>
      <c r="WVO40" s="73"/>
      <c r="WVP40" s="73"/>
      <c r="WVQ40" s="73"/>
      <c r="WVR40" s="73"/>
      <c r="WVS40" s="73"/>
      <c r="WVT40" s="73"/>
      <c r="WVU40" s="73"/>
      <c r="WVV40" s="73"/>
      <c r="WVW40" s="73"/>
      <c r="WVX40" s="73"/>
      <c r="WVY40" s="73"/>
      <c r="WVZ40" s="73"/>
      <c r="WWA40" s="73"/>
      <c r="WWB40" s="73"/>
      <c r="WWC40" s="73"/>
      <c r="WWD40" s="73"/>
      <c r="WWE40" s="73"/>
      <c r="WWF40" s="73"/>
      <c r="WWG40" s="73"/>
      <c r="WWH40" s="73"/>
      <c r="WWI40" s="73"/>
      <c r="WWJ40" s="73"/>
      <c r="WWK40" s="73"/>
      <c r="WWL40" s="73"/>
      <c r="WWM40" s="73"/>
      <c r="WWN40" s="73"/>
      <c r="WWO40" s="73"/>
      <c r="WWP40" s="73"/>
      <c r="WWQ40" s="73"/>
      <c r="WWR40" s="73"/>
      <c r="WWS40" s="73"/>
      <c r="WWT40" s="73"/>
      <c r="WWU40" s="73"/>
      <c r="WWV40" s="73"/>
      <c r="WWW40" s="73"/>
      <c r="WWX40" s="73"/>
      <c r="WWY40" s="73"/>
      <c r="WWZ40" s="73"/>
      <c r="WXA40" s="73"/>
      <c r="WXB40" s="73"/>
      <c r="WXC40" s="73"/>
      <c r="WXD40" s="73"/>
      <c r="WXE40" s="73"/>
      <c r="WXF40" s="73"/>
      <c r="WXG40" s="73"/>
      <c r="WXH40" s="73"/>
      <c r="WXI40" s="73"/>
      <c r="WXJ40" s="73"/>
      <c r="WXK40" s="73"/>
      <c r="WXL40" s="73"/>
      <c r="WXM40" s="73"/>
      <c r="WXN40" s="73"/>
      <c r="WXO40" s="73"/>
      <c r="WXP40" s="73"/>
      <c r="WXQ40" s="73"/>
      <c r="WXR40" s="73"/>
      <c r="WXS40" s="73"/>
      <c r="WXT40" s="73"/>
      <c r="WXU40" s="73"/>
      <c r="WXV40" s="73"/>
      <c r="WXW40" s="73"/>
      <c r="WXX40" s="73"/>
      <c r="WXY40" s="73"/>
      <c r="WXZ40" s="73"/>
      <c r="WYA40" s="73"/>
      <c r="WYB40" s="73"/>
      <c r="WYC40" s="73"/>
      <c r="WYD40" s="73"/>
      <c r="WYE40" s="73"/>
      <c r="WYF40" s="73"/>
      <c r="WYG40" s="73"/>
      <c r="WYH40" s="73"/>
      <c r="WYI40" s="73"/>
      <c r="WYJ40" s="73"/>
      <c r="WYK40" s="73"/>
      <c r="WYL40" s="73"/>
      <c r="WYM40" s="73"/>
      <c r="WYN40" s="73"/>
      <c r="WYO40" s="73"/>
      <c r="WYP40" s="73"/>
      <c r="WYQ40" s="73"/>
      <c r="WYR40" s="73"/>
      <c r="WYS40" s="73"/>
      <c r="WYT40" s="73"/>
      <c r="WYU40" s="73"/>
      <c r="WYV40" s="73"/>
      <c r="WYW40" s="73"/>
      <c r="WYX40" s="73"/>
      <c r="WYY40" s="73"/>
      <c r="WYZ40" s="73"/>
      <c r="WZA40" s="73"/>
      <c r="WZB40" s="73"/>
      <c r="WZC40" s="73"/>
      <c r="WZD40" s="73"/>
      <c r="WZE40" s="73"/>
      <c r="WZF40" s="73"/>
      <c r="WZG40" s="73"/>
      <c r="WZH40" s="73"/>
      <c r="WZI40" s="73"/>
      <c r="WZJ40" s="73"/>
      <c r="WZK40" s="73"/>
      <c r="WZL40" s="73"/>
      <c r="WZM40" s="73"/>
      <c r="WZN40" s="73"/>
      <c r="WZO40" s="73"/>
      <c r="WZP40" s="73"/>
      <c r="WZQ40" s="73"/>
      <c r="WZR40" s="73"/>
      <c r="WZS40" s="73"/>
      <c r="WZT40" s="73"/>
      <c r="WZU40" s="73"/>
      <c r="WZV40" s="73"/>
      <c r="WZW40" s="73"/>
      <c r="WZX40" s="73"/>
      <c r="WZY40" s="73"/>
      <c r="WZZ40" s="73"/>
      <c r="XAA40" s="73"/>
      <c r="XAB40" s="73"/>
      <c r="XAC40" s="73"/>
      <c r="XAD40" s="73"/>
      <c r="XAE40" s="73"/>
      <c r="XAF40" s="73"/>
      <c r="XAG40" s="73"/>
      <c r="XAH40" s="73"/>
      <c r="XAI40" s="73"/>
      <c r="XAJ40" s="73"/>
      <c r="XAK40" s="73"/>
      <c r="XAL40" s="73"/>
      <c r="XAM40" s="73"/>
      <c r="XAN40" s="73"/>
      <c r="XAO40" s="73"/>
      <c r="XAP40" s="73"/>
      <c r="XAQ40" s="73"/>
      <c r="XAR40" s="73"/>
      <c r="XAS40" s="73"/>
      <c r="XAT40" s="73"/>
      <c r="XAU40" s="73"/>
      <c r="XAV40" s="73"/>
      <c r="XAW40" s="73"/>
      <c r="XAX40" s="73"/>
      <c r="XAY40" s="73"/>
      <c r="XAZ40" s="73"/>
      <c r="XBA40" s="73"/>
      <c r="XBB40" s="73"/>
      <c r="XBC40" s="73"/>
      <c r="XBD40" s="73"/>
      <c r="XBE40" s="73"/>
      <c r="XBF40" s="73"/>
      <c r="XBG40" s="73"/>
      <c r="XBH40" s="73"/>
      <c r="XBI40" s="73"/>
      <c r="XBJ40" s="73"/>
      <c r="XBK40" s="73"/>
      <c r="XBL40" s="73"/>
      <c r="XBM40" s="73"/>
      <c r="XBN40" s="73"/>
      <c r="XBO40" s="73"/>
      <c r="XBP40" s="73"/>
      <c r="XBQ40" s="73"/>
      <c r="XBR40" s="73"/>
      <c r="XBS40" s="73"/>
      <c r="XBT40" s="73"/>
      <c r="XBU40" s="73"/>
      <c r="XBV40" s="73"/>
      <c r="XBW40" s="73"/>
      <c r="XBX40" s="73"/>
      <c r="XBY40" s="73"/>
      <c r="XBZ40" s="73"/>
      <c r="XCA40" s="73"/>
      <c r="XCB40" s="73"/>
      <c r="XCC40" s="73"/>
      <c r="XCD40" s="73"/>
      <c r="XCE40" s="73"/>
      <c r="XCF40" s="73"/>
      <c r="XCG40" s="73"/>
      <c r="XCH40" s="73"/>
      <c r="XCI40" s="73"/>
      <c r="XCJ40" s="73"/>
      <c r="XCK40" s="73"/>
      <c r="XCL40" s="73"/>
      <c r="XCM40" s="73"/>
      <c r="XCN40" s="73"/>
      <c r="XCO40" s="73"/>
      <c r="XCP40" s="73"/>
      <c r="XCQ40" s="73"/>
      <c r="XCR40" s="73"/>
      <c r="XCS40" s="73"/>
      <c r="XCT40" s="73"/>
      <c r="XCU40" s="73"/>
      <c r="XCV40" s="73"/>
      <c r="XCW40" s="73"/>
      <c r="XCX40" s="73"/>
      <c r="XCY40" s="73"/>
      <c r="XCZ40" s="73"/>
      <c r="XDA40" s="73"/>
      <c r="XDB40" s="73"/>
      <c r="XDC40" s="73"/>
      <c r="XDD40" s="73"/>
      <c r="XDE40" s="73"/>
      <c r="XDF40" s="73"/>
      <c r="XDG40" s="73"/>
      <c r="XDH40" s="73"/>
      <c r="XDI40" s="73"/>
      <c r="XDJ40" s="73"/>
      <c r="XDK40" s="73"/>
      <c r="XDL40" s="73"/>
      <c r="XDM40" s="73"/>
      <c r="XDN40" s="73"/>
      <c r="XDO40" s="73"/>
      <c r="XDP40" s="73"/>
      <c r="XDQ40" s="73"/>
      <c r="XDR40" s="73"/>
      <c r="XDS40" s="73"/>
      <c r="XDT40" s="73"/>
      <c r="XDU40" s="73"/>
      <c r="XDV40" s="73"/>
      <c r="XDW40" s="73"/>
      <c r="XDX40" s="73"/>
      <c r="XDY40" s="73"/>
      <c r="XDZ40" s="73"/>
      <c r="XEA40" s="73"/>
      <c r="XEB40" s="73"/>
      <c r="XEC40" s="73"/>
      <c r="XED40" s="73"/>
      <c r="XEE40" s="73"/>
      <c r="XEF40" s="73"/>
      <c r="XEG40" s="73"/>
      <c r="XEH40" s="73"/>
      <c r="XEI40" s="73"/>
      <c r="XEJ40" s="73"/>
      <c r="XEK40" s="73"/>
      <c r="XEL40" s="73"/>
      <c r="XEM40" s="73"/>
      <c r="XEN40" s="73"/>
      <c r="XEO40" s="73"/>
      <c r="XEP40" s="73"/>
      <c r="XEQ40" s="73"/>
      <c r="XER40" s="73"/>
      <c r="XES40" s="73"/>
      <c r="XET40" s="73"/>
      <c r="XEU40" s="73"/>
    </row>
    <row r="41" spans="1:16375" s="72" customFormat="1" ht="15.75" hidden="1" customHeight="1" x14ac:dyDescent="0.35">
      <c r="A41" s="78"/>
      <c r="B41" s="78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7"/>
      <c r="O41" s="70"/>
      <c r="P41" s="70"/>
      <c r="Q41" s="70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5"/>
      <c r="AV41" s="75"/>
      <c r="AW41" s="75"/>
      <c r="AX41" s="75"/>
      <c r="AY41" s="75"/>
      <c r="AZ41" s="74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  <c r="AMK41" s="73"/>
      <c r="AML41" s="73"/>
      <c r="AMM41" s="73"/>
      <c r="AMN41" s="73"/>
      <c r="AMO41" s="73"/>
      <c r="AMP41" s="73"/>
      <c r="AMQ41" s="73"/>
      <c r="AMR41" s="73"/>
      <c r="AMS41" s="73"/>
      <c r="AMT41" s="73"/>
      <c r="AMU41" s="73"/>
      <c r="AMV41" s="73"/>
      <c r="AMW41" s="73"/>
      <c r="AMX41" s="73"/>
      <c r="AMY41" s="73"/>
      <c r="AMZ41" s="73"/>
      <c r="ANA41" s="73"/>
      <c r="ANB41" s="73"/>
      <c r="ANC41" s="73"/>
      <c r="AND41" s="73"/>
      <c r="ANE41" s="73"/>
      <c r="ANF41" s="73"/>
      <c r="ANG41" s="73"/>
      <c r="ANH41" s="73"/>
      <c r="ANI41" s="73"/>
      <c r="ANJ41" s="73"/>
      <c r="ANK41" s="73"/>
      <c r="ANL41" s="73"/>
      <c r="ANM41" s="73"/>
      <c r="ANN41" s="73"/>
      <c r="ANO41" s="73"/>
      <c r="ANP41" s="73"/>
      <c r="ANQ41" s="73"/>
      <c r="ANR41" s="73"/>
      <c r="ANS41" s="73"/>
      <c r="ANT41" s="73"/>
      <c r="ANU41" s="73"/>
      <c r="ANV41" s="73"/>
      <c r="ANW41" s="73"/>
      <c r="ANX41" s="73"/>
      <c r="ANY41" s="73"/>
      <c r="ANZ41" s="73"/>
      <c r="AOA41" s="73"/>
      <c r="AOB41" s="73"/>
      <c r="AOC41" s="73"/>
      <c r="AOD41" s="73"/>
      <c r="AOE41" s="73"/>
      <c r="AOF41" s="73"/>
      <c r="AOG41" s="73"/>
      <c r="AOH41" s="73"/>
      <c r="AOI41" s="73"/>
      <c r="AOJ41" s="73"/>
      <c r="AOK41" s="73"/>
      <c r="AOL41" s="73"/>
      <c r="AOM41" s="73"/>
      <c r="AON41" s="73"/>
      <c r="AOO41" s="73"/>
      <c r="AOP41" s="73"/>
      <c r="AOQ41" s="73"/>
      <c r="AOR41" s="73"/>
      <c r="AOS41" s="73"/>
      <c r="AOT41" s="73"/>
      <c r="AOU41" s="73"/>
      <c r="AOV41" s="73"/>
      <c r="AOW41" s="73"/>
      <c r="AOX41" s="73"/>
      <c r="AOY41" s="73"/>
      <c r="AOZ41" s="73"/>
      <c r="APA41" s="73"/>
      <c r="APB41" s="73"/>
      <c r="APC41" s="73"/>
      <c r="APD41" s="73"/>
      <c r="APE41" s="73"/>
      <c r="APF41" s="73"/>
      <c r="APG41" s="73"/>
      <c r="APH41" s="73"/>
      <c r="API41" s="73"/>
      <c r="APJ41" s="73"/>
      <c r="APK41" s="73"/>
      <c r="APL41" s="73"/>
      <c r="APM41" s="73"/>
      <c r="APN41" s="73"/>
      <c r="APO41" s="73"/>
      <c r="APP41" s="73"/>
      <c r="APQ41" s="73"/>
      <c r="APR41" s="73"/>
      <c r="APS41" s="73"/>
      <c r="APT41" s="73"/>
      <c r="APU41" s="73"/>
      <c r="APV41" s="73"/>
      <c r="APW41" s="73"/>
      <c r="APX41" s="73"/>
      <c r="APY41" s="73"/>
      <c r="APZ41" s="73"/>
      <c r="AQA41" s="73"/>
      <c r="AQB41" s="73"/>
      <c r="AQC41" s="73"/>
      <c r="AQD41" s="73"/>
      <c r="AQE41" s="73"/>
      <c r="AQF41" s="73"/>
      <c r="AQG41" s="73"/>
      <c r="AQH41" s="73"/>
      <c r="AQI41" s="73"/>
      <c r="AQJ41" s="73"/>
      <c r="AQK41" s="73"/>
      <c r="AQL41" s="73"/>
      <c r="AQM41" s="73"/>
      <c r="AQN41" s="73"/>
      <c r="AQO41" s="73"/>
      <c r="AQP41" s="73"/>
      <c r="AQQ41" s="73"/>
      <c r="AQR41" s="73"/>
      <c r="AQS41" s="73"/>
      <c r="AQT41" s="73"/>
      <c r="AQU41" s="73"/>
      <c r="AQV41" s="73"/>
      <c r="AQW41" s="73"/>
      <c r="AQX41" s="73"/>
      <c r="AQY41" s="73"/>
      <c r="AQZ41" s="73"/>
      <c r="ARA41" s="73"/>
      <c r="ARB41" s="73"/>
      <c r="ARC41" s="73"/>
      <c r="ARD41" s="73"/>
      <c r="ARE41" s="73"/>
      <c r="ARF41" s="73"/>
      <c r="ARG41" s="73"/>
      <c r="ARH41" s="73"/>
      <c r="ARI41" s="73"/>
      <c r="ARJ41" s="73"/>
      <c r="ARK41" s="73"/>
      <c r="ARL41" s="73"/>
      <c r="ARM41" s="73"/>
      <c r="ARN41" s="73"/>
      <c r="ARO41" s="73"/>
      <c r="ARP41" s="73"/>
      <c r="ARQ41" s="73"/>
      <c r="ARR41" s="73"/>
      <c r="ARS41" s="73"/>
      <c r="ART41" s="73"/>
      <c r="ARU41" s="73"/>
      <c r="ARV41" s="73"/>
      <c r="ARW41" s="73"/>
      <c r="ARX41" s="73"/>
      <c r="ARY41" s="73"/>
      <c r="ARZ41" s="73"/>
      <c r="ASA41" s="73"/>
      <c r="ASB41" s="73"/>
      <c r="ASC41" s="73"/>
      <c r="ASD41" s="73"/>
      <c r="ASE41" s="73"/>
      <c r="ASF41" s="73"/>
      <c r="ASG41" s="73"/>
      <c r="ASH41" s="73"/>
      <c r="ASI41" s="73"/>
      <c r="ASJ41" s="73"/>
      <c r="ASK41" s="73"/>
      <c r="ASL41" s="73"/>
      <c r="ASM41" s="73"/>
      <c r="ASN41" s="73"/>
      <c r="ASO41" s="73"/>
      <c r="ASP41" s="73"/>
      <c r="ASQ41" s="73"/>
      <c r="ASR41" s="73"/>
      <c r="ASS41" s="73"/>
      <c r="AST41" s="73"/>
      <c r="ASU41" s="73"/>
      <c r="ASV41" s="73"/>
      <c r="ASW41" s="73"/>
      <c r="ASX41" s="73"/>
      <c r="ASY41" s="73"/>
      <c r="ASZ41" s="73"/>
      <c r="ATA41" s="73"/>
      <c r="ATB41" s="73"/>
      <c r="ATC41" s="73"/>
      <c r="ATD41" s="73"/>
      <c r="ATE41" s="73"/>
      <c r="ATF41" s="73"/>
      <c r="ATG41" s="73"/>
      <c r="ATH41" s="73"/>
      <c r="ATI41" s="73"/>
      <c r="ATJ41" s="73"/>
      <c r="ATK41" s="73"/>
      <c r="ATL41" s="73"/>
      <c r="ATM41" s="73"/>
      <c r="ATN41" s="73"/>
      <c r="ATO41" s="73"/>
      <c r="ATP41" s="73"/>
      <c r="ATQ41" s="73"/>
      <c r="ATR41" s="73"/>
      <c r="ATS41" s="73"/>
      <c r="ATT41" s="73"/>
      <c r="ATU41" s="73"/>
      <c r="ATV41" s="73"/>
      <c r="ATW41" s="73"/>
      <c r="ATX41" s="73"/>
      <c r="ATY41" s="73"/>
      <c r="ATZ41" s="73"/>
      <c r="AUA41" s="73"/>
      <c r="AUB41" s="73"/>
      <c r="AUC41" s="73"/>
      <c r="AUD41" s="73"/>
      <c r="AUE41" s="73"/>
      <c r="AUF41" s="73"/>
      <c r="AUG41" s="73"/>
      <c r="AUH41" s="73"/>
      <c r="AUI41" s="73"/>
      <c r="AUJ41" s="73"/>
      <c r="AUK41" s="73"/>
      <c r="AUL41" s="73"/>
      <c r="AUM41" s="73"/>
      <c r="AUN41" s="73"/>
      <c r="AUO41" s="73"/>
      <c r="AUP41" s="73"/>
      <c r="AUQ41" s="73"/>
      <c r="AUR41" s="73"/>
      <c r="AUS41" s="73"/>
      <c r="AUT41" s="73"/>
      <c r="AUU41" s="73"/>
      <c r="AUV41" s="73"/>
      <c r="AUW41" s="73"/>
      <c r="AUX41" s="73"/>
      <c r="AUY41" s="73"/>
      <c r="AUZ41" s="73"/>
      <c r="AVA41" s="73"/>
      <c r="AVB41" s="73"/>
      <c r="AVC41" s="73"/>
      <c r="AVD41" s="73"/>
      <c r="AVE41" s="73"/>
      <c r="AVF41" s="73"/>
      <c r="AVG41" s="73"/>
      <c r="AVH41" s="73"/>
      <c r="AVI41" s="73"/>
      <c r="AVJ41" s="73"/>
      <c r="AVK41" s="73"/>
      <c r="AVL41" s="73"/>
      <c r="AVM41" s="73"/>
      <c r="AVN41" s="73"/>
      <c r="AVO41" s="73"/>
      <c r="AVP41" s="73"/>
      <c r="AVQ41" s="73"/>
      <c r="AVR41" s="73"/>
      <c r="AVS41" s="73"/>
      <c r="AVT41" s="73"/>
      <c r="AVU41" s="73"/>
      <c r="AVV41" s="73"/>
      <c r="AVW41" s="73"/>
      <c r="AVX41" s="73"/>
      <c r="AVY41" s="73"/>
      <c r="AVZ41" s="73"/>
      <c r="AWA41" s="73"/>
      <c r="AWB41" s="73"/>
      <c r="AWC41" s="73"/>
      <c r="AWD41" s="73"/>
      <c r="AWE41" s="73"/>
      <c r="AWF41" s="73"/>
      <c r="AWG41" s="73"/>
      <c r="AWH41" s="73"/>
      <c r="AWI41" s="73"/>
      <c r="AWJ41" s="73"/>
      <c r="AWK41" s="73"/>
      <c r="AWL41" s="73"/>
      <c r="AWM41" s="73"/>
      <c r="AWN41" s="73"/>
      <c r="AWO41" s="73"/>
      <c r="AWP41" s="73"/>
      <c r="AWQ41" s="73"/>
      <c r="AWR41" s="73"/>
      <c r="AWS41" s="73"/>
      <c r="AWT41" s="73"/>
      <c r="AWU41" s="73"/>
      <c r="AWV41" s="73"/>
      <c r="AWW41" s="73"/>
      <c r="AWX41" s="73"/>
      <c r="AWY41" s="73"/>
      <c r="AWZ41" s="73"/>
      <c r="AXA41" s="73"/>
      <c r="AXB41" s="73"/>
      <c r="AXC41" s="73"/>
      <c r="AXD41" s="73"/>
      <c r="AXE41" s="73"/>
      <c r="AXF41" s="73"/>
      <c r="AXG41" s="73"/>
      <c r="AXH41" s="73"/>
      <c r="AXI41" s="73"/>
      <c r="AXJ41" s="73"/>
      <c r="AXK41" s="73"/>
      <c r="AXL41" s="73"/>
      <c r="AXM41" s="73"/>
      <c r="AXN41" s="73"/>
      <c r="AXO41" s="73"/>
      <c r="AXP41" s="73"/>
      <c r="AXQ41" s="73"/>
      <c r="AXR41" s="73"/>
      <c r="AXS41" s="73"/>
      <c r="AXT41" s="73"/>
      <c r="AXU41" s="73"/>
      <c r="AXV41" s="73"/>
      <c r="AXW41" s="73"/>
      <c r="AXX41" s="73"/>
      <c r="AXY41" s="73"/>
      <c r="AXZ41" s="73"/>
      <c r="AYA41" s="73"/>
      <c r="AYB41" s="73"/>
      <c r="AYC41" s="73"/>
      <c r="AYD41" s="73"/>
      <c r="AYE41" s="73"/>
      <c r="AYF41" s="73"/>
      <c r="AYG41" s="73"/>
      <c r="AYH41" s="73"/>
      <c r="AYI41" s="73"/>
      <c r="AYJ41" s="73"/>
      <c r="AYK41" s="73"/>
      <c r="AYL41" s="73"/>
      <c r="AYM41" s="73"/>
      <c r="AYN41" s="73"/>
      <c r="AYO41" s="73"/>
      <c r="AYP41" s="73"/>
      <c r="AYQ41" s="73"/>
      <c r="AYR41" s="73"/>
      <c r="AYS41" s="73"/>
      <c r="AYT41" s="73"/>
      <c r="AYU41" s="73"/>
      <c r="AYV41" s="73"/>
      <c r="AYW41" s="73"/>
      <c r="AYX41" s="73"/>
      <c r="AYY41" s="73"/>
      <c r="AYZ41" s="73"/>
      <c r="AZA41" s="73"/>
      <c r="AZB41" s="73"/>
      <c r="AZC41" s="73"/>
      <c r="AZD41" s="73"/>
      <c r="AZE41" s="73"/>
      <c r="AZF41" s="73"/>
      <c r="AZG41" s="73"/>
      <c r="AZH41" s="73"/>
      <c r="AZI41" s="73"/>
      <c r="AZJ41" s="73"/>
      <c r="AZK41" s="73"/>
      <c r="AZL41" s="73"/>
      <c r="AZM41" s="73"/>
      <c r="AZN41" s="73"/>
      <c r="AZO41" s="73"/>
      <c r="AZP41" s="73"/>
      <c r="AZQ41" s="73"/>
      <c r="AZR41" s="73"/>
      <c r="AZS41" s="73"/>
      <c r="AZT41" s="73"/>
      <c r="AZU41" s="73"/>
      <c r="AZV41" s="73"/>
      <c r="AZW41" s="73"/>
      <c r="AZX41" s="73"/>
      <c r="AZY41" s="73"/>
      <c r="AZZ41" s="73"/>
      <c r="BAA41" s="73"/>
      <c r="BAB41" s="73"/>
      <c r="BAC41" s="73"/>
      <c r="BAD41" s="73"/>
      <c r="BAE41" s="73"/>
      <c r="BAF41" s="73"/>
      <c r="BAG41" s="73"/>
      <c r="BAH41" s="73"/>
      <c r="BAI41" s="73"/>
      <c r="BAJ41" s="73"/>
      <c r="BAK41" s="73"/>
      <c r="BAL41" s="73"/>
      <c r="BAM41" s="73"/>
      <c r="BAN41" s="73"/>
      <c r="BAO41" s="73"/>
      <c r="BAP41" s="73"/>
      <c r="BAQ41" s="73"/>
      <c r="BAR41" s="73"/>
      <c r="BAS41" s="73"/>
      <c r="BAT41" s="73"/>
      <c r="BAU41" s="73"/>
      <c r="BAV41" s="73"/>
      <c r="BAW41" s="73"/>
      <c r="BAX41" s="73"/>
      <c r="BAY41" s="73"/>
      <c r="BAZ41" s="73"/>
      <c r="BBA41" s="73"/>
      <c r="BBB41" s="73"/>
      <c r="BBC41" s="73"/>
      <c r="BBD41" s="73"/>
      <c r="BBE41" s="73"/>
      <c r="BBF41" s="73"/>
      <c r="BBG41" s="73"/>
      <c r="BBH41" s="73"/>
      <c r="BBI41" s="73"/>
      <c r="BBJ41" s="73"/>
      <c r="BBK41" s="73"/>
      <c r="BBL41" s="73"/>
      <c r="BBM41" s="73"/>
      <c r="BBN41" s="73"/>
      <c r="BBO41" s="73"/>
      <c r="BBP41" s="73"/>
      <c r="BBQ41" s="73"/>
      <c r="BBR41" s="73"/>
      <c r="BBS41" s="73"/>
      <c r="BBT41" s="73"/>
      <c r="BBU41" s="73"/>
      <c r="BBV41" s="73"/>
      <c r="BBW41" s="73"/>
      <c r="BBX41" s="73"/>
      <c r="BBY41" s="73"/>
      <c r="BBZ41" s="73"/>
      <c r="BCA41" s="73"/>
      <c r="BCB41" s="73"/>
      <c r="BCC41" s="73"/>
      <c r="BCD41" s="73"/>
      <c r="BCE41" s="73"/>
      <c r="BCF41" s="73"/>
      <c r="BCG41" s="73"/>
      <c r="BCH41" s="73"/>
      <c r="BCI41" s="73"/>
      <c r="BCJ41" s="73"/>
      <c r="BCK41" s="73"/>
      <c r="BCL41" s="73"/>
      <c r="BCM41" s="73"/>
      <c r="BCN41" s="73"/>
      <c r="BCO41" s="73"/>
      <c r="BCP41" s="73"/>
      <c r="BCQ41" s="73"/>
      <c r="BCR41" s="73"/>
      <c r="BCS41" s="73"/>
      <c r="BCT41" s="73"/>
      <c r="BCU41" s="73"/>
      <c r="BCV41" s="73"/>
      <c r="BCW41" s="73"/>
      <c r="BCX41" s="73"/>
      <c r="BCY41" s="73"/>
      <c r="BCZ41" s="73"/>
      <c r="BDA41" s="73"/>
      <c r="BDB41" s="73"/>
      <c r="BDC41" s="73"/>
      <c r="BDD41" s="73"/>
      <c r="BDE41" s="73"/>
      <c r="BDF41" s="73"/>
      <c r="BDG41" s="73"/>
      <c r="BDH41" s="73"/>
      <c r="BDI41" s="73"/>
      <c r="BDJ41" s="73"/>
      <c r="BDK41" s="73"/>
      <c r="BDL41" s="73"/>
      <c r="BDM41" s="73"/>
      <c r="BDN41" s="73"/>
      <c r="BDO41" s="73"/>
      <c r="BDP41" s="73"/>
      <c r="BDQ41" s="73"/>
      <c r="BDR41" s="73"/>
      <c r="BDS41" s="73"/>
      <c r="BDT41" s="73"/>
      <c r="BDU41" s="73"/>
      <c r="BDV41" s="73"/>
      <c r="BDW41" s="73"/>
      <c r="BDX41" s="73"/>
      <c r="BDY41" s="73"/>
      <c r="BDZ41" s="73"/>
      <c r="BEA41" s="73"/>
      <c r="BEB41" s="73"/>
      <c r="BEC41" s="73"/>
      <c r="BED41" s="73"/>
      <c r="BEE41" s="73"/>
      <c r="BEF41" s="73"/>
      <c r="BEG41" s="73"/>
      <c r="BEH41" s="73"/>
      <c r="BEI41" s="73"/>
      <c r="BEJ41" s="73"/>
      <c r="BEK41" s="73"/>
      <c r="BEL41" s="73"/>
      <c r="BEM41" s="73"/>
      <c r="BEN41" s="73"/>
      <c r="BEO41" s="73"/>
      <c r="BEP41" s="73"/>
      <c r="BEQ41" s="73"/>
      <c r="BER41" s="73"/>
      <c r="BES41" s="73"/>
      <c r="BET41" s="73"/>
      <c r="BEU41" s="73"/>
      <c r="BEV41" s="73"/>
      <c r="BEW41" s="73"/>
      <c r="BEX41" s="73"/>
      <c r="BEY41" s="73"/>
      <c r="BEZ41" s="73"/>
      <c r="BFA41" s="73"/>
      <c r="BFB41" s="73"/>
      <c r="BFC41" s="73"/>
      <c r="BFD41" s="73"/>
      <c r="BFE41" s="73"/>
      <c r="BFF41" s="73"/>
      <c r="BFG41" s="73"/>
      <c r="BFH41" s="73"/>
      <c r="BFI41" s="73"/>
      <c r="BFJ41" s="73"/>
      <c r="BFK41" s="73"/>
      <c r="BFL41" s="73"/>
      <c r="BFM41" s="73"/>
      <c r="BFN41" s="73"/>
      <c r="BFO41" s="73"/>
      <c r="BFP41" s="73"/>
      <c r="BFQ41" s="73"/>
      <c r="BFR41" s="73"/>
      <c r="BFS41" s="73"/>
      <c r="BFT41" s="73"/>
      <c r="BFU41" s="73"/>
      <c r="BFV41" s="73"/>
      <c r="BFW41" s="73"/>
      <c r="BFX41" s="73"/>
      <c r="BFY41" s="73"/>
      <c r="BFZ41" s="73"/>
      <c r="BGA41" s="73"/>
      <c r="BGB41" s="73"/>
      <c r="BGC41" s="73"/>
      <c r="BGD41" s="73"/>
      <c r="BGE41" s="73"/>
      <c r="BGF41" s="73"/>
      <c r="BGG41" s="73"/>
      <c r="BGH41" s="73"/>
      <c r="BGI41" s="73"/>
      <c r="BGJ41" s="73"/>
      <c r="BGK41" s="73"/>
      <c r="BGL41" s="73"/>
      <c r="BGM41" s="73"/>
      <c r="BGN41" s="73"/>
      <c r="BGO41" s="73"/>
      <c r="BGP41" s="73"/>
      <c r="BGQ41" s="73"/>
      <c r="BGR41" s="73"/>
      <c r="BGS41" s="73"/>
      <c r="BGT41" s="73"/>
      <c r="BGU41" s="73"/>
      <c r="BGV41" s="73"/>
      <c r="BGW41" s="73"/>
      <c r="BGX41" s="73"/>
      <c r="BGY41" s="73"/>
      <c r="BGZ41" s="73"/>
      <c r="BHA41" s="73"/>
      <c r="BHB41" s="73"/>
      <c r="BHC41" s="73"/>
      <c r="BHD41" s="73"/>
      <c r="BHE41" s="73"/>
      <c r="BHF41" s="73"/>
      <c r="BHG41" s="73"/>
      <c r="BHH41" s="73"/>
      <c r="BHI41" s="73"/>
      <c r="BHJ41" s="73"/>
      <c r="BHK41" s="73"/>
      <c r="BHL41" s="73"/>
      <c r="BHM41" s="73"/>
      <c r="BHN41" s="73"/>
      <c r="BHO41" s="73"/>
      <c r="BHP41" s="73"/>
      <c r="BHQ41" s="73"/>
      <c r="BHR41" s="73"/>
      <c r="BHS41" s="73"/>
      <c r="BHT41" s="73"/>
      <c r="BHU41" s="73"/>
      <c r="BHV41" s="73"/>
      <c r="BHW41" s="73"/>
      <c r="BHX41" s="73"/>
      <c r="BHY41" s="73"/>
      <c r="BHZ41" s="73"/>
      <c r="BIA41" s="73"/>
      <c r="BIB41" s="73"/>
      <c r="BIC41" s="73"/>
      <c r="BID41" s="73"/>
      <c r="BIE41" s="73"/>
      <c r="BIF41" s="73"/>
      <c r="BIG41" s="73"/>
      <c r="BIH41" s="73"/>
      <c r="BII41" s="73"/>
      <c r="BIJ41" s="73"/>
      <c r="BIK41" s="73"/>
      <c r="BIL41" s="73"/>
      <c r="BIM41" s="73"/>
      <c r="BIN41" s="73"/>
      <c r="BIO41" s="73"/>
      <c r="BIP41" s="73"/>
      <c r="BIQ41" s="73"/>
      <c r="BIR41" s="73"/>
      <c r="BIS41" s="73"/>
      <c r="BIT41" s="73"/>
      <c r="BIU41" s="73"/>
      <c r="BIV41" s="73"/>
      <c r="BIW41" s="73"/>
      <c r="BIX41" s="73"/>
      <c r="BIY41" s="73"/>
      <c r="BIZ41" s="73"/>
      <c r="BJA41" s="73"/>
      <c r="BJB41" s="73"/>
      <c r="BJC41" s="73"/>
      <c r="BJD41" s="73"/>
      <c r="BJE41" s="73"/>
      <c r="BJF41" s="73"/>
      <c r="BJG41" s="73"/>
      <c r="BJH41" s="73"/>
      <c r="BJI41" s="73"/>
      <c r="BJJ41" s="73"/>
      <c r="BJK41" s="73"/>
      <c r="BJL41" s="73"/>
      <c r="BJM41" s="73"/>
      <c r="BJN41" s="73"/>
      <c r="BJO41" s="73"/>
      <c r="BJP41" s="73"/>
      <c r="BJQ41" s="73"/>
      <c r="BJR41" s="73"/>
      <c r="BJS41" s="73"/>
      <c r="BJT41" s="73"/>
      <c r="BJU41" s="73"/>
      <c r="BJV41" s="73"/>
      <c r="BJW41" s="73"/>
      <c r="BJX41" s="73"/>
      <c r="BJY41" s="73"/>
      <c r="BJZ41" s="73"/>
      <c r="BKA41" s="73"/>
      <c r="BKB41" s="73"/>
      <c r="BKC41" s="73"/>
      <c r="BKD41" s="73"/>
      <c r="BKE41" s="73"/>
      <c r="BKF41" s="73"/>
      <c r="BKG41" s="73"/>
      <c r="BKH41" s="73"/>
      <c r="BKI41" s="73"/>
      <c r="BKJ41" s="73"/>
      <c r="BKK41" s="73"/>
      <c r="BKL41" s="73"/>
      <c r="BKM41" s="73"/>
      <c r="BKN41" s="73"/>
      <c r="BKO41" s="73"/>
      <c r="BKP41" s="73"/>
      <c r="BKQ41" s="73"/>
      <c r="BKR41" s="73"/>
      <c r="BKS41" s="73"/>
      <c r="BKT41" s="73"/>
      <c r="BKU41" s="73"/>
      <c r="BKV41" s="73"/>
      <c r="BKW41" s="73"/>
      <c r="BKX41" s="73"/>
      <c r="BKY41" s="73"/>
      <c r="BKZ41" s="73"/>
      <c r="BLA41" s="73"/>
      <c r="BLB41" s="73"/>
      <c r="BLC41" s="73"/>
      <c r="BLD41" s="73"/>
      <c r="BLE41" s="73"/>
      <c r="BLF41" s="73"/>
      <c r="BLG41" s="73"/>
      <c r="BLH41" s="73"/>
      <c r="BLI41" s="73"/>
      <c r="BLJ41" s="73"/>
      <c r="BLK41" s="73"/>
      <c r="BLL41" s="73"/>
      <c r="BLM41" s="73"/>
      <c r="BLN41" s="73"/>
      <c r="BLO41" s="73"/>
      <c r="BLP41" s="73"/>
      <c r="BLQ41" s="73"/>
      <c r="BLR41" s="73"/>
      <c r="BLS41" s="73"/>
      <c r="BLT41" s="73"/>
      <c r="BLU41" s="73"/>
      <c r="BLV41" s="73"/>
      <c r="BLW41" s="73"/>
      <c r="BLX41" s="73"/>
      <c r="BLY41" s="73"/>
      <c r="BLZ41" s="73"/>
      <c r="BMA41" s="73"/>
      <c r="BMB41" s="73"/>
      <c r="BMC41" s="73"/>
      <c r="BMD41" s="73"/>
      <c r="BME41" s="73"/>
      <c r="BMF41" s="73"/>
      <c r="BMG41" s="73"/>
      <c r="BMH41" s="73"/>
      <c r="BMI41" s="73"/>
      <c r="BMJ41" s="73"/>
      <c r="BMK41" s="73"/>
      <c r="BML41" s="73"/>
      <c r="BMM41" s="73"/>
      <c r="BMN41" s="73"/>
      <c r="BMO41" s="73"/>
      <c r="BMP41" s="73"/>
      <c r="BMQ41" s="73"/>
      <c r="BMR41" s="73"/>
      <c r="BMS41" s="73"/>
      <c r="BMT41" s="73"/>
      <c r="BMU41" s="73"/>
      <c r="BMV41" s="73"/>
      <c r="BMW41" s="73"/>
      <c r="BMX41" s="73"/>
      <c r="BMY41" s="73"/>
      <c r="BMZ41" s="73"/>
      <c r="BNA41" s="73"/>
      <c r="BNB41" s="73"/>
      <c r="BNC41" s="73"/>
      <c r="BND41" s="73"/>
      <c r="BNE41" s="73"/>
      <c r="BNF41" s="73"/>
      <c r="BNG41" s="73"/>
      <c r="BNH41" s="73"/>
      <c r="BNI41" s="73"/>
      <c r="BNJ41" s="73"/>
      <c r="BNK41" s="73"/>
      <c r="BNL41" s="73"/>
      <c r="BNM41" s="73"/>
      <c r="BNN41" s="73"/>
      <c r="BNO41" s="73"/>
      <c r="BNP41" s="73"/>
      <c r="BNQ41" s="73"/>
      <c r="BNR41" s="73"/>
      <c r="BNS41" s="73"/>
      <c r="BNT41" s="73"/>
      <c r="BNU41" s="73"/>
      <c r="BNV41" s="73"/>
      <c r="BNW41" s="73"/>
      <c r="BNX41" s="73"/>
      <c r="BNY41" s="73"/>
      <c r="BNZ41" s="73"/>
      <c r="BOA41" s="73"/>
      <c r="BOB41" s="73"/>
      <c r="BOC41" s="73"/>
      <c r="BOD41" s="73"/>
      <c r="BOE41" s="73"/>
      <c r="BOF41" s="73"/>
      <c r="BOG41" s="73"/>
      <c r="BOH41" s="73"/>
      <c r="BOI41" s="73"/>
      <c r="BOJ41" s="73"/>
      <c r="BOK41" s="73"/>
      <c r="BOL41" s="73"/>
      <c r="BOM41" s="73"/>
      <c r="BON41" s="73"/>
      <c r="BOO41" s="73"/>
      <c r="BOP41" s="73"/>
      <c r="BOQ41" s="73"/>
      <c r="BOR41" s="73"/>
      <c r="BOS41" s="73"/>
      <c r="BOT41" s="73"/>
      <c r="BOU41" s="73"/>
      <c r="BOV41" s="73"/>
      <c r="BOW41" s="73"/>
      <c r="BOX41" s="73"/>
      <c r="BOY41" s="73"/>
      <c r="BOZ41" s="73"/>
      <c r="BPA41" s="73"/>
      <c r="BPB41" s="73"/>
      <c r="BPC41" s="73"/>
      <c r="BPD41" s="73"/>
      <c r="BPE41" s="73"/>
      <c r="BPF41" s="73"/>
      <c r="BPG41" s="73"/>
      <c r="BPH41" s="73"/>
      <c r="BPI41" s="73"/>
      <c r="BPJ41" s="73"/>
      <c r="BPK41" s="73"/>
      <c r="BPL41" s="73"/>
      <c r="BPM41" s="73"/>
      <c r="BPN41" s="73"/>
      <c r="BPO41" s="73"/>
      <c r="BPP41" s="73"/>
      <c r="BPQ41" s="73"/>
      <c r="BPR41" s="73"/>
      <c r="BPS41" s="73"/>
      <c r="BPT41" s="73"/>
      <c r="BPU41" s="73"/>
      <c r="BPV41" s="73"/>
      <c r="BPW41" s="73"/>
      <c r="BPX41" s="73"/>
      <c r="BPY41" s="73"/>
      <c r="BPZ41" s="73"/>
      <c r="BQA41" s="73"/>
      <c r="BQB41" s="73"/>
      <c r="BQC41" s="73"/>
      <c r="BQD41" s="73"/>
      <c r="BQE41" s="73"/>
      <c r="BQF41" s="73"/>
      <c r="BQG41" s="73"/>
      <c r="BQH41" s="73"/>
      <c r="BQI41" s="73"/>
      <c r="BQJ41" s="73"/>
      <c r="BQK41" s="73"/>
      <c r="BQL41" s="73"/>
      <c r="BQM41" s="73"/>
      <c r="BQN41" s="73"/>
      <c r="BQO41" s="73"/>
      <c r="BQP41" s="73"/>
      <c r="BQQ41" s="73"/>
      <c r="BQR41" s="73"/>
      <c r="BQS41" s="73"/>
      <c r="BQT41" s="73"/>
      <c r="BQU41" s="73"/>
      <c r="BQV41" s="73"/>
      <c r="BQW41" s="73"/>
      <c r="BQX41" s="73"/>
      <c r="BQY41" s="73"/>
      <c r="BQZ41" s="73"/>
      <c r="BRA41" s="73"/>
      <c r="BRB41" s="73"/>
      <c r="BRC41" s="73"/>
      <c r="BRD41" s="73"/>
      <c r="BRE41" s="73"/>
      <c r="BRF41" s="73"/>
      <c r="BRG41" s="73"/>
      <c r="BRH41" s="73"/>
      <c r="BRI41" s="73"/>
      <c r="BRJ41" s="73"/>
      <c r="BRK41" s="73"/>
      <c r="BRL41" s="73"/>
      <c r="BRM41" s="73"/>
      <c r="BRN41" s="73"/>
      <c r="BRO41" s="73"/>
      <c r="BRP41" s="73"/>
      <c r="BRQ41" s="73"/>
      <c r="BRR41" s="73"/>
      <c r="BRS41" s="73"/>
      <c r="BRT41" s="73"/>
      <c r="BRU41" s="73"/>
      <c r="BRV41" s="73"/>
      <c r="BRW41" s="73"/>
      <c r="BRX41" s="73"/>
      <c r="BRY41" s="73"/>
      <c r="BRZ41" s="73"/>
      <c r="BSA41" s="73"/>
      <c r="BSB41" s="73"/>
      <c r="BSC41" s="73"/>
      <c r="BSD41" s="73"/>
      <c r="BSE41" s="73"/>
      <c r="BSF41" s="73"/>
      <c r="BSG41" s="73"/>
      <c r="BSH41" s="73"/>
      <c r="BSI41" s="73"/>
      <c r="BSJ41" s="73"/>
      <c r="BSK41" s="73"/>
      <c r="BSL41" s="73"/>
      <c r="BSM41" s="73"/>
      <c r="BSN41" s="73"/>
      <c r="BSO41" s="73"/>
      <c r="BSP41" s="73"/>
      <c r="BSQ41" s="73"/>
      <c r="BSR41" s="73"/>
      <c r="BSS41" s="73"/>
      <c r="BST41" s="73"/>
      <c r="BSU41" s="73"/>
      <c r="BSV41" s="73"/>
      <c r="BSW41" s="73"/>
      <c r="BSX41" s="73"/>
      <c r="BSY41" s="73"/>
      <c r="BSZ41" s="73"/>
      <c r="BTA41" s="73"/>
      <c r="BTB41" s="73"/>
      <c r="BTC41" s="73"/>
      <c r="BTD41" s="73"/>
      <c r="BTE41" s="73"/>
      <c r="BTF41" s="73"/>
      <c r="BTG41" s="73"/>
      <c r="BTH41" s="73"/>
      <c r="BTI41" s="73"/>
      <c r="BTJ41" s="73"/>
      <c r="BTK41" s="73"/>
      <c r="BTL41" s="73"/>
      <c r="BTM41" s="73"/>
      <c r="BTN41" s="73"/>
      <c r="BTO41" s="73"/>
      <c r="BTP41" s="73"/>
      <c r="BTQ41" s="73"/>
      <c r="BTR41" s="73"/>
      <c r="BTS41" s="73"/>
      <c r="BTT41" s="73"/>
      <c r="BTU41" s="73"/>
      <c r="BTV41" s="73"/>
      <c r="BTW41" s="73"/>
      <c r="BTX41" s="73"/>
      <c r="BTY41" s="73"/>
      <c r="BTZ41" s="73"/>
      <c r="BUA41" s="73"/>
      <c r="BUB41" s="73"/>
      <c r="BUC41" s="73"/>
      <c r="BUD41" s="73"/>
      <c r="BUE41" s="73"/>
      <c r="BUF41" s="73"/>
      <c r="BUG41" s="73"/>
      <c r="BUH41" s="73"/>
      <c r="BUI41" s="73"/>
      <c r="BUJ41" s="73"/>
      <c r="BUK41" s="73"/>
      <c r="BUL41" s="73"/>
      <c r="BUM41" s="73"/>
      <c r="BUN41" s="73"/>
      <c r="BUO41" s="73"/>
      <c r="BUP41" s="73"/>
      <c r="BUQ41" s="73"/>
      <c r="BUR41" s="73"/>
      <c r="BUS41" s="73"/>
      <c r="BUT41" s="73"/>
      <c r="BUU41" s="73"/>
      <c r="BUV41" s="73"/>
      <c r="BUW41" s="73"/>
      <c r="BUX41" s="73"/>
      <c r="BUY41" s="73"/>
      <c r="BUZ41" s="73"/>
      <c r="BVA41" s="73"/>
      <c r="BVB41" s="73"/>
      <c r="BVC41" s="73"/>
      <c r="BVD41" s="73"/>
      <c r="BVE41" s="73"/>
      <c r="BVF41" s="73"/>
      <c r="BVG41" s="73"/>
      <c r="BVH41" s="73"/>
      <c r="BVI41" s="73"/>
      <c r="BVJ41" s="73"/>
      <c r="BVK41" s="73"/>
      <c r="BVL41" s="73"/>
      <c r="BVM41" s="73"/>
      <c r="BVN41" s="73"/>
      <c r="BVO41" s="73"/>
      <c r="BVP41" s="73"/>
      <c r="BVQ41" s="73"/>
      <c r="BVR41" s="73"/>
      <c r="BVS41" s="73"/>
      <c r="BVT41" s="73"/>
      <c r="BVU41" s="73"/>
      <c r="BVV41" s="73"/>
      <c r="BVW41" s="73"/>
      <c r="BVX41" s="73"/>
      <c r="BVY41" s="73"/>
      <c r="BVZ41" s="73"/>
      <c r="BWA41" s="73"/>
      <c r="BWB41" s="73"/>
      <c r="BWC41" s="73"/>
      <c r="BWD41" s="73"/>
      <c r="BWE41" s="73"/>
      <c r="BWF41" s="73"/>
      <c r="BWG41" s="73"/>
      <c r="BWH41" s="73"/>
      <c r="BWI41" s="73"/>
      <c r="BWJ41" s="73"/>
      <c r="BWK41" s="73"/>
      <c r="BWL41" s="73"/>
      <c r="BWM41" s="73"/>
      <c r="BWN41" s="73"/>
      <c r="BWO41" s="73"/>
      <c r="BWP41" s="73"/>
      <c r="BWQ41" s="73"/>
      <c r="BWR41" s="73"/>
      <c r="BWS41" s="73"/>
      <c r="BWT41" s="73"/>
      <c r="BWU41" s="73"/>
      <c r="BWV41" s="73"/>
      <c r="BWW41" s="73"/>
      <c r="BWX41" s="73"/>
      <c r="BWY41" s="73"/>
      <c r="BWZ41" s="73"/>
      <c r="BXA41" s="73"/>
      <c r="BXB41" s="73"/>
      <c r="BXC41" s="73"/>
      <c r="BXD41" s="73"/>
      <c r="BXE41" s="73"/>
      <c r="BXF41" s="73"/>
      <c r="BXG41" s="73"/>
      <c r="BXH41" s="73"/>
      <c r="BXI41" s="73"/>
      <c r="BXJ41" s="73"/>
      <c r="BXK41" s="73"/>
      <c r="BXL41" s="73"/>
      <c r="BXM41" s="73"/>
      <c r="BXN41" s="73"/>
      <c r="BXO41" s="73"/>
      <c r="BXP41" s="73"/>
      <c r="BXQ41" s="73"/>
      <c r="BXR41" s="73"/>
      <c r="BXS41" s="73"/>
      <c r="BXT41" s="73"/>
      <c r="BXU41" s="73"/>
      <c r="BXV41" s="73"/>
      <c r="BXW41" s="73"/>
      <c r="BXX41" s="73"/>
      <c r="BXY41" s="73"/>
      <c r="BXZ41" s="73"/>
      <c r="BYA41" s="73"/>
      <c r="BYB41" s="73"/>
      <c r="BYC41" s="73"/>
      <c r="BYD41" s="73"/>
      <c r="BYE41" s="73"/>
      <c r="BYF41" s="73"/>
      <c r="BYG41" s="73"/>
      <c r="BYH41" s="73"/>
      <c r="BYI41" s="73"/>
      <c r="BYJ41" s="73"/>
      <c r="BYK41" s="73"/>
      <c r="BYL41" s="73"/>
      <c r="BYM41" s="73"/>
      <c r="BYN41" s="73"/>
      <c r="BYO41" s="73"/>
      <c r="BYP41" s="73"/>
      <c r="BYQ41" s="73"/>
      <c r="BYR41" s="73"/>
      <c r="BYS41" s="73"/>
      <c r="BYT41" s="73"/>
      <c r="BYU41" s="73"/>
      <c r="BYV41" s="73"/>
      <c r="BYW41" s="73"/>
      <c r="BYX41" s="73"/>
      <c r="BYY41" s="73"/>
      <c r="BYZ41" s="73"/>
      <c r="BZA41" s="73"/>
      <c r="BZB41" s="73"/>
      <c r="BZC41" s="73"/>
      <c r="BZD41" s="73"/>
      <c r="BZE41" s="73"/>
      <c r="BZF41" s="73"/>
      <c r="BZG41" s="73"/>
      <c r="BZH41" s="73"/>
      <c r="BZI41" s="73"/>
      <c r="BZJ41" s="73"/>
      <c r="BZK41" s="73"/>
      <c r="BZL41" s="73"/>
      <c r="BZM41" s="73"/>
      <c r="BZN41" s="73"/>
      <c r="BZO41" s="73"/>
      <c r="BZP41" s="73"/>
      <c r="BZQ41" s="73"/>
      <c r="BZR41" s="73"/>
      <c r="BZS41" s="73"/>
      <c r="BZT41" s="73"/>
      <c r="BZU41" s="73"/>
      <c r="BZV41" s="73"/>
      <c r="BZW41" s="73"/>
      <c r="BZX41" s="73"/>
      <c r="BZY41" s="73"/>
      <c r="BZZ41" s="73"/>
      <c r="CAA41" s="73"/>
      <c r="CAB41" s="73"/>
      <c r="CAC41" s="73"/>
      <c r="CAD41" s="73"/>
      <c r="CAE41" s="73"/>
      <c r="CAF41" s="73"/>
      <c r="CAG41" s="73"/>
      <c r="CAH41" s="73"/>
      <c r="CAI41" s="73"/>
      <c r="CAJ41" s="73"/>
      <c r="CAK41" s="73"/>
      <c r="CAL41" s="73"/>
      <c r="CAM41" s="73"/>
      <c r="CAN41" s="73"/>
      <c r="CAO41" s="73"/>
      <c r="CAP41" s="73"/>
      <c r="CAQ41" s="73"/>
      <c r="CAR41" s="73"/>
      <c r="CAS41" s="73"/>
      <c r="CAT41" s="73"/>
      <c r="CAU41" s="73"/>
      <c r="CAV41" s="73"/>
      <c r="CAW41" s="73"/>
      <c r="CAX41" s="73"/>
      <c r="CAY41" s="73"/>
      <c r="CAZ41" s="73"/>
      <c r="CBA41" s="73"/>
      <c r="CBB41" s="73"/>
      <c r="CBC41" s="73"/>
      <c r="CBD41" s="73"/>
      <c r="CBE41" s="73"/>
      <c r="CBF41" s="73"/>
      <c r="CBG41" s="73"/>
      <c r="CBH41" s="73"/>
      <c r="CBI41" s="73"/>
      <c r="CBJ41" s="73"/>
      <c r="CBK41" s="73"/>
      <c r="CBL41" s="73"/>
      <c r="CBM41" s="73"/>
      <c r="CBN41" s="73"/>
      <c r="CBO41" s="73"/>
      <c r="CBP41" s="73"/>
      <c r="CBQ41" s="73"/>
      <c r="CBR41" s="73"/>
      <c r="CBS41" s="73"/>
      <c r="CBT41" s="73"/>
      <c r="CBU41" s="73"/>
      <c r="CBV41" s="73"/>
      <c r="CBW41" s="73"/>
      <c r="CBX41" s="73"/>
      <c r="CBY41" s="73"/>
      <c r="CBZ41" s="73"/>
      <c r="CCA41" s="73"/>
      <c r="CCB41" s="73"/>
      <c r="CCC41" s="73"/>
      <c r="CCD41" s="73"/>
      <c r="CCE41" s="73"/>
      <c r="CCF41" s="73"/>
      <c r="CCG41" s="73"/>
      <c r="CCH41" s="73"/>
      <c r="CCI41" s="73"/>
      <c r="CCJ41" s="73"/>
      <c r="CCK41" s="73"/>
      <c r="CCL41" s="73"/>
      <c r="CCM41" s="73"/>
      <c r="CCN41" s="73"/>
      <c r="CCO41" s="73"/>
      <c r="CCP41" s="73"/>
      <c r="CCQ41" s="73"/>
      <c r="CCR41" s="73"/>
      <c r="CCS41" s="73"/>
      <c r="CCT41" s="73"/>
      <c r="CCU41" s="73"/>
      <c r="CCV41" s="73"/>
      <c r="CCW41" s="73"/>
      <c r="CCX41" s="73"/>
      <c r="CCY41" s="73"/>
      <c r="CCZ41" s="73"/>
      <c r="CDA41" s="73"/>
      <c r="CDB41" s="73"/>
      <c r="CDC41" s="73"/>
      <c r="CDD41" s="73"/>
      <c r="CDE41" s="73"/>
      <c r="CDF41" s="73"/>
      <c r="CDG41" s="73"/>
      <c r="CDH41" s="73"/>
      <c r="CDI41" s="73"/>
      <c r="CDJ41" s="73"/>
      <c r="CDK41" s="73"/>
      <c r="CDL41" s="73"/>
      <c r="CDM41" s="73"/>
      <c r="CDN41" s="73"/>
      <c r="CDO41" s="73"/>
      <c r="CDP41" s="73"/>
      <c r="CDQ41" s="73"/>
      <c r="CDR41" s="73"/>
      <c r="CDS41" s="73"/>
      <c r="CDT41" s="73"/>
      <c r="CDU41" s="73"/>
      <c r="CDV41" s="73"/>
      <c r="CDW41" s="73"/>
      <c r="CDX41" s="73"/>
      <c r="CDY41" s="73"/>
      <c r="CDZ41" s="73"/>
      <c r="CEA41" s="73"/>
      <c r="CEB41" s="73"/>
      <c r="CEC41" s="73"/>
      <c r="CED41" s="73"/>
      <c r="CEE41" s="73"/>
      <c r="CEF41" s="73"/>
      <c r="CEG41" s="73"/>
      <c r="CEH41" s="73"/>
      <c r="CEI41" s="73"/>
      <c r="CEJ41" s="73"/>
      <c r="CEK41" s="73"/>
      <c r="CEL41" s="73"/>
      <c r="CEM41" s="73"/>
      <c r="CEN41" s="73"/>
      <c r="CEO41" s="73"/>
      <c r="CEP41" s="73"/>
      <c r="CEQ41" s="73"/>
      <c r="CER41" s="73"/>
      <c r="CES41" s="73"/>
      <c r="CET41" s="73"/>
      <c r="CEU41" s="73"/>
      <c r="CEV41" s="73"/>
      <c r="CEW41" s="73"/>
      <c r="CEX41" s="73"/>
      <c r="CEY41" s="73"/>
      <c r="CEZ41" s="73"/>
      <c r="CFA41" s="73"/>
      <c r="CFB41" s="73"/>
      <c r="CFC41" s="73"/>
      <c r="CFD41" s="73"/>
      <c r="CFE41" s="73"/>
      <c r="CFF41" s="73"/>
      <c r="CFG41" s="73"/>
      <c r="CFH41" s="73"/>
      <c r="CFI41" s="73"/>
      <c r="CFJ41" s="73"/>
      <c r="CFK41" s="73"/>
      <c r="CFL41" s="73"/>
      <c r="CFM41" s="73"/>
      <c r="CFN41" s="73"/>
      <c r="CFO41" s="73"/>
      <c r="CFP41" s="73"/>
      <c r="CFQ41" s="73"/>
      <c r="CFR41" s="73"/>
      <c r="CFS41" s="73"/>
      <c r="CFT41" s="73"/>
      <c r="CFU41" s="73"/>
      <c r="CFV41" s="73"/>
      <c r="CFW41" s="73"/>
      <c r="CFX41" s="73"/>
      <c r="CFY41" s="73"/>
      <c r="CFZ41" s="73"/>
      <c r="CGA41" s="73"/>
      <c r="CGB41" s="73"/>
      <c r="CGC41" s="73"/>
      <c r="CGD41" s="73"/>
      <c r="CGE41" s="73"/>
      <c r="CGF41" s="73"/>
      <c r="CGG41" s="73"/>
      <c r="CGH41" s="73"/>
      <c r="CGI41" s="73"/>
      <c r="CGJ41" s="73"/>
      <c r="CGK41" s="73"/>
      <c r="CGL41" s="73"/>
      <c r="CGM41" s="73"/>
      <c r="CGN41" s="73"/>
      <c r="CGO41" s="73"/>
      <c r="CGP41" s="73"/>
      <c r="CGQ41" s="73"/>
      <c r="CGR41" s="73"/>
      <c r="CGS41" s="73"/>
      <c r="CGT41" s="73"/>
      <c r="CGU41" s="73"/>
      <c r="CGV41" s="73"/>
      <c r="CGW41" s="73"/>
      <c r="CGX41" s="73"/>
      <c r="CGY41" s="73"/>
      <c r="CGZ41" s="73"/>
      <c r="CHA41" s="73"/>
      <c r="CHB41" s="73"/>
      <c r="CHC41" s="73"/>
      <c r="CHD41" s="73"/>
      <c r="CHE41" s="73"/>
      <c r="CHF41" s="73"/>
      <c r="CHG41" s="73"/>
      <c r="CHH41" s="73"/>
      <c r="CHI41" s="73"/>
      <c r="CHJ41" s="73"/>
      <c r="CHK41" s="73"/>
      <c r="CHL41" s="73"/>
      <c r="CHM41" s="73"/>
      <c r="CHN41" s="73"/>
      <c r="CHO41" s="73"/>
      <c r="CHP41" s="73"/>
      <c r="CHQ41" s="73"/>
      <c r="CHR41" s="73"/>
      <c r="CHS41" s="73"/>
      <c r="CHT41" s="73"/>
      <c r="CHU41" s="73"/>
      <c r="CHV41" s="73"/>
      <c r="CHW41" s="73"/>
      <c r="CHX41" s="73"/>
      <c r="CHY41" s="73"/>
      <c r="CHZ41" s="73"/>
      <c r="CIA41" s="73"/>
      <c r="CIB41" s="73"/>
      <c r="CIC41" s="73"/>
      <c r="CID41" s="73"/>
      <c r="CIE41" s="73"/>
      <c r="CIF41" s="73"/>
      <c r="CIG41" s="73"/>
      <c r="CIH41" s="73"/>
      <c r="CII41" s="73"/>
      <c r="CIJ41" s="73"/>
      <c r="CIK41" s="73"/>
      <c r="CIL41" s="73"/>
      <c r="CIM41" s="73"/>
      <c r="CIN41" s="73"/>
      <c r="CIO41" s="73"/>
      <c r="CIP41" s="73"/>
      <c r="CIQ41" s="73"/>
      <c r="CIR41" s="73"/>
      <c r="CIS41" s="73"/>
      <c r="CIT41" s="73"/>
      <c r="CIU41" s="73"/>
      <c r="CIV41" s="73"/>
      <c r="CIW41" s="73"/>
      <c r="CIX41" s="73"/>
      <c r="CIY41" s="73"/>
      <c r="CIZ41" s="73"/>
      <c r="CJA41" s="73"/>
      <c r="CJB41" s="73"/>
      <c r="CJC41" s="73"/>
      <c r="CJD41" s="73"/>
      <c r="CJE41" s="73"/>
      <c r="CJF41" s="73"/>
      <c r="CJG41" s="73"/>
      <c r="CJH41" s="73"/>
      <c r="CJI41" s="73"/>
      <c r="CJJ41" s="73"/>
      <c r="CJK41" s="73"/>
      <c r="CJL41" s="73"/>
      <c r="CJM41" s="73"/>
      <c r="CJN41" s="73"/>
      <c r="CJO41" s="73"/>
      <c r="CJP41" s="73"/>
      <c r="CJQ41" s="73"/>
      <c r="CJR41" s="73"/>
      <c r="CJS41" s="73"/>
      <c r="CJT41" s="73"/>
      <c r="CJU41" s="73"/>
      <c r="CJV41" s="73"/>
      <c r="CJW41" s="73"/>
      <c r="CJX41" s="73"/>
      <c r="CJY41" s="73"/>
      <c r="CJZ41" s="73"/>
      <c r="CKA41" s="73"/>
      <c r="CKB41" s="73"/>
      <c r="CKC41" s="73"/>
      <c r="CKD41" s="73"/>
      <c r="CKE41" s="73"/>
      <c r="CKF41" s="73"/>
      <c r="CKG41" s="73"/>
      <c r="CKH41" s="73"/>
      <c r="CKI41" s="73"/>
      <c r="CKJ41" s="73"/>
      <c r="CKK41" s="73"/>
      <c r="CKL41" s="73"/>
      <c r="CKM41" s="73"/>
      <c r="CKN41" s="73"/>
      <c r="CKO41" s="73"/>
      <c r="CKP41" s="73"/>
      <c r="CKQ41" s="73"/>
      <c r="CKR41" s="73"/>
      <c r="CKS41" s="73"/>
      <c r="CKT41" s="73"/>
      <c r="CKU41" s="73"/>
      <c r="CKV41" s="73"/>
      <c r="CKW41" s="73"/>
      <c r="CKX41" s="73"/>
      <c r="CKY41" s="73"/>
      <c r="CKZ41" s="73"/>
      <c r="CLA41" s="73"/>
      <c r="CLB41" s="73"/>
      <c r="CLC41" s="73"/>
      <c r="CLD41" s="73"/>
      <c r="CLE41" s="73"/>
      <c r="CLF41" s="73"/>
      <c r="CLG41" s="73"/>
      <c r="CLH41" s="73"/>
      <c r="CLI41" s="73"/>
      <c r="CLJ41" s="73"/>
      <c r="CLK41" s="73"/>
      <c r="CLL41" s="73"/>
      <c r="CLM41" s="73"/>
      <c r="CLN41" s="73"/>
      <c r="CLO41" s="73"/>
      <c r="CLP41" s="73"/>
      <c r="CLQ41" s="73"/>
      <c r="CLR41" s="73"/>
      <c r="CLS41" s="73"/>
      <c r="CLT41" s="73"/>
      <c r="CLU41" s="73"/>
      <c r="CLV41" s="73"/>
      <c r="CLW41" s="73"/>
      <c r="CLX41" s="73"/>
      <c r="CLY41" s="73"/>
      <c r="CLZ41" s="73"/>
      <c r="CMA41" s="73"/>
      <c r="CMB41" s="73"/>
      <c r="CMC41" s="73"/>
      <c r="CMD41" s="73"/>
      <c r="CME41" s="73"/>
      <c r="CMF41" s="73"/>
      <c r="CMG41" s="73"/>
      <c r="CMH41" s="73"/>
      <c r="CMI41" s="73"/>
      <c r="CMJ41" s="73"/>
      <c r="CMK41" s="73"/>
      <c r="CML41" s="73"/>
      <c r="CMM41" s="73"/>
      <c r="CMN41" s="73"/>
      <c r="CMO41" s="73"/>
      <c r="CMP41" s="73"/>
      <c r="CMQ41" s="73"/>
      <c r="CMR41" s="73"/>
      <c r="CMS41" s="73"/>
      <c r="CMT41" s="73"/>
      <c r="CMU41" s="73"/>
      <c r="CMV41" s="73"/>
      <c r="CMW41" s="73"/>
      <c r="CMX41" s="73"/>
      <c r="CMY41" s="73"/>
      <c r="CMZ41" s="73"/>
      <c r="CNA41" s="73"/>
      <c r="CNB41" s="73"/>
      <c r="CNC41" s="73"/>
      <c r="CND41" s="73"/>
      <c r="CNE41" s="73"/>
      <c r="CNF41" s="73"/>
      <c r="CNG41" s="73"/>
      <c r="CNH41" s="73"/>
      <c r="CNI41" s="73"/>
      <c r="CNJ41" s="73"/>
      <c r="CNK41" s="73"/>
      <c r="CNL41" s="73"/>
      <c r="CNM41" s="73"/>
      <c r="CNN41" s="73"/>
      <c r="CNO41" s="73"/>
      <c r="CNP41" s="73"/>
      <c r="CNQ41" s="73"/>
      <c r="CNR41" s="73"/>
      <c r="CNS41" s="73"/>
      <c r="CNT41" s="73"/>
      <c r="CNU41" s="73"/>
      <c r="CNV41" s="73"/>
      <c r="CNW41" s="73"/>
      <c r="CNX41" s="73"/>
      <c r="CNY41" s="73"/>
      <c r="CNZ41" s="73"/>
      <c r="COA41" s="73"/>
      <c r="COB41" s="73"/>
      <c r="COC41" s="73"/>
      <c r="COD41" s="73"/>
      <c r="COE41" s="73"/>
      <c r="COF41" s="73"/>
      <c r="COG41" s="73"/>
      <c r="COH41" s="73"/>
      <c r="COI41" s="73"/>
      <c r="COJ41" s="73"/>
      <c r="COK41" s="73"/>
      <c r="COL41" s="73"/>
      <c r="COM41" s="73"/>
      <c r="CON41" s="73"/>
      <c r="COO41" s="73"/>
      <c r="COP41" s="73"/>
      <c r="COQ41" s="73"/>
      <c r="COR41" s="73"/>
      <c r="COS41" s="73"/>
      <c r="COT41" s="73"/>
      <c r="COU41" s="73"/>
      <c r="COV41" s="73"/>
      <c r="COW41" s="73"/>
      <c r="COX41" s="73"/>
      <c r="COY41" s="73"/>
      <c r="COZ41" s="73"/>
      <c r="CPA41" s="73"/>
      <c r="CPB41" s="73"/>
      <c r="CPC41" s="73"/>
      <c r="CPD41" s="73"/>
      <c r="CPE41" s="73"/>
      <c r="CPF41" s="73"/>
      <c r="CPG41" s="73"/>
      <c r="CPH41" s="73"/>
      <c r="CPI41" s="73"/>
      <c r="CPJ41" s="73"/>
      <c r="CPK41" s="73"/>
      <c r="CPL41" s="73"/>
      <c r="CPM41" s="73"/>
      <c r="CPN41" s="73"/>
      <c r="CPO41" s="73"/>
      <c r="CPP41" s="73"/>
      <c r="CPQ41" s="73"/>
      <c r="CPR41" s="73"/>
      <c r="CPS41" s="73"/>
      <c r="CPT41" s="73"/>
      <c r="CPU41" s="73"/>
      <c r="CPV41" s="73"/>
      <c r="CPW41" s="73"/>
      <c r="CPX41" s="73"/>
      <c r="CPY41" s="73"/>
      <c r="CPZ41" s="73"/>
      <c r="CQA41" s="73"/>
      <c r="CQB41" s="73"/>
      <c r="CQC41" s="73"/>
      <c r="CQD41" s="73"/>
      <c r="CQE41" s="73"/>
      <c r="CQF41" s="73"/>
      <c r="CQG41" s="73"/>
      <c r="CQH41" s="73"/>
      <c r="CQI41" s="73"/>
      <c r="CQJ41" s="73"/>
      <c r="CQK41" s="73"/>
      <c r="CQL41" s="73"/>
      <c r="CQM41" s="73"/>
      <c r="CQN41" s="73"/>
      <c r="CQO41" s="73"/>
      <c r="CQP41" s="73"/>
      <c r="CQQ41" s="73"/>
      <c r="CQR41" s="73"/>
      <c r="CQS41" s="73"/>
      <c r="CQT41" s="73"/>
      <c r="CQU41" s="73"/>
      <c r="CQV41" s="73"/>
      <c r="CQW41" s="73"/>
      <c r="CQX41" s="73"/>
      <c r="CQY41" s="73"/>
      <c r="CQZ41" s="73"/>
      <c r="CRA41" s="73"/>
      <c r="CRB41" s="73"/>
      <c r="CRC41" s="73"/>
      <c r="CRD41" s="73"/>
      <c r="CRE41" s="73"/>
      <c r="CRF41" s="73"/>
      <c r="CRG41" s="73"/>
      <c r="CRH41" s="73"/>
      <c r="CRI41" s="73"/>
      <c r="CRJ41" s="73"/>
      <c r="CRK41" s="73"/>
      <c r="CRL41" s="73"/>
      <c r="CRM41" s="73"/>
      <c r="CRN41" s="73"/>
      <c r="CRO41" s="73"/>
      <c r="CRP41" s="73"/>
      <c r="CRQ41" s="73"/>
      <c r="CRR41" s="73"/>
      <c r="CRS41" s="73"/>
      <c r="CRT41" s="73"/>
      <c r="CRU41" s="73"/>
      <c r="CRV41" s="73"/>
      <c r="CRW41" s="73"/>
      <c r="CRX41" s="73"/>
      <c r="CRY41" s="73"/>
      <c r="CRZ41" s="73"/>
      <c r="CSA41" s="73"/>
      <c r="CSB41" s="73"/>
      <c r="CSC41" s="73"/>
      <c r="CSD41" s="73"/>
      <c r="CSE41" s="73"/>
      <c r="CSF41" s="73"/>
      <c r="CSG41" s="73"/>
      <c r="CSH41" s="73"/>
      <c r="CSI41" s="73"/>
      <c r="CSJ41" s="73"/>
      <c r="CSK41" s="73"/>
      <c r="CSL41" s="73"/>
      <c r="CSM41" s="73"/>
      <c r="CSN41" s="73"/>
      <c r="CSO41" s="73"/>
      <c r="CSP41" s="73"/>
      <c r="CSQ41" s="73"/>
      <c r="CSR41" s="73"/>
      <c r="CSS41" s="73"/>
      <c r="CST41" s="73"/>
      <c r="CSU41" s="73"/>
      <c r="CSV41" s="73"/>
      <c r="CSW41" s="73"/>
      <c r="CSX41" s="73"/>
      <c r="CSY41" s="73"/>
      <c r="CSZ41" s="73"/>
      <c r="CTA41" s="73"/>
      <c r="CTB41" s="73"/>
      <c r="CTC41" s="73"/>
      <c r="CTD41" s="73"/>
      <c r="CTE41" s="73"/>
      <c r="CTF41" s="73"/>
      <c r="CTG41" s="73"/>
      <c r="CTH41" s="73"/>
      <c r="CTI41" s="73"/>
      <c r="CTJ41" s="73"/>
      <c r="CTK41" s="73"/>
      <c r="CTL41" s="73"/>
      <c r="CTM41" s="73"/>
      <c r="CTN41" s="73"/>
      <c r="CTO41" s="73"/>
      <c r="CTP41" s="73"/>
      <c r="CTQ41" s="73"/>
      <c r="CTR41" s="73"/>
      <c r="CTS41" s="73"/>
      <c r="CTT41" s="73"/>
      <c r="CTU41" s="73"/>
      <c r="CTV41" s="73"/>
      <c r="CTW41" s="73"/>
      <c r="CTX41" s="73"/>
      <c r="CTY41" s="73"/>
      <c r="CTZ41" s="73"/>
      <c r="CUA41" s="73"/>
      <c r="CUB41" s="73"/>
      <c r="CUC41" s="73"/>
      <c r="CUD41" s="73"/>
      <c r="CUE41" s="73"/>
      <c r="CUF41" s="73"/>
      <c r="CUG41" s="73"/>
      <c r="CUH41" s="73"/>
      <c r="CUI41" s="73"/>
      <c r="CUJ41" s="73"/>
      <c r="CUK41" s="73"/>
      <c r="CUL41" s="73"/>
      <c r="CUM41" s="73"/>
      <c r="CUN41" s="73"/>
      <c r="CUO41" s="73"/>
      <c r="CUP41" s="73"/>
      <c r="CUQ41" s="73"/>
      <c r="CUR41" s="73"/>
      <c r="CUS41" s="73"/>
      <c r="CUT41" s="73"/>
      <c r="CUU41" s="73"/>
      <c r="CUV41" s="73"/>
      <c r="CUW41" s="73"/>
      <c r="CUX41" s="73"/>
      <c r="CUY41" s="73"/>
      <c r="CUZ41" s="73"/>
      <c r="CVA41" s="73"/>
      <c r="CVB41" s="73"/>
      <c r="CVC41" s="73"/>
      <c r="CVD41" s="73"/>
      <c r="CVE41" s="73"/>
      <c r="CVF41" s="73"/>
      <c r="CVG41" s="73"/>
      <c r="CVH41" s="73"/>
      <c r="CVI41" s="73"/>
      <c r="CVJ41" s="73"/>
      <c r="CVK41" s="73"/>
      <c r="CVL41" s="73"/>
      <c r="CVM41" s="73"/>
      <c r="CVN41" s="73"/>
      <c r="CVO41" s="73"/>
      <c r="CVP41" s="73"/>
      <c r="CVQ41" s="73"/>
      <c r="CVR41" s="73"/>
      <c r="CVS41" s="73"/>
      <c r="CVT41" s="73"/>
      <c r="CVU41" s="73"/>
      <c r="CVV41" s="73"/>
      <c r="CVW41" s="73"/>
      <c r="CVX41" s="73"/>
      <c r="CVY41" s="73"/>
      <c r="CVZ41" s="73"/>
      <c r="CWA41" s="73"/>
      <c r="CWB41" s="73"/>
      <c r="CWC41" s="73"/>
      <c r="CWD41" s="73"/>
      <c r="CWE41" s="73"/>
      <c r="CWF41" s="73"/>
      <c r="CWG41" s="73"/>
      <c r="CWH41" s="73"/>
      <c r="CWI41" s="73"/>
      <c r="CWJ41" s="73"/>
      <c r="CWK41" s="73"/>
      <c r="CWL41" s="73"/>
      <c r="CWM41" s="73"/>
      <c r="CWN41" s="73"/>
      <c r="CWO41" s="73"/>
      <c r="CWP41" s="73"/>
      <c r="CWQ41" s="73"/>
      <c r="CWR41" s="73"/>
      <c r="CWS41" s="73"/>
      <c r="CWT41" s="73"/>
      <c r="CWU41" s="73"/>
      <c r="CWV41" s="73"/>
      <c r="CWW41" s="73"/>
      <c r="CWX41" s="73"/>
      <c r="CWY41" s="73"/>
      <c r="CWZ41" s="73"/>
      <c r="CXA41" s="73"/>
      <c r="CXB41" s="73"/>
      <c r="CXC41" s="73"/>
      <c r="CXD41" s="73"/>
      <c r="CXE41" s="73"/>
      <c r="CXF41" s="73"/>
      <c r="CXG41" s="73"/>
      <c r="CXH41" s="73"/>
      <c r="CXI41" s="73"/>
      <c r="CXJ41" s="73"/>
      <c r="CXK41" s="73"/>
      <c r="CXL41" s="73"/>
      <c r="CXM41" s="73"/>
      <c r="CXN41" s="73"/>
      <c r="CXO41" s="73"/>
      <c r="CXP41" s="73"/>
      <c r="CXQ41" s="73"/>
      <c r="CXR41" s="73"/>
      <c r="CXS41" s="73"/>
      <c r="CXT41" s="73"/>
      <c r="CXU41" s="73"/>
      <c r="CXV41" s="73"/>
      <c r="CXW41" s="73"/>
      <c r="CXX41" s="73"/>
      <c r="CXY41" s="73"/>
      <c r="CXZ41" s="73"/>
      <c r="CYA41" s="73"/>
      <c r="CYB41" s="73"/>
      <c r="CYC41" s="73"/>
      <c r="CYD41" s="73"/>
      <c r="CYE41" s="73"/>
      <c r="CYF41" s="73"/>
      <c r="CYG41" s="73"/>
      <c r="CYH41" s="73"/>
      <c r="CYI41" s="73"/>
      <c r="CYJ41" s="73"/>
      <c r="CYK41" s="73"/>
      <c r="CYL41" s="73"/>
      <c r="CYM41" s="73"/>
      <c r="CYN41" s="73"/>
      <c r="CYO41" s="73"/>
      <c r="CYP41" s="73"/>
      <c r="CYQ41" s="73"/>
      <c r="CYR41" s="73"/>
      <c r="CYS41" s="73"/>
      <c r="CYT41" s="73"/>
      <c r="CYU41" s="73"/>
      <c r="CYV41" s="73"/>
      <c r="CYW41" s="73"/>
      <c r="CYX41" s="73"/>
      <c r="CYY41" s="73"/>
      <c r="CYZ41" s="73"/>
      <c r="CZA41" s="73"/>
      <c r="CZB41" s="73"/>
      <c r="CZC41" s="73"/>
      <c r="CZD41" s="73"/>
      <c r="CZE41" s="73"/>
      <c r="CZF41" s="73"/>
      <c r="CZG41" s="73"/>
      <c r="CZH41" s="73"/>
      <c r="CZI41" s="73"/>
      <c r="CZJ41" s="73"/>
      <c r="CZK41" s="73"/>
      <c r="CZL41" s="73"/>
      <c r="CZM41" s="73"/>
      <c r="CZN41" s="73"/>
      <c r="CZO41" s="73"/>
      <c r="CZP41" s="73"/>
      <c r="CZQ41" s="73"/>
      <c r="CZR41" s="73"/>
      <c r="CZS41" s="73"/>
      <c r="CZT41" s="73"/>
      <c r="CZU41" s="73"/>
      <c r="CZV41" s="73"/>
      <c r="CZW41" s="73"/>
      <c r="CZX41" s="73"/>
      <c r="CZY41" s="73"/>
      <c r="CZZ41" s="73"/>
      <c r="DAA41" s="73"/>
      <c r="DAB41" s="73"/>
      <c r="DAC41" s="73"/>
      <c r="DAD41" s="73"/>
      <c r="DAE41" s="73"/>
      <c r="DAF41" s="73"/>
      <c r="DAG41" s="73"/>
      <c r="DAH41" s="73"/>
      <c r="DAI41" s="73"/>
      <c r="DAJ41" s="73"/>
      <c r="DAK41" s="73"/>
      <c r="DAL41" s="73"/>
      <c r="DAM41" s="73"/>
      <c r="DAN41" s="73"/>
      <c r="DAO41" s="73"/>
      <c r="DAP41" s="73"/>
      <c r="DAQ41" s="73"/>
      <c r="DAR41" s="73"/>
      <c r="DAS41" s="73"/>
      <c r="DAT41" s="73"/>
      <c r="DAU41" s="73"/>
      <c r="DAV41" s="73"/>
      <c r="DAW41" s="73"/>
      <c r="DAX41" s="73"/>
      <c r="DAY41" s="73"/>
      <c r="DAZ41" s="73"/>
      <c r="DBA41" s="73"/>
      <c r="DBB41" s="73"/>
      <c r="DBC41" s="73"/>
      <c r="DBD41" s="73"/>
      <c r="DBE41" s="73"/>
      <c r="DBF41" s="73"/>
      <c r="DBG41" s="73"/>
      <c r="DBH41" s="73"/>
      <c r="DBI41" s="73"/>
      <c r="DBJ41" s="73"/>
      <c r="DBK41" s="73"/>
      <c r="DBL41" s="73"/>
      <c r="DBM41" s="73"/>
      <c r="DBN41" s="73"/>
      <c r="DBO41" s="73"/>
      <c r="DBP41" s="73"/>
      <c r="DBQ41" s="73"/>
      <c r="DBR41" s="73"/>
      <c r="DBS41" s="73"/>
      <c r="DBT41" s="73"/>
      <c r="DBU41" s="73"/>
      <c r="DBV41" s="73"/>
      <c r="DBW41" s="73"/>
      <c r="DBX41" s="73"/>
      <c r="DBY41" s="73"/>
      <c r="DBZ41" s="73"/>
      <c r="DCA41" s="73"/>
      <c r="DCB41" s="73"/>
      <c r="DCC41" s="73"/>
      <c r="DCD41" s="73"/>
      <c r="DCE41" s="73"/>
      <c r="DCF41" s="73"/>
      <c r="DCG41" s="73"/>
      <c r="DCH41" s="73"/>
      <c r="DCI41" s="73"/>
      <c r="DCJ41" s="73"/>
      <c r="DCK41" s="73"/>
      <c r="DCL41" s="73"/>
      <c r="DCM41" s="73"/>
      <c r="DCN41" s="73"/>
      <c r="DCO41" s="73"/>
      <c r="DCP41" s="73"/>
      <c r="DCQ41" s="73"/>
      <c r="DCR41" s="73"/>
      <c r="DCS41" s="73"/>
      <c r="DCT41" s="73"/>
      <c r="DCU41" s="73"/>
      <c r="DCV41" s="73"/>
      <c r="DCW41" s="73"/>
      <c r="DCX41" s="73"/>
      <c r="DCY41" s="73"/>
      <c r="DCZ41" s="73"/>
      <c r="DDA41" s="73"/>
      <c r="DDB41" s="73"/>
      <c r="DDC41" s="73"/>
      <c r="DDD41" s="73"/>
      <c r="DDE41" s="73"/>
      <c r="DDF41" s="73"/>
      <c r="DDG41" s="73"/>
      <c r="DDH41" s="73"/>
      <c r="DDI41" s="73"/>
      <c r="DDJ41" s="73"/>
      <c r="DDK41" s="73"/>
      <c r="DDL41" s="73"/>
      <c r="DDM41" s="73"/>
      <c r="DDN41" s="73"/>
      <c r="DDO41" s="73"/>
      <c r="DDP41" s="73"/>
      <c r="DDQ41" s="73"/>
      <c r="DDR41" s="73"/>
      <c r="DDS41" s="73"/>
      <c r="DDT41" s="73"/>
      <c r="DDU41" s="73"/>
      <c r="DDV41" s="73"/>
      <c r="DDW41" s="73"/>
      <c r="DDX41" s="73"/>
      <c r="DDY41" s="73"/>
      <c r="DDZ41" s="73"/>
      <c r="DEA41" s="73"/>
      <c r="DEB41" s="73"/>
      <c r="DEC41" s="73"/>
      <c r="DED41" s="73"/>
      <c r="DEE41" s="73"/>
      <c r="DEF41" s="73"/>
      <c r="DEG41" s="73"/>
      <c r="DEH41" s="73"/>
      <c r="DEI41" s="73"/>
      <c r="DEJ41" s="73"/>
      <c r="DEK41" s="73"/>
      <c r="DEL41" s="73"/>
      <c r="DEM41" s="73"/>
      <c r="DEN41" s="73"/>
      <c r="DEO41" s="73"/>
      <c r="DEP41" s="73"/>
      <c r="DEQ41" s="73"/>
      <c r="DER41" s="73"/>
      <c r="DES41" s="73"/>
      <c r="DET41" s="73"/>
      <c r="DEU41" s="73"/>
      <c r="DEV41" s="73"/>
      <c r="DEW41" s="73"/>
      <c r="DEX41" s="73"/>
      <c r="DEY41" s="73"/>
      <c r="DEZ41" s="73"/>
      <c r="DFA41" s="73"/>
      <c r="DFB41" s="73"/>
      <c r="DFC41" s="73"/>
      <c r="DFD41" s="73"/>
      <c r="DFE41" s="73"/>
      <c r="DFF41" s="73"/>
      <c r="DFG41" s="73"/>
      <c r="DFH41" s="73"/>
      <c r="DFI41" s="73"/>
      <c r="DFJ41" s="73"/>
      <c r="DFK41" s="73"/>
      <c r="DFL41" s="73"/>
      <c r="DFM41" s="73"/>
      <c r="DFN41" s="73"/>
      <c r="DFO41" s="73"/>
      <c r="DFP41" s="73"/>
      <c r="DFQ41" s="73"/>
      <c r="DFR41" s="73"/>
      <c r="DFS41" s="73"/>
      <c r="DFT41" s="73"/>
      <c r="DFU41" s="73"/>
      <c r="DFV41" s="73"/>
      <c r="DFW41" s="73"/>
      <c r="DFX41" s="73"/>
      <c r="DFY41" s="73"/>
      <c r="DFZ41" s="73"/>
      <c r="DGA41" s="73"/>
      <c r="DGB41" s="73"/>
      <c r="DGC41" s="73"/>
      <c r="DGD41" s="73"/>
      <c r="DGE41" s="73"/>
      <c r="DGF41" s="73"/>
      <c r="DGG41" s="73"/>
      <c r="DGH41" s="73"/>
      <c r="DGI41" s="73"/>
      <c r="DGJ41" s="73"/>
      <c r="DGK41" s="73"/>
      <c r="DGL41" s="73"/>
      <c r="DGM41" s="73"/>
      <c r="DGN41" s="73"/>
      <c r="DGO41" s="73"/>
      <c r="DGP41" s="73"/>
      <c r="DGQ41" s="73"/>
      <c r="DGR41" s="73"/>
      <c r="DGS41" s="73"/>
      <c r="DGT41" s="73"/>
      <c r="DGU41" s="73"/>
      <c r="DGV41" s="73"/>
      <c r="DGW41" s="73"/>
      <c r="DGX41" s="73"/>
      <c r="DGY41" s="73"/>
      <c r="DGZ41" s="73"/>
      <c r="DHA41" s="73"/>
      <c r="DHB41" s="73"/>
      <c r="DHC41" s="73"/>
      <c r="DHD41" s="73"/>
      <c r="DHE41" s="73"/>
      <c r="DHF41" s="73"/>
      <c r="DHG41" s="73"/>
      <c r="DHH41" s="73"/>
      <c r="DHI41" s="73"/>
      <c r="DHJ41" s="73"/>
      <c r="DHK41" s="73"/>
      <c r="DHL41" s="73"/>
      <c r="DHM41" s="73"/>
      <c r="DHN41" s="73"/>
      <c r="DHO41" s="73"/>
      <c r="DHP41" s="73"/>
      <c r="DHQ41" s="73"/>
      <c r="DHR41" s="73"/>
      <c r="DHS41" s="73"/>
      <c r="DHT41" s="73"/>
      <c r="DHU41" s="73"/>
      <c r="DHV41" s="73"/>
      <c r="DHW41" s="73"/>
      <c r="DHX41" s="73"/>
      <c r="DHY41" s="73"/>
      <c r="DHZ41" s="73"/>
      <c r="DIA41" s="73"/>
      <c r="DIB41" s="73"/>
      <c r="DIC41" s="73"/>
      <c r="DID41" s="73"/>
      <c r="DIE41" s="73"/>
      <c r="DIF41" s="73"/>
      <c r="DIG41" s="73"/>
      <c r="DIH41" s="73"/>
      <c r="DII41" s="73"/>
      <c r="DIJ41" s="73"/>
      <c r="DIK41" s="73"/>
      <c r="DIL41" s="73"/>
      <c r="DIM41" s="73"/>
      <c r="DIN41" s="73"/>
      <c r="DIO41" s="73"/>
      <c r="DIP41" s="73"/>
      <c r="DIQ41" s="73"/>
      <c r="DIR41" s="73"/>
      <c r="DIS41" s="73"/>
      <c r="DIT41" s="73"/>
      <c r="DIU41" s="73"/>
      <c r="DIV41" s="73"/>
      <c r="DIW41" s="73"/>
      <c r="DIX41" s="73"/>
      <c r="DIY41" s="73"/>
      <c r="DIZ41" s="73"/>
      <c r="DJA41" s="73"/>
      <c r="DJB41" s="73"/>
      <c r="DJC41" s="73"/>
      <c r="DJD41" s="73"/>
      <c r="DJE41" s="73"/>
      <c r="DJF41" s="73"/>
      <c r="DJG41" s="73"/>
      <c r="DJH41" s="73"/>
      <c r="DJI41" s="73"/>
      <c r="DJJ41" s="73"/>
      <c r="DJK41" s="73"/>
      <c r="DJL41" s="73"/>
      <c r="DJM41" s="73"/>
      <c r="DJN41" s="73"/>
      <c r="DJO41" s="73"/>
      <c r="DJP41" s="73"/>
      <c r="DJQ41" s="73"/>
      <c r="DJR41" s="73"/>
      <c r="DJS41" s="73"/>
      <c r="DJT41" s="73"/>
      <c r="DJU41" s="73"/>
      <c r="DJV41" s="73"/>
      <c r="DJW41" s="73"/>
      <c r="DJX41" s="73"/>
      <c r="DJY41" s="73"/>
      <c r="DJZ41" s="73"/>
      <c r="DKA41" s="73"/>
      <c r="DKB41" s="73"/>
      <c r="DKC41" s="73"/>
      <c r="DKD41" s="73"/>
      <c r="DKE41" s="73"/>
      <c r="DKF41" s="73"/>
      <c r="DKG41" s="73"/>
      <c r="DKH41" s="73"/>
      <c r="DKI41" s="73"/>
      <c r="DKJ41" s="73"/>
      <c r="DKK41" s="73"/>
      <c r="DKL41" s="73"/>
      <c r="DKM41" s="73"/>
      <c r="DKN41" s="73"/>
      <c r="DKO41" s="73"/>
      <c r="DKP41" s="73"/>
      <c r="DKQ41" s="73"/>
      <c r="DKR41" s="73"/>
      <c r="DKS41" s="73"/>
      <c r="DKT41" s="73"/>
      <c r="DKU41" s="73"/>
      <c r="DKV41" s="73"/>
      <c r="DKW41" s="73"/>
      <c r="DKX41" s="73"/>
      <c r="DKY41" s="73"/>
      <c r="DKZ41" s="73"/>
      <c r="DLA41" s="73"/>
      <c r="DLB41" s="73"/>
      <c r="DLC41" s="73"/>
      <c r="DLD41" s="73"/>
      <c r="DLE41" s="73"/>
      <c r="DLF41" s="73"/>
      <c r="DLG41" s="73"/>
      <c r="DLH41" s="73"/>
      <c r="DLI41" s="73"/>
      <c r="DLJ41" s="73"/>
      <c r="DLK41" s="73"/>
      <c r="DLL41" s="73"/>
      <c r="DLM41" s="73"/>
      <c r="DLN41" s="73"/>
      <c r="DLO41" s="73"/>
      <c r="DLP41" s="73"/>
      <c r="DLQ41" s="73"/>
      <c r="DLR41" s="73"/>
      <c r="DLS41" s="73"/>
      <c r="DLT41" s="73"/>
      <c r="DLU41" s="73"/>
      <c r="DLV41" s="73"/>
      <c r="DLW41" s="73"/>
      <c r="DLX41" s="73"/>
      <c r="DLY41" s="73"/>
      <c r="DLZ41" s="73"/>
      <c r="DMA41" s="73"/>
      <c r="DMB41" s="73"/>
      <c r="DMC41" s="73"/>
      <c r="DMD41" s="73"/>
      <c r="DME41" s="73"/>
      <c r="DMF41" s="73"/>
      <c r="DMG41" s="73"/>
      <c r="DMH41" s="73"/>
      <c r="DMI41" s="73"/>
      <c r="DMJ41" s="73"/>
      <c r="DMK41" s="73"/>
      <c r="DML41" s="73"/>
      <c r="DMM41" s="73"/>
      <c r="DMN41" s="73"/>
      <c r="DMO41" s="73"/>
      <c r="DMP41" s="73"/>
      <c r="DMQ41" s="73"/>
      <c r="DMR41" s="73"/>
      <c r="DMS41" s="73"/>
      <c r="DMT41" s="73"/>
      <c r="DMU41" s="73"/>
      <c r="DMV41" s="73"/>
      <c r="DMW41" s="73"/>
      <c r="DMX41" s="73"/>
      <c r="DMY41" s="73"/>
      <c r="DMZ41" s="73"/>
      <c r="DNA41" s="73"/>
      <c r="DNB41" s="73"/>
      <c r="DNC41" s="73"/>
      <c r="DND41" s="73"/>
      <c r="DNE41" s="73"/>
      <c r="DNF41" s="73"/>
      <c r="DNG41" s="73"/>
      <c r="DNH41" s="73"/>
      <c r="DNI41" s="73"/>
      <c r="DNJ41" s="73"/>
      <c r="DNK41" s="73"/>
      <c r="DNL41" s="73"/>
      <c r="DNM41" s="73"/>
      <c r="DNN41" s="73"/>
      <c r="DNO41" s="73"/>
      <c r="DNP41" s="73"/>
      <c r="DNQ41" s="73"/>
      <c r="DNR41" s="73"/>
      <c r="DNS41" s="73"/>
      <c r="DNT41" s="73"/>
      <c r="DNU41" s="73"/>
      <c r="DNV41" s="73"/>
      <c r="DNW41" s="73"/>
      <c r="DNX41" s="73"/>
      <c r="DNY41" s="73"/>
      <c r="DNZ41" s="73"/>
      <c r="DOA41" s="73"/>
      <c r="DOB41" s="73"/>
      <c r="DOC41" s="73"/>
      <c r="DOD41" s="73"/>
      <c r="DOE41" s="73"/>
      <c r="DOF41" s="73"/>
      <c r="DOG41" s="73"/>
      <c r="DOH41" s="73"/>
      <c r="DOI41" s="73"/>
      <c r="DOJ41" s="73"/>
      <c r="DOK41" s="73"/>
      <c r="DOL41" s="73"/>
      <c r="DOM41" s="73"/>
      <c r="DON41" s="73"/>
      <c r="DOO41" s="73"/>
      <c r="DOP41" s="73"/>
      <c r="DOQ41" s="73"/>
      <c r="DOR41" s="73"/>
      <c r="DOS41" s="73"/>
      <c r="DOT41" s="73"/>
      <c r="DOU41" s="73"/>
      <c r="DOV41" s="73"/>
      <c r="DOW41" s="73"/>
      <c r="DOX41" s="73"/>
      <c r="DOY41" s="73"/>
      <c r="DOZ41" s="73"/>
      <c r="DPA41" s="73"/>
      <c r="DPB41" s="73"/>
      <c r="DPC41" s="73"/>
      <c r="DPD41" s="73"/>
      <c r="DPE41" s="73"/>
      <c r="DPF41" s="73"/>
      <c r="DPG41" s="73"/>
      <c r="DPH41" s="73"/>
      <c r="DPI41" s="73"/>
      <c r="DPJ41" s="73"/>
      <c r="DPK41" s="73"/>
      <c r="DPL41" s="73"/>
      <c r="DPM41" s="73"/>
      <c r="DPN41" s="73"/>
      <c r="DPO41" s="73"/>
      <c r="DPP41" s="73"/>
      <c r="DPQ41" s="73"/>
      <c r="DPR41" s="73"/>
      <c r="DPS41" s="73"/>
      <c r="DPT41" s="73"/>
      <c r="DPU41" s="73"/>
      <c r="DPV41" s="73"/>
      <c r="DPW41" s="73"/>
      <c r="DPX41" s="73"/>
      <c r="DPY41" s="73"/>
      <c r="DPZ41" s="73"/>
      <c r="DQA41" s="73"/>
      <c r="DQB41" s="73"/>
      <c r="DQC41" s="73"/>
      <c r="DQD41" s="73"/>
      <c r="DQE41" s="73"/>
      <c r="DQF41" s="73"/>
      <c r="DQG41" s="73"/>
      <c r="DQH41" s="73"/>
      <c r="DQI41" s="73"/>
      <c r="DQJ41" s="73"/>
      <c r="DQK41" s="73"/>
      <c r="DQL41" s="73"/>
      <c r="DQM41" s="73"/>
      <c r="DQN41" s="73"/>
      <c r="DQO41" s="73"/>
      <c r="DQP41" s="73"/>
      <c r="DQQ41" s="73"/>
      <c r="DQR41" s="73"/>
      <c r="DQS41" s="73"/>
      <c r="DQT41" s="73"/>
      <c r="DQU41" s="73"/>
      <c r="DQV41" s="73"/>
      <c r="DQW41" s="73"/>
      <c r="DQX41" s="73"/>
      <c r="DQY41" s="73"/>
      <c r="DQZ41" s="73"/>
      <c r="DRA41" s="73"/>
      <c r="DRB41" s="73"/>
      <c r="DRC41" s="73"/>
      <c r="DRD41" s="73"/>
      <c r="DRE41" s="73"/>
      <c r="DRF41" s="73"/>
      <c r="DRG41" s="73"/>
      <c r="DRH41" s="73"/>
      <c r="DRI41" s="73"/>
      <c r="DRJ41" s="73"/>
      <c r="DRK41" s="73"/>
      <c r="DRL41" s="73"/>
      <c r="DRM41" s="73"/>
      <c r="DRN41" s="73"/>
      <c r="DRO41" s="73"/>
      <c r="DRP41" s="73"/>
      <c r="DRQ41" s="73"/>
      <c r="DRR41" s="73"/>
      <c r="DRS41" s="73"/>
      <c r="DRT41" s="73"/>
      <c r="DRU41" s="73"/>
      <c r="DRV41" s="73"/>
      <c r="DRW41" s="73"/>
      <c r="DRX41" s="73"/>
      <c r="DRY41" s="73"/>
      <c r="DRZ41" s="73"/>
      <c r="DSA41" s="73"/>
      <c r="DSB41" s="73"/>
      <c r="DSC41" s="73"/>
      <c r="DSD41" s="73"/>
      <c r="DSE41" s="73"/>
      <c r="DSF41" s="73"/>
      <c r="DSG41" s="73"/>
      <c r="DSH41" s="73"/>
      <c r="DSI41" s="73"/>
      <c r="DSJ41" s="73"/>
      <c r="DSK41" s="73"/>
      <c r="DSL41" s="73"/>
      <c r="DSM41" s="73"/>
      <c r="DSN41" s="73"/>
      <c r="DSO41" s="73"/>
      <c r="DSP41" s="73"/>
      <c r="DSQ41" s="73"/>
      <c r="DSR41" s="73"/>
      <c r="DSS41" s="73"/>
      <c r="DST41" s="73"/>
      <c r="DSU41" s="73"/>
      <c r="DSV41" s="73"/>
      <c r="DSW41" s="73"/>
      <c r="DSX41" s="73"/>
      <c r="DSY41" s="73"/>
      <c r="DSZ41" s="73"/>
      <c r="DTA41" s="73"/>
      <c r="DTB41" s="73"/>
      <c r="DTC41" s="73"/>
      <c r="DTD41" s="73"/>
      <c r="DTE41" s="73"/>
      <c r="DTF41" s="73"/>
      <c r="DTG41" s="73"/>
      <c r="DTH41" s="73"/>
      <c r="DTI41" s="73"/>
      <c r="DTJ41" s="73"/>
      <c r="DTK41" s="73"/>
      <c r="DTL41" s="73"/>
      <c r="DTM41" s="73"/>
      <c r="DTN41" s="73"/>
      <c r="DTO41" s="73"/>
      <c r="DTP41" s="73"/>
      <c r="DTQ41" s="73"/>
      <c r="DTR41" s="73"/>
      <c r="DTS41" s="73"/>
      <c r="DTT41" s="73"/>
      <c r="DTU41" s="73"/>
      <c r="DTV41" s="73"/>
      <c r="DTW41" s="73"/>
      <c r="DTX41" s="73"/>
      <c r="DTY41" s="73"/>
      <c r="DTZ41" s="73"/>
      <c r="DUA41" s="73"/>
      <c r="DUB41" s="73"/>
      <c r="DUC41" s="73"/>
      <c r="DUD41" s="73"/>
      <c r="DUE41" s="73"/>
      <c r="DUF41" s="73"/>
      <c r="DUG41" s="73"/>
      <c r="DUH41" s="73"/>
      <c r="DUI41" s="73"/>
      <c r="DUJ41" s="73"/>
      <c r="DUK41" s="73"/>
      <c r="DUL41" s="73"/>
      <c r="DUM41" s="73"/>
      <c r="DUN41" s="73"/>
      <c r="DUO41" s="73"/>
      <c r="DUP41" s="73"/>
      <c r="DUQ41" s="73"/>
      <c r="DUR41" s="73"/>
      <c r="DUS41" s="73"/>
      <c r="DUT41" s="73"/>
      <c r="DUU41" s="73"/>
      <c r="DUV41" s="73"/>
      <c r="DUW41" s="73"/>
      <c r="DUX41" s="73"/>
      <c r="DUY41" s="73"/>
      <c r="DUZ41" s="73"/>
      <c r="DVA41" s="73"/>
      <c r="DVB41" s="73"/>
      <c r="DVC41" s="73"/>
      <c r="DVD41" s="73"/>
      <c r="DVE41" s="73"/>
      <c r="DVF41" s="73"/>
      <c r="DVG41" s="73"/>
      <c r="DVH41" s="73"/>
      <c r="DVI41" s="73"/>
      <c r="DVJ41" s="73"/>
      <c r="DVK41" s="73"/>
      <c r="DVL41" s="73"/>
      <c r="DVM41" s="73"/>
      <c r="DVN41" s="73"/>
      <c r="DVO41" s="73"/>
      <c r="DVP41" s="73"/>
      <c r="DVQ41" s="73"/>
      <c r="DVR41" s="73"/>
      <c r="DVS41" s="73"/>
      <c r="DVT41" s="73"/>
      <c r="DVU41" s="73"/>
      <c r="DVV41" s="73"/>
      <c r="DVW41" s="73"/>
      <c r="DVX41" s="73"/>
      <c r="DVY41" s="73"/>
      <c r="DVZ41" s="73"/>
      <c r="DWA41" s="73"/>
      <c r="DWB41" s="73"/>
      <c r="DWC41" s="73"/>
      <c r="DWD41" s="73"/>
      <c r="DWE41" s="73"/>
      <c r="DWF41" s="73"/>
      <c r="DWG41" s="73"/>
      <c r="DWH41" s="73"/>
      <c r="DWI41" s="73"/>
      <c r="DWJ41" s="73"/>
      <c r="DWK41" s="73"/>
      <c r="DWL41" s="73"/>
      <c r="DWM41" s="73"/>
      <c r="DWN41" s="73"/>
      <c r="DWO41" s="73"/>
      <c r="DWP41" s="73"/>
      <c r="DWQ41" s="73"/>
      <c r="DWR41" s="73"/>
      <c r="DWS41" s="73"/>
      <c r="DWT41" s="73"/>
      <c r="DWU41" s="73"/>
      <c r="DWV41" s="73"/>
      <c r="DWW41" s="73"/>
      <c r="DWX41" s="73"/>
      <c r="DWY41" s="73"/>
      <c r="DWZ41" s="73"/>
      <c r="DXA41" s="73"/>
      <c r="DXB41" s="73"/>
      <c r="DXC41" s="73"/>
      <c r="DXD41" s="73"/>
      <c r="DXE41" s="73"/>
      <c r="DXF41" s="73"/>
      <c r="DXG41" s="73"/>
      <c r="DXH41" s="73"/>
      <c r="DXI41" s="73"/>
      <c r="DXJ41" s="73"/>
      <c r="DXK41" s="73"/>
      <c r="DXL41" s="73"/>
      <c r="DXM41" s="73"/>
      <c r="DXN41" s="73"/>
      <c r="DXO41" s="73"/>
      <c r="DXP41" s="73"/>
      <c r="DXQ41" s="73"/>
      <c r="DXR41" s="73"/>
      <c r="DXS41" s="73"/>
      <c r="DXT41" s="73"/>
      <c r="DXU41" s="73"/>
      <c r="DXV41" s="73"/>
      <c r="DXW41" s="73"/>
      <c r="DXX41" s="73"/>
      <c r="DXY41" s="73"/>
      <c r="DXZ41" s="73"/>
      <c r="DYA41" s="73"/>
      <c r="DYB41" s="73"/>
      <c r="DYC41" s="73"/>
      <c r="DYD41" s="73"/>
      <c r="DYE41" s="73"/>
      <c r="DYF41" s="73"/>
      <c r="DYG41" s="73"/>
      <c r="DYH41" s="73"/>
      <c r="DYI41" s="73"/>
      <c r="DYJ41" s="73"/>
      <c r="DYK41" s="73"/>
      <c r="DYL41" s="73"/>
      <c r="DYM41" s="73"/>
      <c r="DYN41" s="73"/>
      <c r="DYO41" s="73"/>
      <c r="DYP41" s="73"/>
      <c r="DYQ41" s="73"/>
      <c r="DYR41" s="73"/>
      <c r="DYS41" s="73"/>
      <c r="DYT41" s="73"/>
      <c r="DYU41" s="73"/>
      <c r="DYV41" s="73"/>
      <c r="DYW41" s="73"/>
      <c r="DYX41" s="73"/>
      <c r="DYY41" s="73"/>
      <c r="DYZ41" s="73"/>
      <c r="DZA41" s="73"/>
      <c r="DZB41" s="73"/>
      <c r="DZC41" s="73"/>
      <c r="DZD41" s="73"/>
      <c r="DZE41" s="73"/>
      <c r="DZF41" s="73"/>
      <c r="DZG41" s="73"/>
      <c r="DZH41" s="73"/>
      <c r="DZI41" s="73"/>
      <c r="DZJ41" s="73"/>
      <c r="DZK41" s="73"/>
      <c r="DZL41" s="73"/>
      <c r="DZM41" s="73"/>
      <c r="DZN41" s="73"/>
      <c r="DZO41" s="73"/>
      <c r="DZP41" s="73"/>
      <c r="DZQ41" s="73"/>
      <c r="DZR41" s="73"/>
      <c r="DZS41" s="73"/>
      <c r="DZT41" s="73"/>
      <c r="DZU41" s="73"/>
      <c r="DZV41" s="73"/>
      <c r="DZW41" s="73"/>
      <c r="DZX41" s="73"/>
      <c r="DZY41" s="73"/>
      <c r="DZZ41" s="73"/>
      <c r="EAA41" s="73"/>
      <c r="EAB41" s="73"/>
      <c r="EAC41" s="73"/>
      <c r="EAD41" s="73"/>
      <c r="EAE41" s="73"/>
      <c r="EAF41" s="73"/>
      <c r="EAG41" s="73"/>
      <c r="EAH41" s="73"/>
      <c r="EAI41" s="73"/>
      <c r="EAJ41" s="73"/>
      <c r="EAK41" s="73"/>
      <c r="EAL41" s="73"/>
      <c r="EAM41" s="73"/>
      <c r="EAN41" s="73"/>
      <c r="EAO41" s="73"/>
      <c r="EAP41" s="73"/>
      <c r="EAQ41" s="73"/>
      <c r="EAR41" s="73"/>
      <c r="EAS41" s="73"/>
      <c r="EAT41" s="73"/>
      <c r="EAU41" s="73"/>
      <c r="EAV41" s="73"/>
      <c r="EAW41" s="73"/>
      <c r="EAX41" s="73"/>
      <c r="EAY41" s="73"/>
      <c r="EAZ41" s="73"/>
      <c r="EBA41" s="73"/>
      <c r="EBB41" s="73"/>
      <c r="EBC41" s="73"/>
      <c r="EBD41" s="73"/>
      <c r="EBE41" s="73"/>
      <c r="EBF41" s="73"/>
      <c r="EBG41" s="73"/>
      <c r="EBH41" s="73"/>
      <c r="EBI41" s="73"/>
      <c r="EBJ41" s="73"/>
      <c r="EBK41" s="73"/>
      <c r="EBL41" s="73"/>
      <c r="EBM41" s="73"/>
      <c r="EBN41" s="73"/>
      <c r="EBO41" s="73"/>
      <c r="EBP41" s="73"/>
      <c r="EBQ41" s="73"/>
      <c r="EBR41" s="73"/>
      <c r="EBS41" s="73"/>
      <c r="EBT41" s="73"/>
      <c r="EBU41" s="73"/>
      <c r="EBV41" s="73"/>
      <c r="EBW41" s="73"/>
      <c r="EBX41" s="73"/>
      <c r="EBY41" s="73"/>
      <c r="EBZ41" s="73"/>
      <c r="ECA41" s="73"/>
      <c r="ECB41" s="73"/>
      <c r="ECC41" s="73"/>
      <c r="ECD41" s="73"/>
      <c r="ECE41" s="73"/>
      <c r="ECF41" s="73"/>
      <c r="ECG41" s="73"/>
      <c r="ECH41" s="73"/>
      <c r="ECI41" s="73"/>
      <c r="ECJ41" s="73"/>
      <c r="ECK41" s="73"/>
      <c r="ECL41" s="73"/>
      <c r="ECM41" s="73"/>
      <c r="ECN41" s="73"/>
      <c r="ECO41" s="73"/>
      <c r="ECP41" s="73"/>
      <c r="ECQ41" s="73"/>
      <c r="ECR41" s="73"/>
      <c r="ECS41" s="73"/>
      <c r="ECT41" s="73"/>
      <c r="ECU41" s="73"/>
      <c r="ECV41" s="73"/>
      <c r="ECW41" s="73"/>
      <c r="ECX41" s="73"/>
      <c r="ECY41" s="73"/>
      <c r="ECZ41" s="73"/>
      <c r="EDA41" s="73"/>
      <c r="EDB41" s="73"/>
      <c r="EDC41" s="73"/>
      <c r="EDD41" s="73"/>
      <c r="EDE41" s="73"/>
      <c r="EDF41" s="73"/>
      <c r="EDG41" s="73"/>
      <c r="EDH41" s="73"/>
      <c r="EDI41" s="73"/>
      <c r="EDJ41" s="73"/>
      <c r="EDK41" s="73"/>
      <c r="EDL41" s="73"/>
      <c r="EDM41" s="73"/>
      <c r="EDN41" s="73"/>
      <c r="EDO41" s="73"/>
      <c r="EDP41" s="73"/>
      <c r="EDQ41" s="73"/>
      <c r="EDR41" s="73"/>
      <c r="EDS41" s="73"/>
      <c r="EDT41" s="73"/>
      <c r="EDU41" s="73"/>
      <c r="EDV41" s="73"/>
      <c r="EDW41" s="73"/>
      <c r="EDX41" s="73"/>
      <c r="EDY41" s="73"/>
      <c r="EDZ41" s="73"/>
      <c r="EEA41" s="73"/>
      <c r="EEB41" s="73"/>
      <c r="EEC41" s="73"/>
      <c r="EED41" s="73"/>
      <c r="EEE41" s="73"/>
      <c r="EEF41" s="73"/>
      <c r="EEG41" s="73"/>
      <c r="EEH41" s="73"/>
      <c r="EEI41" s="73"/>
      <c r="EEJ41" s="73"/>
      <c r="EEK41" s="73"/>
      <c r="EEL41" s="73"/>
      <c r="EEM41" s="73"/>
      <c r="EEN41" s="73"/>
      <c r="EEO41" s="73"/>
      <c r="EEP41" s="73"/>
      <c r="EEQ41" s="73"/>
      <c r="EER41" s="73"/>
      <c r="EES41" s="73"/>
      <c r="EET41" s="73"/>
      <c r="EEU41" s="73"/>
      <c r="EEV41" s="73"/>
      <c r="EEW41" s="73"/>
      <c r="EEX41" s="73"/>
      <c r="EEY41" s="73"/>
      <c r="EEZ41" s="73"/>
      <c r="EFA41" s="73"/>
      <c r="EFB41" s="73"/>
      <c r="EFC41" s="73"/>
      <c r="EFD41" s="73"/>
      <c r="EFE41" s="73"/>
      <c r="EFF41" s="73"/>
      <c r="EFG41" s="73"/>
      <c r="EFH41" s="73"/>
      <c r="EFI41" s="73"/>
      <c r="EFJ41" s="73"/>
      <c r="EFK41" s="73"/>
      <c r="EFL41" s="73"/>
      <c r="EFM41" s="73"/>
      <c r="EFN41" s="73"/>
      <c r="EFO41" s="73"/>
      <c r="EFP41" s="73"/>
      <c r="EFQ41" s="73"/>
      <c r="EFR41" s="73"/>
      <c r="EFS41" s="73"/>
      <c r="EFT41" s="73"/>
      <c r="EFU41" s="73"/>
      <c r="EFV41" s="73"/>
      <c r="EFW41" s="73"/>
      <c r="EFX41" s="73"/>
      <c r="EFY41" s="73"/>
      <c r="EFZ41" s="73"/>
      <c r="EGA41" s="73"/>
      <c r="EGB41" s="73"/>
      <c r="EGC41" s="73"/>
      <c r="EGD41" s="73"/>
      <c r="EGE41" s="73"/>
      <c r="EGF41" s="73"/>
      <c r="EGG41" s="73"/>
      <c r="EGH41" s="73"/>
      <c r="EGI41" s="73"/>
      <c r="EGJ41" s="73"/>
      <c r="EGK41" s="73"/>
      <c r="EGL41" s="73"/>
      <c r="EGM41" s="73"/>
      <c r="EGN41" s="73"/>
      <c r="EGO41" s="73"/>
      <c r="EGP41" s="73"/>
      <c r="EGQ41" s="73"/>
      <c r="EGR41" s="73"/>
      <c r="EGS41" s="73"/>
      <c r="EGT41" s="73"/>
      <c r="EGU41" s="73"/>
      <c r="EGV41" s="73"/>
      <c r="EGW41" s="73"/>
      <c r="EGX41" s="73"/>
      <c r="EGY41" s="73"/>
      <c r="EGZ41" s="73"/>
      <c r="EHA41" s="73"/>
      <c r="EHB41" s="73"/>
      <c r="EHC41" s="73"/>
      <c r="EHD41" s="73"/>
      <c r="EHE41" s="73"/>
      <c r="EHF41" s="73"/>
      <c r="EHG41" s="73"/>
      <c r="EHH41" s="73"/>
      <c r="EHI41" s="73"/>
      <c r="EHJ41" s="73"/>
      <c r="EHK41" s="73"/>
      <c r="EHL41" s="73"/>
      <c r="EHM41" s="73"/>
      <c r="EHN41" s="73"/>
      <c r="EHO41" s="73"/>
      <c r="EHP41" s="73"/>
      <c r="EHQ41" s="73"/>
      <c r="EHR41" s="73"/>
      <c r="EHS41" s="73"/>
      <c r="EHT41" s="73"/>
      <c r="EHU41" s="73"/>
      <c r="EHV41" s="73"/>
      <c r="EHW41" s="73"/>
      <c r="EHX41" s="73"/>
      <c r="EHY41" s="73"/>
      <c r="EHZ41" s="73"/>
      <c r="EIA41" s="73"/>
      <c r="EIB41" s="73"/>
      <c r="EIC41" s="73"/>
      <c r="EID41" s="73"/>
      <c r="EIE41" s="73"/>
      <c r="EIF41" s="73"/>
      <c r="EIG41" s="73"/>
      <c r="EIH41" s="73"/>
      <c r="EII41" s="73"/>
      <c r="EIJ41" s="73"/>
      <c r="EIK41" s="73"/>
      <c r="EIL41" s="73"/>
      <c r="EIM41" s="73"/>
      <c r="EIN41" s="73"/>
      <c r="EIO41" s="73"/>
      <c r="EIP41" s="73"/>
      <c r="EIQ41" s="73"/>
      <c r="EIR41" s="73"/>
      <c r="EIS41" s="73"/>
      <c r="EIT41" s="73"/>
      <c r="EIU41" s="73"/>
      <c r="EIV41" s="73"/>
      <c r="EIW41" s="73"/>
      <c r="EIX41" s="73"/>
      <c r="EIY41" s="73"/>
      <c r="EIZ41" s="73"/>
      <c r="EJA41" s="73"/>
      <c r="EJB41" s="73"/>
      <c r="EJC41" s="73"/>
      <c r="EJD41" s="73"/>
      <c r="EJE41" s="73"/>
      <c r="EJF41" s="73"/>
      <c r="EJG41" s="73"/>
      <c r="EJH41" s="73"/>
      <c r="EJI41" s="73"/>
      <c r="EJJ41" s="73"/>
      <c r="EJK41" s="73"/>
      <c r="EJL41" s="73"/>
      <c r="EJM41" s="73"/>
      <c r="EJN41" s="73"/>
      <c r="EJO41" s="73"/>
      <c r="EJP41" s="73"/>
      <c r="EJQ41" s="73"/>
      <c r="EJR41" s="73"/>
      <c r="EJS41" s="73"/>
      <c r="EJT41" s="73"/>
      <c r="EJU41" s="73"/>
      <c r="EJV41" s="73"/>
      <c r="EJW41" s="73"/>
      <c r="EJX41" s="73"/>
      <c r="EJY41" s="73"/>
      <c r="EJZ41" s="73"/>
      <c r="EKA41" s="73"/>
      <c r="EKB41" s="73"/>
      <c r="EKC41" s="73"/>
      <c r="EKD41" s="73"/>
      <c r="EKE41" s="73"/>
      <c r="EKF41" s="73"/>
      <c r="EKG41" s="73"/>
      <c r="EKH41" s="73"/>
      <c r="EKI41" s="73"/>
      <c r="EKJ41" s="73"/>
      <c r="EKK41" s="73"/>
      <c r="EKL41" s="73"/>
      <c r="EKM41" s="73"/>
      <c r="EKN41" s="73"/>
      <c r="EKO41" s="73"/>
      <c r="EKP41" s="73"/>
      <c r="EKQ41" s="73"/>
      <c r="EKR41" s="73"/>
      <c r="EKS41" s="73"/>
      <c r="EKT41" s="73"/>
      <c r="EKU41" s="73"/>
      <c r="EKV41" s="73"/>
      <c r="EKW41" s="73"/>
      <c r="EKX41" s="73"/>
      <c r="EKY41" s="73"/>
      <c r="EKZ41" s="73"/>
      <c r="ELA41" s="73"/>
      <c r="ELB41" s="73"/>
      <c r="ELC41" s="73"/>
      <c r="ELD41" s="73"/>
      <c r="ELE41" s="73"/>
      <c r="ELF41" s="73"/>
      <c r="ELG41" s="73"/>
      <c r="ELH41" s="73"/>
      <c r="ELI41" s="73"/>
      <c r="ELJ41" s="73"/>
      <c r="ELK41" s="73"/>
      <c r="ELL41" s="73"/>
      <c r="ELM41" s="73"/>
      <c r="ELN41" s="73"/>
      <c r="ELO41" s="73"/>
      <c r="ELP41" s="73"/>
      <c r="ELQ41" s="73"/>
      <c r="ELR41" s="73"/>
      <c r="ELS41" s="73"/>
      <c r="ELT41" s="73"/>
      <c r="ELU41" s="73"/>
      <c r="ELV41" s="73"/>
      <c r="ELW41" s="73"/>
      <c r="ELX41" s="73"/>
      <c r="ELY41" s="73"/>
      <c r="ELZ41" s="73"/>
      <c r="EMA41" s="73"/>
      <c r="EMB41" s="73"/>
      <c r="EMC41" s="73"/>
      <c r="EMD41" s="73"/>
      <c r="EME41" s="73"/>
      <c r="EMF41" s="73"/>
      <c r="EMG41" s="73"/>
      <c r="EMH41" s="73"/>
      <c r="EMI41" s="73"/>
      <c r="EMJ41" s="73"/>
      <c r="EMK41" s="73"/>
      <c r="EML41" s="73"/>
      <c r="EMM41" s="73"/>
      <c r="EMN41" s="73"/>
      <c r="EMO41" s="73"/>
      <c r="EMP41" s="73"/>
      <c r="EMQ41" s="73"/>
      <c r="EMR41" s="73"/>
      <c r="EMS41" s="73"/>
      <c r="EMT41" s="73"/>
      <c r="EMU41" s="73"/>
      <c r="EMV41" s="73"/>
      <c r="EMW41" s="73"/>
      <c r="EMX41" s="73"/>
      <c r="EMY41" s="73"/>
      <c r="EMZ41" s="73"/>
      <c r="ENA41" s="73"/>
      <c r="ENB41" s="73"/>
      <c r="ENC41" s="73"/>
      <c r="END41" s="73"/>
      <c r="ENE41" s="73"/>
      <c r="ENF41" s="73"/>
      <c r="ENG41" s="73"/>
      <c r="ENH41" s="73"/>
      <c r="ENI41" s="73"/>
      <c r="ENJ41" s="73"/>
      <c r="ENK41" s="73"/>
      <c r="ENL41" s="73"/>
      <c r="ENM41" s="73"/>
      <c r="ENN41" s="73"/>
      <c r="ENO41" s="73"/>
      <c r="ENP41" s="73"/>
      <c r="ENQ41" s="73"/>
      <c r="ENR41" s="73"/>
      <c r="ENS41" s="73"/>
      <c r="ENT41" s="73"/>
      <c r="ENU41" s="73"/>
      <c r="ENV41" s="73"/>
      <c r="ENW41" s="73"/>
      <c r="ENX41" s="73"/>
      <c r="ENY41" s="73"/>
      <c r="ENZ41" s="73"/>
      <c r="EOA41" s="73"/>
      <c r="EOB41" s="73"/>
      <c r="EOC41" s="73"/>
      <c r="EOD41" s="73"/>
      <c r="EOE41" s="73"/>
      <c r="EOF41" s="73"/>
      <c r="EOG41" s="73"/>
      <c r="EOH41" s="73"/>
      <c r="EOI41" s="73"/>
      <c r="EOJ41" s="73"/>
      <c r="EOK41" s="73"/>
      <c r="EOL41" s="73"/>
      <c r="EOM41" s="73"/>
      <c r="EON41" s="73"/>
      <c r="EOO41" s="73"/>
      <c r="EOP41" s="73"/>
      <c r="EOQ41" s="73"/>
      <c r="EOR41" s="73"/>
      <c r="EOS41" s="73"/>
      <c r="EOT41" s="73"/>
      <c r="EOU41" s="73"/>
      <c r="EOV41" s="73"/>
      <c r="EOW41" s="73"/>
      <c r="EOX41" s="73"/>
      <c r="EOY41" s="73"/>
      <c r="EOZ41" s="73"/>
      <c r="EPA41" s="73"/>
      <c r="EPB41" s="73"/>
      <c r="EPC41" s="73"/>
      <c r="EPD41" s="73"/>
      <c r="EPE41" s="73"/>
      <c r="EPF41" s="73"/>
      <c r="EPG41" s="73"/>
      <c r="EPH41" s="73"/>
      <c r="EPI41" s="73"/>
      <c r="EPJ41" s="73"/>
      <c r="EPK41" s="73"/>
      <c r="EPL41" s="73"/>
      <c r="EPM41" s="73"/>
      <c r="EPN41" s="73"/>
      <c r="EPO41" s="73"/>
      <c r="EPP41" s="73"/>
      <c r="EPQ41" s="73"/>
      <c r="EPR41" s="73"/>
      <c r="EPS41" s="73"/>
      <c r="EPT41" s="73"/>
      <c r="EPU41" s="73"/>
      <c r="EPV41" s="73"/>
      <c r="EPW41" s="73"/>
      <c r="EPX41" s="73"/>
      <c r="EPY41" s="73"/>
      <c r="EPZ41" s="73"/>
      <c r="EQA41" s="73"/>
      <c r="EQB41" s="73"/>
      <c r="EQC41" s="73"/>
      <c r="EQD41" s="73"/>
      <c r="EQE41" s="73"/>
      <c r="EQF41" s="73"/>
      <c r="EQG41" s="73"/>
      <c r="EQH41" s="73"/>
      <c r="EQI41" s="73"/>
      <c r="EQJ41" s="73"/>
      <c r="EQK41" s="73"/>
      <c r="EQL41" s="73"/>
      <c r="EQM41" s="73"/>
      <c r="EQN41" s="73"/>
      <c r="EQO41" s="73"/>
      <c r="EQP41" s="73"/>
      <c r="EQQ41" s="73"/>
      <c r="EQR41" s="73"/>
      <c r="EQS41" s="73"/>
      <c r="EQT41" s="73"/>
      <c r="EQU41" s="73"/>
      <c r="EQV41" s="73"/>
      <c r="EQW41" s="73"/>
      <c r="EQX41" s="73"/>
      <c r="EQY41" s="73"/>
      <c r="EQZ41" s="73"/>
      <c r="ERA41" s="73"/>
      <c r="ERB41" s="73"/>
      <c r="ERC41" s="73"/>
      <c r="ERD41" s="73"/>
      <c r="ERE41" s="73"/>
      <c r="ERF41" s="73"/>
      <c r="ERG41" s="73"/>
      <c r="ERH41" s="73"/>
      <c r="ERI41" s="73"/>
      <c r="ERJ41" s="73"/>
      <c r="ERK41" s="73"/>
      <c r="ERL41" s="73"/>
      <c r="ERM41" s="73"/>
      <c r="ERN41" s="73"/>
      <c r="ERO41" s="73"/>
      <c r="ERP41" s="73"/>
      <c r="ERQ41" s="73"/>
      <c r="ERR41" s="73"/>
      <c r="ERS41" s="73"/>
      <c r="ERT41" s="73"/>
      <c r="ERU41" s="73"/>
      <c r="ERV41" s="73"/>
      <c r="ERW41" s="73"/>
      <c r="ERX41" s="73"/>
      <c r="ERY41" s="73"/>
      <c r="ERZ41" s="73"/>
      <c r="ESA41" s="73"/>
      <c r="ESB41" s="73"/>
      <c r="ESC41" s="73"/>
      <c r="ESD41" s="73"/>
      <c r="ESE41" s="73"/>
      <c r="ESF41" s="73"/>
      <c r="ESG41" s="73"/>
      <c r="ESH41" s="73"/>
      <c r="ESI41" s="73"/>
      <c r="ESJ41" s="73"/>
      <c r="ESK41" s="73"/>
      <c r="ESL41" s="73"/>
      <c r="ESM41" s="73"/>
      <c r="ESN41" s="73"/>
      <c r="ESO41" s="73"/>
      <c r="ESP41" s="73"/>
      <c r="ESQ41" s="73"/>
      <c r="ESR41" s="73"/>
      <c r="ESS41" s="73"/>
      <c r="EST41" s="73"/>
      <c r="ESU41" s="73"/>
      <c r="ESV41" s="73"/>
      <c r="ESW41" s="73"/>
      <c r="ESX41" s="73"/>
      <c r="ESY41" s="73"/>
      <c r="ESZ41" s="73"/>
      <c r="ETA41" s="73"/>
      <c r="ETB41" s="73"/>
      <c r="ETC41" s="73"/>
      <c r="ETD41" s="73"/>
      <c r="ETE41" s="73"/>
      <c r="ETF41" s="73"/>
      <c r="ETG41" s="73"/>
      <c r="ETH41" s="73"/>
      <c r="ETI41" s="73"/>
      <c r="ETJ41" s="73"/>
      <c r="ETK41" s="73"/>
      <c r="ETL41" s="73"/>
      <c r="ETM41" s="73"/>
      <c r="ETN41" s="73"/>
      <c r="ETO41" s="73"/>
      <c r="ETP41" s="73"/>
      <c r="ETQ41" s="73"/>
      <c r="ETR41" s="73"/>
      <c r="ETS41" s="73"/>
      <c r="ETT41" s="73"/>
      <c r="ETU41" s="73"/>
      <c r="ETV41" s="73"/>
      <c r="ETW41" s="73"/>
      <c r="ETX41" s="73"/>
      <c r="ETY41" s="73"/>
      <c r="ETZ41" s="73"/>
      <c r="EUA41" s="73"/>
      <c r="EUB41" s="73"/>
      <c r="EUC41" s="73"/>
      <c r="EUD41" s="73"/>
      <c r="EUE41" s="73"/>
      <c r="EUF41" s="73"/>
      <c r="EUG41" s="73"/>
      <c r="EUH41" s="73"/>
      <c r="EUI41" s="73"/>
      <c r="EUJ41" s="73"/>
      <c r="EUK41" s="73"/>
      <c r="EUL41" s="73"/>
      <c r="EUM41" s="73"/>
      <c r="EUN41" s="73"/>
      <c r="EUO41" s="73"/>
      <c r="EUP41" s="73"/>
      <c r="EUQ41" s="73"/>
      <c r="EUR41" s="73"/>
      <c r="EUS41" s="73"/>
      <c r="EUT41" s="73"/>
      <c r="EUU41" s="73"/>
      <c r="EUV41" s="73"/>
      <c r="EUW41" s="73"/>
      <c r="EUX41" s="73"/>
      <c r="EUY41" s="73"/>
      <c r="EUZ41" s="73"/>
      <c r="EVA41" s="73"/>
      <c r="EVB41" s="73"/>
      <c r="EVC41" s="73"/>
      <c r="EVD41" s="73"/>
      <c r="EVE41" s="73"/>
      <c r="EVF41" s="73"/>
      <c r="EVG41" s="73"/>
      <c r="EVH41" s="73"/>
      <c r="EVI41" s="73"/>
      <c r="EVJ41" s="73"/>
      <c r="EVK41" s="73"/>
      <c r="EVL41" s="73"/>
      <c r="EVM41" s="73"/>
      <c r="EVN41" s="73"/>
      <c r="EVO41" s="73"/>
      <c r="EVP41" s="73"/>
      <c r="EVQ41" s="73"/>
      <c r="EVR41" s="73"/>
      <c r="EVS41" s="73"/>
      <c r="EVT41" s="73"/>
      <c r="EVU41" s="73"/>
      <c r="EVV41" s="73"/>
      <c r="EVW41" s="73"/>
      <c r="EVX41" s="73"/>
      <c r="EVY41" s="73"/>
      <c r="EVZ41" s="73"/>
      <c r="EWA41" s="73"/>
      <c r="EWB41" s="73"/>
      <c r="EWC41" s="73"/>
      <c r="EWD41" s="73"/>
      <c r="EWE41" s="73"/>
      <c r="EWF41" s="73"/>
      <c r="EWG41" s="73"/>
      <c r="EWH41" s="73"/>
      <c r="EWI41" s="73"/>
      <c r="EWJ41" s="73"/>
      <c r="EWK41" s="73"/>
      <c r="EWL41" s="73"/>
      <c r="EWM41" s="73"/>
      <c r="EWN41" s="73"/>
      <c r="EWO41" s="73"/>
      <c r="EWP41" s="73"/>
      <c r="EWQ41" s="73"/>
      <c r="EWR41" s="73"/>
      <c r="EWS41" s="73"/>
      <c r="EWT41" s="73"/>
      <c r="EWU41" s="73"/>
      <c r="EWV41" s="73"/>
      <c r="EWW41" s="73"/>
      <c r="EWX41" s="73"/>
      <c r="EWY41" s="73"/>
      <c r="EWZ41" s="73"/>
      <c r="EXA41" s="73"/>
      <c r="EXB41" s="73"/>
      <c r="EXC41" s="73"/>
      <c r="EXD41" s="73"/>
      <c r="EXE41" s="73"/>
      <c r="EXF41" s="73"/>
      <c r="EXG41" s="73"/>
      <c r="EXH41" s="73"/>
      <c r="EXI41" s="73"/>
      <c r="EXJ41" s="73"/>
      <c r="EXK41" s="73"/>
      <c r="EXL41" s="73"/>
      <c r="EXM41" s="73"/>
      <c r="EXN41" s="73"/>
      <c r="EXO41" s="73"/>
      <c r="EXP41" s="73"/>
      <c r="EXQ41" s="73"/>
      <c r="EXR41" s="73"/>
      <c r="EXS41" s="73"/>
      <c r="EXT41" s="73"/>
      <c r="EXU41" s="73"/>
      <c r="EXV41" s="73"/>
      <c r="EXW41" s="73"/>
      <c r="EXX41" s="73"/>
      <c r="EXY41" s="73"/>
      <c r="EXZ41" s="73"/>
      <c r="EYA41" s="73"/>
      <c r="EYB41" s="73"/>
      <c r="EYC41" s="73"/>
      <c r="EYD41" s="73"/>
      <c r="EYE41" s="73"/>
      <c r="EYF41" s="73"/>
      <c r="EYG41" s="73"/>
      <c r="EYH41" s="73"/>
      <c r="EYI41" s="73"/>
      <c r="EYJ41" s="73"/>
      <c r="EYK41" s="73"/>
      <c r="EYL41" s="73"/>
      <c r="EYM41" s="73"/>
      <c r="EYN41" s="73"/>
      <c r="EYO41" s="73"/>
      <c r="EYP41" s="73"/>
      <c r="EYQ41" s="73"/>
      <c r="EYR41" s="73"/>
      <c r="EYS41" s="73"/>
      <c r="EYT41" s="73"/>
      <c r="EYU41" s="73"/>
      <c r="EYV41" s="73"/>
      <c r="EYW41" s="73"/>
      <c r="EYX41" s="73"/>
      <c r="EYY41" s="73"/>
      <c r="EYZ41" s="73"/>
      <c r="EZA41" s="73"/>
      <c r="EZB41" s="73"/>
      <c r="EZC41" s="73"/>
      <c r="EZD41" s="73"/>
      <c r="EZE41" s="73"/>
      <c r="EZF41" s="73"/>
      <c r="EZG41" s="73"/>
      <c r="EZH41" s="73"/>
      <c r="EZI41" s="73"/>
      <c r="EZJ41" s="73"/>
      <c r="EZK41" s="73"/>
      <c r="EZL41" s="73"/>
      <c r="EZM41" s="73"/>
      <c r="EZN41" s="73"/>
      <c r="EZO41" s="73"/>
      <c r="EZP41" s="73"/>
      <c r="EZQ41" s="73"/>
      <c r="EZR41" s="73"/>
      <c r="EZS41" s="73"/>
      <c r="EZT41" s="73"/>
      <c r="EZU41" s="73"/>
      <c r="EZV41" s="73"/>
      <c r="EZW41" s="73"/>
      <c r="EZX41" s="73"/>
      <c r="EZY41" s="73"/>
      <c r="EZZ41" s="73"/>
      <c r="FAA41" s="73"/>
      <c r="FAB41" s="73"/>
      <c r="FAC41" s="73"/>
      <c r="FAD41" s="73"/>
      <c r="FAE41" s="73"/>
      <c r="FAF41" s="73"/>
      <c r="FAG41" s="73"/>
      <c r="FAH41" s="73"/>
      <c r="FAI41" s="73"/>
      <c r="FAJ41" s="73"/>
      <c r="FAK41" s="73"/>
      <c r="FAL41" s="73"/>
      <c r="FAM41" s="73"/>
      <c r="FAN41" s="73"/>
      <c r="FAO41" s="73"/>
      <c r="FAP41" s="73"/>
      <c r="FAQ41" s="73"/>
      <c r="FAR41" s="73"/>
      <c r="FAS41" s="73"/>
      <c r="FAT41" s="73"/>
      <c r="FAU41" s="73"/>
      <c r="FAV41" s="73"/>
      <c r="FAW41" s="73"/>
      <c r="FAX41" s="73"/>
      <c r="FAY41" s="73"/>
      <c r="FAZ41" s="73"/>
      <c r="FBA41" s="73"/>
      <c r="FBB41" s="73"/>
      <c r="FBC41" s="73"/>
      <c r="FBD41" s="73"/>
      <c r="FBE41" s="73"/>
      <c r="FBF41" s="73"/>
      <c r="FBG41" s="73"/>
      <c r="FBH41" s="73"/>
      <c r="FBI41" s="73"/>
      <c r="FBJ41" s="73"/>
      <c r="FBK41" s="73"/>
      <c r="FBL41" s="73"/>
      <c r="FBM41" s="73"/>
      <c r="FBN41" s="73"/>
      <c r="FBO41" s="73"/>
      <c r="FBP41" s="73"/>
      <c r="FBQ41" s="73"/>
      <c r="FBR41" s="73"/>
      <c r="FBS41" s="73"/>
      <c r="FBT41" s="73"/>
      <c r="FBU41" s="73"/>
      <c r="FBV41" s="73"/>
      <c r="FBW41" s="73"/>
      <c r="FBX41" s="73"/>
      <c r="FBY41" s="73"/>
      <c r="FBZ41" s="73"/>
      <c r="FCA41" s="73"/>
      <c r="FCB41" s="73"/>
      <c r="FCC41" s="73"/>
      <c r="FCD41" s="73"/>
      <c r="FCE41" s="73"/>
      <c r="FCF41" s="73"/>
      <c r="FCG41" s="73"/>
      <c r="FCH41" s="73"/>
      <c r="FCI41" s="73"/>
      <c r="FCJ41" s="73"/>
      <c r="FCK41" s="73"/>
      <c r="FCL41" s="73"/>
      <c r="FCM41" s="73"/>
      <c r="FCN41" s="73"/>
      <c r="FCO41" s="73"/>
      <c r="FCP41" s="73"/>
      <c r="FCQ41" s="73"/>
      <c r="FCR41" s="73"/>
      <c r="FCS41" s="73"/>
      <c r="FCT41" s="73"/>
      <c r="FCU41" s="73"/>
      <c r="FCV41" s="73"/>
      <c r="FCW41" s="73"/>
      <c r="FCX41" s="73"/>
      <c r="FCY41" s="73"/>
      <c r="FCZ41" s="73"/>
      <c r="FDA41" s="73"/>
      <c r="FDB41" s="73"/>
      <c r="FDC41" s="73"/>
      <c r="FDD41" s="73"/>
      <c r="FDE41" s="73"/>
      <c r="FDF41" s="73"/>
      <c r="FDG41" s="73"/>
      <c r="FDH41" s="73"/>
      <c r="FDI41" s="73"/>
      <c r="FDJ41" s="73"/>
      <c r="FDK41" s="73"/>
      <c r="FDL41" s="73"/>
      <c r="FDM41" s="73"/>
      <c r="FDN41" s="73"/>
      <c r="FDO41" s="73"/>
      <c r="FDP41" s="73"/>
      <c r="FDQ41" s="73"/>
      <c r="FDR41" s="73"/>
      <c r="FDS41" s="73"/>
      <c r="FDT41" s="73"/>
      <c r="FDU41" s="73"/>
      <c r="FDV41" s="73"/>
      <c r="FDW41" s="73"/>
      <c r="FDX41" s="73"/>
      <c r="FDY41" s="73"/>
      <c r="FDZ41" s="73"/>
      <c r="FEA41" s="73"/>
      <c r="FEB41" s="73"/>
      <c r="FEC41" s="73"/>
      <c r="FED41" s="73"/>
      <c r="FEE41" s="73"/>
      <c r="FEF41" s="73"/>
      <c r="FEG41" s="73"/>
      <c r="FEH41" s="73"/>
      <c r="FEI41" s="73"/>
      <c r="FEJ41" s="73"/>
      <c r="FEK41" s="73"/>
      <c r="FEL41" s="73"/>
      <c r="FEM41" s="73"/>
      <c r="FEN41" s="73"/>
      <c r="FEO41" s="73"/>
      <c r="FEP41" s="73"/>
      <c r="FEQ41" s="73"/>
      <c r="FER41" s="73"/>
      <c r="FES41" s="73"/>
      <c r="FET41" s="73"/>
      <c r="FEU41" s="73"/>
      <c r="FEV41" s="73"/>
      <c r="FEW41" s="73"/>
      <c r="FEX41" s="73"/>
      <c r="FEY41" s="73"/>
      <c r="FEZ41" s="73"/>
      <c r="FFA41" s="73"/>
      <c r="FFB41" s="73"/>
      <c r="FFC41" s="73"/>
      <c r="FFD41" s="73"/>
      <c r="FFE41" s="73"/>
      <c r="FFF41" s="73"/>
      <c r="FFG41" s="73"/>
      <c r="FFH41" s="73"/>
      <c r="FFI41" s="73"/>
      <c r="FFJ41" s="73"/>
      <c r="FFK41" s="73"/>
      <c r="FFL41" s="73"/>
      <c r="FFM41" s="73"/>
      <c r="FFN41" s="73"/>
      <c r="FFO41" s="73"/>
      <c r="FFP41" s="73"/>
      <c r="FFQ41" s="73"/>
      <c r="FFR41" s="73"/>
      <c r="FFS41" s="73"/>
      <c r="FFT41" s="73"/>
      <c r="FFU41" s="73"/>
      <c r="FFV41" s="73"/>
      <c r="FFW41" s="73"/>
      <c r="FFX41" s="73"/>
      <c r="FFY41" s="73"/>
      <c r="FFZ41" s="73"/>
      <c r="FGA41" s="73"/>
      <c r="FGB41" s="73"/>
      <c r="FGC41" s="73"/>
      <c r="FGD41" s="73"/>
      <c r="FGE41" s="73"/>
      <c r="FGF41" s="73"/>
      <c r="FGG41" s="73"/>
      <c r="FGH41" s="73"/>
      <c r="FGI41" s="73"/>
      <c r="FGJ41" s="73"/>
      <c r="FGK41" s="73"/>
      <c r="FGL41" s="73"/>
      <c r="FGM41" s="73"/>
      <c r="FGN41" s="73"/>
      <c r="FGO41" s="73"/>
      <c r="FGP41" s="73"/>
      <c r="FGQ41" s="73"/>
      <c r="FGR41" s="73"/>
      <c r="FGS41" s="73"/>
      <c r="FGT41" s="73"/>
      <c r="FGU41" s="73"/>
      <c r="FGV41" s="73"/>
      <c r="FGW41" s="73"/>
      <c r="FGX41" s="73"/>
      <c r="FGY41" s="73"/>
      <c r="FGZ41" s="73"/>
      <c r="FHA41" s="73"/>
      <c r="FHB41" s="73"/>
      <c r="FHC41" s="73"/>
      <c r="FHD41" s="73"/>
      <c r="FHE41" s="73"/>
      <c r="FHF41" s="73"/>
      <c r="FHG41" s="73"/>
      <c r="FHH41" s="73"/>
      <c r="FHI41" s="73"/>
      <c r="FHJ41" s="73"/>
      <c r="FHK41" s="73"/>
      <c r="FHL41" s="73"/>
      <c r="FHM41" s="73"/>
      <c r="FHN41" s="73"/>
      <c r="FHO41" s="73"/>
      <c r="FHP41" s="73"/>
      <c r="FHQ41" s="73"/>
      <c r="FHR41" s="73"/>
      <c r="FHS41" s="73"/>
      <c r="FHT41" s="73"/>
      <c r="FHU41" s="73"/>
      <c r="FHV41" s="73"/>
      <c r="FHW41" s="73"/>
      <c r="FHX41" s="73"/>
      <c r="FHY41" s="73"/>
      <c r="FHZ41" s="73"/>
      <c r="FIA41" s="73"/>
      <c r="FIB41" s="73"/>
      <c r="FIC41" s="73"/>
      <c r="FID41" s="73"/>
      <c r="FIE41" s="73"/>
      <c r="FIF41" s="73"/>
      <c r="FIG41" s="73"/>
      <c r="FIH41" s="73"/>
      <c r="FII41" s="73"/>
      <c r="FIJ41" s="73"/>
      <c r="FIK41" s="73"/>
      <c r="FIL41" s="73"/>
      <c r="FIM41" s="73"/>
      <c r="FIN41" s="73"/>
      <c r="FIO41" s="73"/>
      <c r="FIP41" s="73"/>
      <c r="FIQ41" s="73"/>
      <c r="FIR41" s="73"/>
      <c r="FIS41" s="73"/>
      <c r="FIT41" s="73"/>
      <c r="FIU41" s="73"/>
      <c r="FIV41" s="73"/>
      <c r="FIW41" s="73"/>
      <c r="FIX41" s="73"/>
      <c r="FIY41" s="73"/>
      <c r="FIZ41" s="73"/>
      <c r="FJA41" s="73"/>
      <c r="FJB41" s="73"/>
      <c r="FJC41" s="73"/>
      <c r="FJD41" s="73"/>
      <c r="FJE41" s="73"/>
      <c r="FJF41" s="73"/>
      <c r="FJG41" s="73"/>
      <c r="FJH41" s="73"/>
      <c r="FJI41" s="73"/>
      <c r="FJJ41" s="73"/>
      <c r="FJK41" s="73"/>
      <c r="FJL41" s="73"/>
      <c r="FJM41" s="73"/>
      <c r="FJN41" s="73"/>
      <c r="FJO41" s="73"/>
      <c r="FJP41" s="73"/>
      <c r="FJQ41" s="73"/>
      <c r="FJR41" s="73"/>
      <c r="FJS41" s="73"/>
      <c r="FJT41" s="73"/>
      <c r="FJU41" s="73"/>
      <c r="FJV41" s="73"/>
      <c r="FJW41" s="73"/>
      <c r="FJX41" s="73"/>
      <c r="FJY41" s="73"/>
      <c r="FJZ41" s="73"/>
      <c r="FKA41" s="73"/>
      <c r="FKB41" s="73"/>
      <c r="FKC41" s="73"/>
      <c r="FKD41" s="73"/>
      <c r="FKE41" s="73"/>
      <c r="FKF41" s="73"/>
      <c r="FKG41" s="73"/>
      <c r="FKH41" s="73"/>
      <c r="FKI41" s="73"/>
      <c r="FKJ41" s="73"/>
      <c r="FKK41" s="73"/>
      <c r="FKL41" s="73"/>
      <c r="FKM41" s="73"/>
      <c r="FKN41" s="73"/>
      <c r="FKO41" s="73"/>
      <c r="FKP41" s="73"/>
      <c r="FKQ41" s="73"/>
      <c r="FKR41" s="73"/>
      <c r="FKS41" s="73"/>
      <c r="FKT41" s="73"/>
      <c r="FKU41" s="73"/>
      <c r="FKV41" s="73"/>
      <c r="FKW41" s="73"/>
      <c r="FKX41" s="73"/>
      <c r="FKY41" s="73"/>
      <c r="FKZ41" s="73"/>
      <c r="FLA41" s="73"/>
      <c r="FLB41" s="73"/>
      <c r="FLC41" s="73"/>
      <c r="FLD41" s="73"/>
      <c r="FLE41" s="73"/>
      <c r="FLF41" s="73"/>
      <c r="FLG41" s="73"/>
      <c r="FLH41" s="73"/>
      <c r="FLI41" s="73"/>
      <c r="FLJ41" s="73"/>
      <c r="FLK41" s="73"/>
      <c r="FLL41" s="73"/>
      <c r="FLM41" s="73"/>
      <c r="FLN41" s="73"/>
      <c r="FLO41" s="73"/>
      <c r="FLP41" s="73"/>
      <c r="FLQ41" s="73"/>
      <c r="FLR41" s="73"/>
      <c r="FLS41" s="73"/>
      <c r="FLT41" s="73"/>
      <c r="FLU41" s="73"/>
      <c r="FLV41" s="73"/>
      <c r="FLW41" s="73"/>
      <c r="FLX41" s="73"/>
      <c r="FLY41" s="73"/>
      <c r="FLZ41" s="73"/>
      <c r="FMA41" s="73"/>
      <c r="FMB41" s="73"/>
      <c r="FMC41" s="73"/>
      <c r="FMD41" s="73"/>
      <c r="FME41" s="73"/>
      <c r="FMF41" s="73"/>
      <c r="FMG41" s="73"/>
      <c r="FMH41" s="73"/>
      <c r="FMI41" s="73"/>
      <c r="FMJ41" s="73"/>
      <c r="FMK41" s="73"/>
      <c r="FML41" s="73"/>
      <c r="FMM41" s="73"/>
      <c r="FMN41" s="73"/>
      <c r="FMO41" s="73"/>
      <c r="FMP41" s="73"/>
      <c r="FMQ41" s="73"/>
      <c r="FMR41" s="73"/>
      <c r="FMS41" s="73"/>
      <c r="FMT41" s="73"/>
      <c r="FMU41" s="73"/>
      <c r="FMV41" s="73"/>
      <c r="FMW41" s="73"/>
      <c r="FMX41" s="73"/>
      <c r="FMY41" s="73"/>
      <c r="FMZ41" s="73"/>
      <c r="FNA41" s="73"/>
      <c r="FNB41" s="73"/>
      <c r="FNC41" s="73"/>
      <c r="FND41" s="73"/>
      <c r="FNE41" s="73"/>
      <c r="FNF41" s="73"/>
      <c r="FNG41" s="73"/>
      <c r="FNH41" s="73"/>
      <c r="FNI41" s="73"/>
      <c r="FNJ41" s="73"/>
      <c r="FNK41" s="73"/>
      <c r="FNL41" s="73"/>
      <c r="FNM41" s="73"/>
      <c r="FNN41" s="73"/>
      <c r="FNO41" s="73"/>
      <c r="FNP41" s="73"/>
      <c r="FNQ41" s="73"/>
      <c r="FNR41" s="73"/>
      <c r="FNS41" s="73"/>
      <c r="FNT41" s="73"/>
      <c r="FNU41" s="73"/>
      <c r="FNV41" s="73"/>
      <c r="FNW41" s="73"/>
      <c r="FNX41" s="73"/>
      <c r="FNY41" s="73"/>
      <c r="FNZ41" s="73"/>
      <c r="FOA41" s="73"/>
      <c r="FOB41" s="73"/>
      <c r="FOC41" s="73"/>
      <c r="FOD41" s="73"/>
      <c r="FOE41" s="73"/>
      <c r="FOF41" s="73"/>
      <c r="FOG41" s="73"/>
      <c r="FOH41" s="73"/>
      <c r="FOI41" s="73"/>
      <c r="FOJ41" s="73"/>
      <c r="FOK41" s="73"/>
      <c r="FOL41" s="73"/>
      <c r="FOM41" s="73"/>
      <c r="FON41" s="73"/>
      <c r="FOO41" s="73"/>
      <c r="FOP41" s="73"/>
      <c r="FOQ41" s="73"/>
      <c r="FOR41" s="73"/>
      <c r="FOS41" s="73"/>
      <c r="FOT41" s="73"/>
      <c r="FOU41" s="73"/>
      <c r="FOV41" s="73"/>
      <c r="FOW41" s="73"/>
      <c r="FOX41" s="73"/>
      <c r="FOY41" s="73"/>
      <c r="FOZ41" s="73"/>
      <c r="FPA41" s="73"/>
      <c r="FPB41" s="73"/>
      <c r="FPC41" s="73"/>
      <c r="FPD41" s="73"/>
      <c r="FPE41" s="73"/>
      <c r="FPF41" s="73"/>
      <c r="FPG41" s="73"/>
      <c r="FPH41" s="73"/>
      <c r="FPI41" s="73"/>
      <c r="FPJ41" s="73"/>
      <c r="FPK41" s="73"/>
      <c r="FPL41" s="73"/>
      <c r="FPM41" s="73"/>
      <c r="FPN41" s="73"/>
      <c r="FPO41" s="73"/>
      <c r="FPP41" s="73"/>
      <c r="FPQ41" s="73"/>
      <c r="FPR41" s="73"/>
      <c r="FPS41" s="73"/>
      <c r="FPT41" s="73"/>
      <c r="FPU41" s="73"/>
      <c r="FPV41" s="73"/>
      <c r="FPW41" s="73"/>
      <c r="FPX41" s="73"/>
      <c r="FPY41" s="73"/>
      <c r="FPZ41" s="73"/>
      <c r="FQA41" s="73"/>
      <c r="FQB41" s="73"/>
      <c r="FQC41" s="73"/>
      <c r="FQD41" s="73"/>
      <c r="FQE41" s="73"/>
      <c r="FQF41" s="73"/>
      <c r="FQG41" s="73"/>
      <c r="FQH41" s="73"/>
      <c r="FQI41" s="73"/>
      <c r="FQJ41" s="73"/>
      <c r="FQK41" s="73"/>
      <c r="FQL41" s="73"/>
      <c r="FQM41" s="73"/>
      <c r="FQN41" s="73"/>
      <c r="FQO41" s="73"/>
      <c r="FQP41" s="73"/>
      <c r="FQQ41" s="73"/>
      <c r="FQR41" s="73"/>
      <c r="FQS41" s="73"/>
      <c r="FQT41" s="73"/>
      <c r="FQU41" s="73"/>
      <c r="FQV41" s="73"/>
      <c r="FQW41" s="73"/>
      <c r="FQX41" s="73"/>
      <c r="FQY41" s="73"/>
      <c r="FQZ41" s="73"/>
      <c r="FRA41" s="73"/>
      <c r="FRB41" s="73"/>
      <c r="FRC41" s="73"/>
      <c r="FRD41" s="73"/>
      <c r="FRE41" s="73"/>
      <c r="FRF41" s="73"/>
      <c r="FRG41" s="73"/>
      <c r="FRH41" s="73"/>
      <c r="FRI41" s="73"/>
      <c r="FRJ41" s="73"/>
      <c r="FRK41" s="73"/>
      <c r="FRL41" s="73"/>
      <c r="FRM41" s="73"/>
      <c r="FRN41" s="73"/>
      <c r="FRO41" s="73"/>
      <c r="FRP41" s="73"/>
      <c r="FRQ41" s="73"/>
      <c r="FRR41" s="73"/>
      <c r="FRS41" s="73"/>
      <c r="FRT41" s="73"/>
      <c r="FRU41" s="73"/>
      <c r="FRV41" s="73"/>
      <c r="FRW41" s="73"/>
      <c r="FRX41" s="73"/>
      <c r="FRY41" s="73"/>
      <c r="FRZ41" s="73"/>
      <c r="FSA41" s="73"/>
      <c r="FSB41" s="73"/>
      <c r="FSC41" s="73"/>
      <c r="FSD41" s="73"/>
      <c r="FSE41" s="73"/>
      <c r="FSF41" s="73"/>
      <c r="FSG41" s="73"/>
      <c r="FSH41" s="73"/>
      <c r="FSI41" s="73"/>
      <c r="FSJ41" s="73"/>
      <c r="FSK41" s="73"/>
      <c r="FSL41" s="73"/>
      <c r="FSM41" s="73"/>
      <c r="FSN41" s="73"/>
      <c r="FSO41" s="73"/>
      <c r="FSP41" s="73"/>
      <c r="FSQ41" s="73"/>
      <c r="FSR41" s="73"/>
      <c r="FSS41" s="73"/>
      <c r="FST41" s="73"/>
      <c r="FSU41" s="73"/>
      <c r="FSV41" s="73"/>
      <c r="FSW41" s="73"/>
      <c r="FSX41" s="73"/>
      <c r="FSY41" s="73"/>
      <c r="FSZ41" s="73"/>
      <c r="FTA41" s="73"/>
      <c r="FTB41" s="73"/>
      <c r="FTC41" s="73"/>
      <c r="FTD41" s="73"/>
      <c r="FTE41" s="73"/>
      <c r="FTF41" s="73"/>
      <c r="FTG41" s="73"/>
      <c r="FTH41" s="73"/>
      <c r="FTI41" s="73"/>
      <c r="FTJ41" s="73"/>
      <c r="FTK41" s="73"/>
      <c r="FTL41" s="73"/>
      <c r="FTM41" s="73"/>
      <c r="FTN41" s="73"/>
      <c r="FTO41" s="73"/>
      <c r="FTP41" s="73"/>
      <c r="FTQ41" s="73"/>
      <c r="FTR41" s="73"/>
      <c r="FTS41" s="73"/>
      <c r="FTT41" s="73"/>
      <c r="FTU41" s="73"/>
      <c r="FTV41" s="73"/>
      <c r="FTW41" s="73"/>
      <c r="FTX41" s="73"/>
      <c r="FTY41" s="73"/>
      <c r="FTZ41" s="73"/>
      <c r="FUA41" s="73"/>
      <c r="FUB41" s="73"/>
      <c r="FUC41" s="73"/>
      <c r="FUD41" s="73"/>
      <c r="FUE41" s="73"/>
      <c r="FUF41" s="73"/>
      <c r="FUG41" s="73"/>
      <c r="FUH41" s="73"/>
      <c r="FUI41" s="73"/>
      <c r="FUJ41" s="73"/>
      <c r="FUK41" s="73"/>
      <c r="FUL41" s="73"/>
      <c r="FUM41" s="73"/>
      <c r="FUN41" s="73"/>
      <c r="FUO41" s="73"/>
      <c r="FUP41" s="73"/>
      <c r="FUQ41" s="73"/>
      <c r="FUR41" s="73"/>
      <c r="FUS41" s="73"/>
      <c r="FUT41" s="73"/>
      <c r="FUU41" s="73"/>
      <c r="FUV41" s="73"/>
      <c r="FUW41" s="73"/>
      <c r="FUX41" s="73"/>
      <c r="FUY41" s="73"/>
      <c r="FUZ41" s="73"/>
      <c r="FVA41" s="73"/>
      <c r="FVB41" s="73"/>
      <c r="FVC41" s="73"/>
      <c r="FVD41" s="73"/>
      <c r="FVE41" s="73"/>
      <c r="FVF41" s="73"/>
      <c r="FVG41" s="73"/>
      <c r="FVH41" s="73"/>
      <c r="FVI41" s="73"/>
      <c r="FVJ41" s="73"/>
      <c r="FVK41" s="73"/>
      <c r="FVL41" s="73"/>
      <c r="FVM41" s="73"/>
      <c r="FVN41" s="73"/>
      <c r="FVO41" s="73"/>
      <c r="FVP41" s="73"/>
      <c r="FVQ41" s="73"/>
      <c r="FVR41" s="73"/>
      <c r="FVS41" s="73"/>
      <c r="FVT41" s="73"/>
      <c r="FVU41" s="73"/>
      <c r="FVV41" s="73"/>
      <c r="FVW41" s="73"/>
      <c r="FVX41" s="73"/>
      <c r="FVY41" s="73"/>
      <c r="FVZ41" s="73"/>
      <c r="FWA41" s="73"/>
      <c r="FWB41" s="73"/>
      <c r="FWC41" s="73"/>
      <c r="FWD41" s="73"/>
      <c r="FWE41" s="73"/>
      <c r="FWF41" s="73"/>
      <c r="FWG41" s="73"/>
      <c r="FWH41" s="73"/>
      <c r="FWI41" s="73"/>
      <c r="FWJ41" s="73"/>
      <c r="FWK41" s="73"/>
      <c r="FWL41" s="73"/>
      <c r="FWM41" s="73"/>
      <c r="FWN41" s="73"/>
      <c r="FWO41" s="73"/>
      <c r="FWP41" s="73"/>
      <c r="FWQ41" s="73"/>
      <c r="FWR41" s="73"/>
      <c r="FWS41" s="73"/>
      <c r="FWT41" s="73"/>
      <c r="FWU41" s="73"/>
      <c r="FWV41" s="73"/>
      <c r="FWW41" s="73"/>
      <c r="FWX41" s="73"/>
      <c r="FWY41" s="73"/>
      <c r="FWZ41" s="73"/>
      <c r="FXA41" s="73"/>
      <c r="FXB41" s="73"/>
      <c r="FXC41" s="73"/>
      <c r="FXD41" s="73"/>
      <c r="FXE41" s="73"/>
      <c r="FXF41" s="73"/>
      <c r="FXG41" s="73"/>
      <c r="FXH41" s="73"/>
      <c r="FXI41" s="73"/>
      <c r="FXJ41" s="73"/>
      <c r="FXK41" s="73"/>
      <c r="FXL41" s="73"/>
      <c r="FXM41" s="73"/>
      <c r="FXN41" s="73"/>
      <c r="FXO41" s="73"/>
      <c r="FXP41" s="73"/>
      <c r="FXQ41" s="73"/>
      <c r="FXR41" s="73"/>
      <c r="FXS41" s="73"/>
      <c r="FXT41" s="73"/>
      <c r="FXU41" s="73"/>
      <c r="FXV41" s="73"/>
      <c r="FXW41" s="73"/>
      <c r="FXX41" s="73"/>
      <c r="FXY41" s="73"/>
      <c r="FXZ41" s="73"/>
      <c r="FYA41" s="73"/>
      <c r="FYB41" s="73"/>
      <c r="FYC41" s="73"/>
      <c r="FYD41" s="73"/>
      <c r="FYE41" s="73"/>
      <c r="FYF41" s="73"/>
      <c r="FYG41" s="73"/>
      <c r="FYH41" s="73"/>
      <c r="FYI41" s="73"/>
      <c r="FYJ41" s="73"/>
      <c r="FYK41" s="73"/>
      <c r="FYL41" s="73"/>
      <c r="FYM41" s="73"/>
      <c r="FYN41" s="73"/>
      <c r="FYO41" s="73"/>
      <c r="FYP41" s="73"/>
      <c r="FYQ41" s="73"/>
      <c r="FYR41" s="73"/>
      <c r="FYS41" s="73"/>
      <c r="FYT41" s="73"/>
      <c r="FYU41" s="73"/>
      <c r="FYV41" s="73"/>
      <c r="FYW41" s="73"/>
      <c r="FYX41" s="73"/>
      <c r="FYY41" s="73"/>
      <c r="FYZ41" s="73"/>
      <c r="FZA41" s="73"/>
      <c r="FZB41" s="73"/>
      <c r="FZC41" s="73"/>
      <c r="FZD41" s="73"/>
      <c r="FZE41" s="73"/>
      <c r="FZF41" s="73"/>
      <c r="FZG41" s="73"/>
      <c r="FZH41" s="73"/>
      <c r="FZI41" s="73"/>
      <c r="FZJ41" s="73"/>
      <c r="FZK41" s="73"/>
      <c r="FZL41" s="73"/>
      <c r="FZM41" s="73"/>
      <c r="FZN41" s="73"/>
      <c r="FZO41" s="73"/>
      <c r="FZP41" s="73"/>
      <c r="FZQ41" s="73"/>
      <c r="FZR41" s="73"/>
      <c r="FZS41" s="73"/>
      <c r="FZT41" s="73"/>
      <c r="FZU41" s="73"/>
      <c r="FZV41" s="73"/>
      <c r="FZW41" s="73"/>
      <c r="FZX41" s="73"/>
      <c r="FZY41" s="73"/>
      <c r="FZZ41" s="73"/>
      <c r="GAA41" s="73"/>
      <c r="GAB41" s="73"/>
      <c r="GAC41" s="73"/>
      <c r="GAD41" s="73"/>
      <c r="GAE41" s="73"/>
      <c r="GAF41" s="73"/>
      <c r="GAG41" s="73"/>
      <c r="GAH41" s="73"/>
      <c r="GAI41" s="73"/>
      <c r="GAJ41" s="73"/>
      <c r="GAK41" s="73"/>
      <c r="GAL41" s="73"/>
      <c r="GAM41" s="73"/>
      <c r="GAN41" s="73"/>
      <c r="GAO41" s="73"/>
      <c r="GAP41" s="73"/>
      <c r="GAQ41" s="73"/>
      <c r="GAR41" s="73"/>
      <c r="GAS41" s="73"/>
      <c r="GAT41" s="73"/>
      <c r="GAU41" s="73"/>
      <c r="GAV41" s="73"/>
      <c r="GAW41" s="73"/>
      <c r="GAX41" s="73"/>
      <c r="GAY41" s="73"/>
      <c r="GAZ41" s="73"/>
      <c r="GBA41" s="73"/>
      <c r="GBB41" s="73"/>
      <c r="GBC41" s="73"/>
      <c r="GBD41" s="73"/>
      <c r="GBE41" s="73"/>
      <c r="GBF41" s="73"/>
      <c r="GBG41" s="73"/>
      <c r="GBH41" s="73"/>
      <c r="GBI41" s="73"/>
      <c r="GBJ41" s="73"/>
      <c r="GBK41" s="73"/>
      <c r="GBL41" s="73"/>
      <c r="GBM41" s="73"/>
      <c r="GBN41" s="73"/>
      <c r="GBO41" s="73"/>
      <c r="GBP41" s="73"/>
      <c r="GBQ41" s="73"/>
      <c r="GBR41" s="73"/>
      <c r="GBS41" s="73"/>
      <c r="GBT41" s="73"/>
      <c r="GBU41" s="73"/>
      <c r="GBV41" s="73"/>
      <c r="GBW41" s="73"/>
      <c r="GBX41" s="73"/>
      <c r="GBY41" s="73"/>
      <c r="GBZ41" s="73"/>
      <c r="GCA41" s="73"/>
      <c r="GCB41" s="73"/>
      <c r="GCC41" s="73"/>
      <c r="GCD41" s="73"/>
      <c r="GCE41" s="73"/>
      <c r="GCF41" s="73"/>
      <c r="GCG41" s="73"/>
      <c r="GCH41" s="73"/>
      <c r="GCI41" s="73"/>
      <c r="GCJ41" s="73"/>
      <c r="GCK41" s="73"/>
      <c r="GCL41" s="73"/>
      <c r="GCM41" s="73"/>
      <c r="GCN41" s="73"/>
      <c r="GCO41" s="73"/>
      <c r="GCP41" s="73"/>
      <c r="GCQ41" s="73"/>
      <c r="GCR41" s="73"/>
      <c r="GCS41" s="73"/>
      <c r="GCT41" s="73"/>
      <c r="GCU41" s="73"/>
      <c r="GCV41" s="73"/>
      <c r="GCW41" s="73"/>
      <c r="GCX41" s="73"/>
      <c r="GCY41" s="73"/>
      <c r="GCZ41" s="73"/>
      <c r="GDA41" s="73"/>
      <c r="GDB41" s="73"/>
      <c r="GDC41" s="73"/>
      <c r="GDD41" s="73"/>
      <c r="GDE41" s="73"/>
      <c r="GDF41" s="73"/>
      <c r="GDG41" s="73"/>
      <c r="GDH41" s="73"/>
      <c r="GDI41" s="73"/>
      <c r="GDJ41" s="73"/>
      <c r="GDK41" s="73"/>
      <c r="GDL41" s="73"/>
      <c r="GDM41" s="73"/>
      <c r="GDN41" s="73"/>
      <c r="GDO41" s="73"/>
      <c r="GDP41" s="73"/>
      <c r="GDQ41" s="73"/>
      <c r="GDR41" s="73"/>
      <c r="GDS41" s="73"/>
      <c r="GDT41" s="73"/>
      <c r="GDU41" s="73"/>
      <c r="GDV41" s="73"/>
      <c r="GDW41" s="73"/>
      <c r="GDX41" s="73"/>
      <c r="GDY41" s="73"/>
      <c r="GDZ41" s="73"/>
      <c r="GEA41" s="73"/>
      <c r="GEB41" s="73"/>
      <c r="GEC41" s="73"/>
      <c r="GED41" s="73"/>
      <c r="GEE41" s="73"/>
      <c r="GEF41" s="73"/>
      <c r="GEG41" s="73"/>
      <c r="GEH41" s="73"/>
      <c r="GEI41" s="73"/>
      <c r="GEJ41" s="73"/>
      <c r="GEK41" s="73"/>
      <c r="GEL41" s="73"/>
      <c r="GEM41" s="73"/>
      <c r="GEN41" s="73"/>
      <c r="GEO41" s="73"/>
      <c r="GEP41" s="73"/>
      <c r="GEQ41" s="73"/>
      <c r="GER41" s="73"/>
      <c r="GES41" s="73"/>
      <c r="GET41" s="73"/>
      <c r="GEU41" s="73"/>
      <c r="GEV41" s="73"/>
      <c r="GEW41" s="73"/>
      <c r="GEX41" s="73"/>
      <c r="GEY41" s="73"/>
      <c r="GEZ41" s="73"/>
      <c r="GFA41" s="73"/>
      <c r="GFB41" s="73"/>
      <c r="GFC41" s="73"/>
      <c r="GFD41" s="73"/>
      <c r="GFE41" s="73"/>
      <c r="GFF41" s="73"/>
      <c r="GFG41" s="73"/>
      <c r="GFH41" s="73"/>
      <c r="GFI41" s="73"/>
      <c r="GFJ41" s="73"/>
      <c r="GFK41" s="73"/>
      <c r="GFL41" s="73"/>
      <c r="GFM41" s="73"/>
      <c r="GFN41" s="73"/>
      <c r="GFO41" s="73"/>
      <c r="GFP41" s="73"/>
      <c r="GFQ41" s="73"/>
      <c r="GFR41" s="73"/>
      <c r="GFS41" s="73"/>
      <c r="GFT41" s="73"/>
      <c r="GFU41" s="73"/>
      <c r="GFV41" s="73"/>
      <c r="GFW41" s="73"/>
      <c r="GFX41" s="73"/>
      <c r="GFY41" s="73"/>
      <c r="GFZ41" s="73"/>
      <c r="GGA41" s="73"/>
      <c r="GGB41" s="73"/>
      <c r="GGC41" s="73"/>
      <c r="GGD41" s="73"/>
      <c r="GGE41" s="73"/>
      <c r="GGF41" s="73"/>
      <c r="GGG41" s="73"/>
      <c r="GGH41" s="73"/>
      <c r="GGI41" s="73"/>
      <c r="GGJ41" s="73"/>
      <c r="GGK41" s="73"/>
      <c r="GGL41" s="73"/>
      <c r="GGM41" s="73"/>
      <c r="GGN41" s="73"/>
      <c r="GGO41" s="73"/>
      <c r="GGP41" s="73"/>
      <c r="GGQ41" s="73"/>
      <c r="GGR41" s="73"/>
      <c r="GGS41" s="73"/>
      <c r="GGT41" s="73"/>
      <c r="GGU41" s="73"/>
      <c r="GGV41" s="73"/>
      <c r="GGW41" s="73"/>
      <c r="GGX41" s="73"/>
      <c r="GGY41" s="73"/>
      <c r="GGZ41" s="73"/>
      <c r="GHA41" s="73"/>
      <c r="GHB41" s="73"/>
      <c r="GHC41" s="73"/>
      <c r="GHD41" s="73"/>
      <c r="GHE41" s="73"/>
      <c r="GHF41" s="73"/>
      <c r="GHG41" s="73"/>
      <c r="GHH41" s="73"/>
      <c r="GHI41" s="73"/>
      <c r="GHJ41" s="73"/>
      <c r="GHK41" s="73"/>
      <c r="GHL41" s="73"/>
      <c r="GHM41" s="73"/>
      <c r="GHN41" s="73"/>
      <c r="GHO41" s="73"/>
      <c r="GHP41" s="73"/>
      <c r="GHQ41" s="73"/>
      <c r="GHR41" s="73"/>
      <c r="GHS41" s="73"/>
      <c r="GHT41" s="73"/>
      <c r="GHU41" s="73"/>
      <c r="GHV41" s="73"/>
      <c r="GHW41" s="73"/>
      <c r="GHX41" s="73"/>
      <c r="GHY41" s="73"/>
      <c r="GHZ41" s="73"/>
      <c r="GIA41" s="73"/>
      <c r="GIB41" s="73"/>
      <c r="GIC41" s="73"/>
      <c r="GID41" s="73"/>
      <c r="GIE41" s="73"/>
      <c r="GIF41" s="73"/>
      <c r="GIG41" s="73"/>
      <c r="GIH41" s="73"/>
      <c r="GII41" s="73"/>
      <c r="GIJ41" s="73"/>
      <c r="GIK41" s="73"/>
      <c r="GIL41" s="73"/>
      <c r="GIM41" s="73"/>
      <c r="GIN41" s="73"/>
      <c r="GIO41" s="73"/>
      <c r="GIP41" s="73"/>
      <c r="GIQ41" s="73"/>
      <c r="GIR41" s="73"/>
      <c r="GIS41" s="73"/>
      <c r="GIT41" s="73"/>
      <c r="GIU41" s="73"/>
      <c r="GIV41" s="73"/>
      <c r="GIW41" s="73"/>
      <c r="GIX41" s="73"/>
      <c r="GIY41" s="73"/>
      <c r="GIZ41" s="73"/>
      <c r="GJA41" s="73"/>
      <c r="GJB41" s="73"/>
      <c r="GJC41" s="73"/>
      <c r="GJD41" s="73"/>
      <c r="GJE41" s="73"/>
      <c r="GJF41" s="73"/>
      <c r="GJG41" s="73"/>
      <c r="GJH41" s="73"/>
      <c r="GJI41" s="73"/>
      <c r="GJJ41" s="73"/>
      <c r="GJK41" s="73"/>
      <c r="GJL41" s="73"/>
      <c r="GJM41" s="73"/>
      <c r="GJN41" s="73"/>
      <c r="GJO41" s="73"/>
      <c r="GJP41" s="73"/>
      <c r="GJQ41" s="73"/>
      <c r="GJR41" s="73"/>
      <c r="GJS41" s="73"/>
      <c r="GJT41" s="73"/>
      <c r="GJU41" s="73"/>
      <c r="GJV41" s="73"/>
      <c r="GJW41" s="73"/>
      <c r="GJX41" s="73"/>
      <c r="GJY41" s="73"/>
      <c r="GJZ41" s="73"/>
      <c r="GKA41" s="73"/>
      <c r="GKB41" s="73"/>
      <c r="GKC41" s="73"/>
      <c r="GKD41" s="73"/>
      <c r="GKE41" s="73"/>
      <c r="GKF41" s="73"/>
      <c r="GKG41" s="73"/>
      <c r="GKH41" s="73"/>
      <c r="GKI41" s="73"/>
      <c r="GKJ41" s="73"/>
      <c r="GKK41" s="73"/>
      <c r="GKL41" s="73"/>
      <c r="GKM41" s="73"/>
      <c r="GKN41" s="73"/>
      <c r="GKO41" s="73"/>
      <c r="GKP41" s="73"/>
      <c r="GKQ41" s="73"/>
      <c r="GKR41" s="73"/>
      <c r="GKS41" s="73"/>
      <c r="GKT41" s="73"/>
      <c r="GKU41" s="73"/>
      <c r="GKV41" s="73"/>
      <c r="GKW41" s="73"/>
      <c r="GKX41" s="73"/>
      <c r="GKY41" s="73"/>
      <c r="GKZ41" s="73"/>
      <c r="GLA41" s="73"/>
      <c r="GLB41" s="73"/>
      <c r="GLC41" s="73"/>
      <c r="GLD41" s="73"/>
      <c r="GLE41" s="73"/>
      <c r="GLF41" s="73"/>
      <c r="GLG41" s="73"/>
      <c r="GLH41" s="73"/>
      <c r="GLI41" s="73"/>
      <c r="GLJ41" s="73"/>
      <c r="GLK41" s="73"/>
      <c r="GLL41" s="73"/>
      <c r="GLM41" s="73"/>
      <c r="GLN41" s="73"/>
      <c r="GLO41" s="73"/>
      <c r="GLP41" s="73"/>
      <c r="GLQ41" s="73"/>
      <c r="GLR41" s="73"/>
      <c r="GLS41" s="73"/>
      <c r="GLT41" s="73"/>
      <c r="GLU41" s="73"/>
      <c r="GLV41" s="73"/>
      <c r="GLW41" s="73"/>
      <c r="GLX41" s="73"/>
      <c r="GLY41" s="73"/>
      <c r="GLZ41" s="73"/>
      <c r="GMA41" s="73"/>
      <c r="GMB41" s="73"/>
      <c r="GMC41" s="73"/>
      <c r="GMD41" s="73"/>
      <c r="GME41" s="73"/>
      <c r="GMF41" s="73"/>
      <c r="GMG41" s="73"/>
      <c r="GMH41" s="73"/>
      <c r="GMI41" s="73"/>
      <c r="GMJ41" s="73"/>
      <c r="GMK41" s="73"/>
      <c r="GML41" s="73"/>
      <c r="GMM41" s="73"/>
      <c r="GMN41" s="73"/>
      <c r="GMO41" s="73"/>
      <c r="GMP41" s="73"/>
      <c r="GMQ41" s="73"/>
      <c r="GMR41" s="73"/>
      <c r="GMS41" s="73"/>
      <c r="GMT41" s="73"/>
      <c r="GMU41" s="73"/>
      <c r="GMV41" s="73"/>
      <c r="GMW41" s="73"/>
      <c r="GMX41" s="73"/>
      <c r="GMY41" s="73"/>
      <c r="GMZ41" s="73"/>
      <c r="GNA41" s="73"/>
      <c r="GNB41" s="73"/>
      <c r="GNC41" s="73"/>
      <c r="GND41" s="73"/>
      <c r="GNE41" s="73"/>
      <c r="GNF41" s="73"/>
      <c r="GNG41" s="73"/>
      <c r="GNH41" s="73"/>
      <c r="GNI41" s="73"/>
      <c r="GNJ41" s="73"/>
      <c r="GNK41" s="73"/>
      <c r="GNL41" s="73"/>
      <c r="GNM41" s="73"/>
      <c r="GNN41" s="73"/>
      <c r="GNO41" s="73"/>
      <c r="GNP41" s="73"/>
      <c r="GNQ41" s="73"/>
      <c r="GNR41" s="73"/>
      <c r="GNS41" s="73"/>
      <c r="GNT41" s="73"/>
      <c r="GNU41" s="73"/>
      <c r="GNV41" s="73"/>
      <c r="GNW41" s="73"/>
      <c r="GNX41" s="73"/>
      <c r="GNY41" s="73"/>
      <c r="GNZ41" s="73"/>
      <c r="GOA41" s="73"/>
      <c r="GOB41" s="73"/>
      <c r="GOC41" s="73"/>
      <c r="GOD41" s="73"/>
      <c r="GOE41" s="73"/>
      <c r="GOF41" s="73"/>
      <c r="GOG41" s="73"/>
      <c r="GOH41" s="73"/>
      <c r="GOI41" s="73"/>
      <c r="GOJ41" s="73"/>
      <c r="GOK41" s="73"/>
      <c r="GOL41" s="73"/>
      <c r="GOM41" s="73"/>
      <c r="GON41" s="73"/>
      <c r="GOO41" s="73"/>
      <c r="GOP41" s="73"/>
      <c r="GOQ41" s="73"/>
      <c r="GOR41" s="73"/>
      <c r="GOS41" s="73"/>
      <c r="GOT41" s="73"/>
      <c r="GOU41" s="73"/>
      <c r="GOV41" s="73"/>
      <c r="GOW41" s="73"/>
      <c r="GOX41" s="73"/>
      <c r="GOY41" s="73"/>
      <c r="GOZ41" s="73"/>
      <c r="GPA41" s="73"/>
      <c r="GPB41" s="73"/>
      <c r="GPC41" s="73"/>
      <c r="GPD41" s="73"/>
      <c r="GPE41" s="73"/>
      <c r="GPF41" s="73"/>
      <c r="GPG41" s="73"/>
      <c r="GPH41" s="73"/>
      <c r="GPI41" s="73"/>
      <c r="GPJ41" s="73"/>
      <c r="GPK41" s="73"/>
      <c r="GPL41" s="73"/>
      <c r="GPM41" s="73"/>
      <c r="GPN41" s="73"/>
      <c r="GPO41" s="73"/>
      <c r="GPP41" s="73"/>
      <c r="GPQ41" s="73"/>
      <c r="GPR41" s="73"/>
      <c r="GPS41" s="73"/>
      <c r="GPT41" s="73"/>
      <c r="GPU41" s="73"/>
      <c r="GPV41" s="73"/>
      <c r="GPW41" s="73"/>
      <c r="GPX41" s="73"/>
      <c r="GPY41" s="73"/>
      <c r="GPZ41" s="73"/>
      <c r="GQA41" s="73"/>
      <c r="GQB41" s="73"/>
      <c r="GQC41" s="73"/>
      <c r="GQD41" s="73"/>
      <c r="GQE41" s="73"/>
      <c r="GQF41" s="73"/>
      <c r="GQG41" s="73"/>
      <c r="GQH41" s="73"/>
      <c r="GQI41" s="73"/>
      <c r="GQJ41" s="73"/>
      <c r="GQK41" s="73"/>
      <c r="GQL41" s="73"/>
      <c r="GQM41" s="73"/>
      <c r="GQN41" s="73"/>
      <c r="GQO41" s="73"/>
      <c r="GQP41" s="73"/>
      <c r="GQQ41" s="73"/>
      <c r="GQR41" s="73"/>
      <c r="GQS41" s="73"/>
      <c r="GQT41" s="73"/>
      <c r="GQU41" s="73"/>
      <c r="GQV41" s="73"/>
      <c r="GQW41" s="73"/>
      <c r="GQX41" s="73"/>
      <c r="GQY41" s="73"/>
      <c r="GQZ41" s="73"/>
      <c r="GRA41" s="73"/>
      <c r="GRB41" s="73"/>
      <c r="GRC41" s="73"/>
      <c r="GRD41" s="73"/>
      <c r="GRE41" s="73"/>
      <c r="GRF41" s="73"/>
      <c r="GRG41" s="73"/>
      <c r="GRH41" s="73"/>
      <c r="GRI41" s="73"/>
      <c r="GRJ41" s="73"/>
      <c r="GRK41" s="73"/>
      <c r="GRL41" s="73"/>
      <c r="GRM41" s="73"/>
      <c r="GRN41" s="73"/>
      <c r="GRO41" s="73"/>
      <c r="GRP41" s="73"/>
      <c r="GRQ41" s="73"/>
      <c r="GRR41" s="73"/>
      <c r="GRS41" s="73"/>
      <c r="GRT41" s="73"/>
      <c r="GRU41" s="73"/>
      <c r="GRV41" s="73"/>
      <c r="GRW41" s="73"/>
      <c r="GRX41" s="73"/>
      <c r="GRY41" s="73"/>
      <c r="GRZ41" s="73"/>
      <c r="GSA41" s="73"/>
      <c r="GSB41" s="73"/>
      <c r="GSC41" s="73"/>
      <c r="GSD41" s="73"/>
      <c r="GSE41" s="73"/>
      <c r="GSF41" s="73"/>
      <c r="GSG41" s="73"/>
      <c r="GSH41" s="73"/>
      <c r="GSI41" s="73"/>
      <c r="GSJ41" s="73"/>
      <c r="GSK41" s="73"/>
      <c r="GSL41" s="73"/>
      <c r="GSM41" s="73"/>
      <c r="GSN41" s="73"/>
      <c r="GSO41" s="73"/>
      <c r="GSP41" s="73"/>
      <c r="GSQ41" s="73"/>
      <c r="GSR41" s="73"/>
      <c r="GSS41" s="73"/>
      <c r="GST41" s="73"/>
      <c r="GSU41" s="73"/>
      <c r="GSV41" s="73"/>
      <c r="GSW41" s="73"/>
      <c r="GSX41" s="73"/>
      <c r="GSY41" s="73"/>
      <c r="GSZ41" s="73"/>
      <c r="GTA41" s="73"/>
      <c r="GTB41" s="73"/>
      <c r="GTC41" s="73"/>
      <c r="GTD41" s="73"/>
      <c r="GTE41" s="73"/>
      <c r="GTF41" s="73"/>
      <c r="GTG41" s="73"/>
      <c r="GTH41" s="73"/>
      <c r="GTI41" s="73"/>
      <c r="GTJ41" s="73"/>
      <c r="GTK41" s="73"/>
      <c r="GTL41" s="73"/>
      <c r="GTM41" s="73"/>
      <c r="GTN41" s="73"/>
      <c r="GTO41" s="73"/>
      <c r="GTP41" s="73"/>
      <c r="GTQ41" s="73"/>
      <c r="GTR41" s="73"/>
      <c r="GTS41" s="73"/>
      <c r="GTT41" s="73"/>
      <c r="GTU41" s="73"/>
      <c r="GTV41" s="73"/>
      <c r="GTW41" s="73"/>
      <c r="GTX41" s="73"/>
      <c r="GTY41" s="73"/>
      <c r="GTZ41" s="73"/>
      <c r="GUA41" s="73"/>
      <c r="GUB41" s="73"/>
      <c r="GUC41" s="73"/>
      <c r="GUD41" s="73"/>
      <c r="GUE41" s="73"/>
      <c r="GUF41" s="73"/>
      <c r="GUG41" s="73"/>
      <c r="GUH41" s="73"/>
      <c r="GUI41" s="73"/>
      <c r="GUJ41" s="73"/>
      <c r="GUK41" s="73"/>
      <c r="GUL41" s="73"/>
      <c r="GUM41" s="73"/>
      <c r="GUN41" s="73"/>
      <c r="GUO41" s="73"/>
      <c r="GUP41" s="73"/>
      <c r="GUQ41" s="73"/>
      <c r="GUR41" s="73"/>
      <c r="GUS41" s="73"/>
      <c r="GUT41" s="73"/>
      <c r="GUU41" s="73"/>
      <c r="GUV41" s="73"/>
      <c r="GUW41" s="73"/>
      <c r="GUX41" s="73"/>
      <c r="GUY41" s="73"/>
      <c r="GUZ41" s="73"/>
      <c r="GVA41" s="73"/>
      <c r="GVB41" s="73"/>
      <c r="GVC41" s="73"/>
      <c r="GVD41" s="73"/>
      <c r="GVE41" s="73"/>
      <c r="GVF41" s="73"/>
      <c r="GVG41" s="73"/>
      <c r="GVH41" s="73"/>
      <c r="GVI41" s="73"/>
      <c r="GVJ41" s="73"/>
      <c r="GVK41" s="73"/>
      <c r="GVL41" s="73"/>
      <c r="GVM41" s="73"/>
      <c r="GVN41" s="73"/>
      <c r="GVO41" s="73"/>
      <c r="GVP41" s="73"/>
      <c r="GVQ41" s="73"/>
      <c r="GVR41" s="73"/>
      <c r="GVS41" s="73"/>
      <c r="GVT41" s="73"/>
      <c r="GVU41" s="73"/>
      <c r="GVV41" s="73"/>
      <c r="GVW41" s="73"/>
      <c r="GVX41" s="73"/>
      <c r="GVY41" s="73"/>
      <c r="GVZ41" s="73"/>
      <c r="GWA41" s="73"/>
      <c r="GWB41" s="73"/>
      <c r="GWC41" s="73"/>
      <c r="GWD41" s="73"/>
      <c r="GWE41" s="73"/>
      <c r="GWF41" s="73"/>
      <c r="GWG41" s="73"/>
      <c r="GWH41" s="73"/>
      <c r="GWI41" s="73"/>
      <c r="GWJ41" s="73"/>
      <c r="GWK41" s="73"/>
      <c r="GWL41" s="73"/>
      <c r="GWM41" s="73"/>
      <c r="GWN41" s="73"/>
      <c r="GWO41" s="73"/>
      <c r="GWP41" s="73"/>
      <c r="GWQ41" s="73"/>
      <c r="GWR41" s="73"/>
      <c r="GWS41" s="73"/>
      <c r="GWT41" s="73"/>
      <c r="GWU41" s="73"/>
      <c r="GWV41" s="73"/>
      <c r="GWW41" s="73"/>
      <c r="GWX41" s="73"/>
      <c r="GWY41" s="73"/>
      <c r="GWZ41" s="73"/>
      <c r="GXA41" s="73"/>
      <c r="GXB41" s="73"/>
      <c r="GXC41" s="73"/>
      <c r="GXD41" s="73"/>
      <c r="GXE41" s="73"/>
      <c r="GXF41" s="73"/>
      <c r="GXG41" s="73"/>
      <c r="GXH41" s="73"/>
      <c r="GXI41" s="73"/>
      <c r="GXJ41" s="73"/>
      <c r="GXK41" s="73"/>
      <c r="GXL41" s="73"/>
      <c r="GXM41" s="73"/>
      <c r="GXN41" s="73"/>
      <c r="GXO41" s="73"/>
      <c r="GXP41" s="73"/>
      <c r="GXQ41" s="73"/>
      <c r="GXR41" s="73"/>
      <c r="GXS41" s="73"/>
      <c r="GXT41" s="73"/>
      <c r="GXU41" s="73"/>
      <c r="GXV41" s="73"/>
      <c r="GXW41" s="73"/>
      <c r="GXX41" s="73"/>
      <c r="GXY41" s="73"/>
      <c r="GXZ41" s="73"/>
      <c r="GYA41" s="73"/>
      <c r="GYB41" s="73"/>
      <c r="GYC41" s="73"/>
      <c r="GYD41" s="73"/>
      <c r="GYE41" s="73"/>
      <c r="GYF41" s="73"/>
      <c r="GYG41" s="73"/>
      <c r="GYH41" s="73"/>
      <c r="GYI41" s="73"/>
      <c r="GYJ41" s="73"/>
      <c r="GYK41" s="73"/>
      <c r="GYL41" s="73"/>
      <c r="GYM41" s="73"/>
      <c r="GYN41" s="73"/>
      <c r="GYO41" s="73"/>
      <c r="GYP41" s="73"/>
      <c r="GYQ41" s="73"/>
      <c r="GYR41" s="73"/>
      <c r="GYS41" s="73"/>
      <c r="GYT41" s="73"/>
      <c r="GYU41" s="73"/>
      <c r="GYV41" s="73"/>
      <c r="GYW41" s="73"/>
      <c r="GYX41" s="73"/>
      <c r="GYY41" s="73"/>
      <c r="GYZ41" s="73"/>
      <c r="GZA41" s="73"/>
      <c r="GZB41" s="73"/>
      <c r="GZC41" s="73"/>
      <c r="GZD41" s="73"/>
      <c r="GZE41" s="73"/>
      <c r="GZF41" s="73"/>
      <c r="GZG41" s="73"/>
      <c r="GZH41" s="73"/>
      <c r="GZI41" s="73"/>
      <c r="GZJ41" s="73"/>
      <c r="GZK41" s="73"/>
      <c r="GZL41" s="73"/>
      <c r="GZM41" s="73"/>
      <c r="GZN41" s="73"/>
      <c r="GZO41" s="73"/>
      <c r="GZP41" s="73"/>
      <c r="GZQ41" s="73"/>
      <c r="GZR41" s="73"/>
      <c r="GZS41" s="73"/>
      <c r="GZT41" s="73"/>
      <c r="GZU41" s="73"/>
      <c r="GZV41" s="73"/>
      <c r="GZW41" s="73"/>
      <c r="GZX41" s="73"/>
      <c r="GZY41" s="73"/>
      <c r="GZZ41" s="73"/>
      <c r="HAA41" s="73"/>
      <c r="HAB41" s="73"/>
      <c r="HAC41" s="73"/>
      <c r="HAD41" s="73"/>
      <c r="HAE41" s="73"/>
      <c r="HAF41" s="73"/>
      <c r="HAG41" s="73"/>
      <c r="HAH41" s="73"/>
      <c r="HAI41" s="73"/>
      <c r="HAJ41" s="73"/>
      <c r="HAK41" s="73"/>
      <c r="HAL41" s="73"/>
      <c r="HAM41" s="73"/>
      <c r="HAN41" s="73"/>
      <c r="HAO41" s="73"/>
      <c r="HAP41" s="73"/>
      <c r="HAQ41" s="73"/>
      <c r="HAR41" s="73"/>
      <c r="HAS41" s="73"/>
      <c r="HAT41" s="73"/>
      <c r="HAU41" s="73"/>
      <c r="HAV41" s="73"/>
      <c r="HAW41" s="73"/>
      <c r="HAX41" s="73"/>
      <c r="HAY41" s="73"/>
      <c r="HAZ41" s="73"/>
      <c r="HBA41" s="73"/>
      <c r="HBB41" s="73"/>
      <c r="HBC41" s="73"/>
      <c r="HBD41" s="73"/>
      <c r="HBE41" s="73"/>
      <c r="HBF41" s="73"/>
      <c r="HBG41" s="73"/>
      <c r="HBH41" s="73"/>
      <c r="HBI41" s="73"/>
      <c r="HBJ41" s="73"/>
      <c r="HBK41" s="73"/>
      <c r="HBL41" s="73"/>
      <c r="HBM41" s="73"/>
      <c r="HBN41" s="73"/>
      <c r="HBO41" s="73"/>
      <c r="HBP41" s="73"/>
      <c r="HBQ41" s="73"/>
      <c r="HBR41" s="73"/>
      <c r="HBS41" s="73"/>
      <c r="HBT41" s="73"/>
      <c r="HBU41" s="73"/>
      <c r="HBV41" s="73"/>
      <c r="HBW41" s="73"/>
      <c r="HBX41" s="73"/>
      <c r="HBY41" s="73"/>
      <c r="HBZ41" s="73"/>
      <c r="HCA41" s="73"/>
      <c r="HCB41" s="73"/>
      <c r="HCC41" s="73"/>
      <c r="HCD41" s="73"/>
      <c r="HCE41" s="73"/>
      <c r="HCF41" s="73"/>
      <c r="HCG41" s="73"/>
      <c r="HCH41" s="73"/>
      <c r="HCI41" s="73"/>
      <c r="HCJ41" s="73"/>
      <c r="HCK41" s="73"/>
      <c r="HCL41" s="73"/>
      <c r="HCM41" s="73"/>
      <c r="HCN41" s="73"/>
      <c r="HCO41" s="73"/>
      <c r="HCP41" s="73"/>
      <c r="HCQ41" s="73"/>
      <c r="HCR41" s="73"/>
      <c r="HCS41" s="73"/>
      <c r="HCT41" s="73"/>
      <c r="HCU41" s="73"/>
      <c r="HCV41" s="73"/>
      <c r="HCW41" s="73"/>
      <c r="HCX41" s="73"/>
      <c r="HCY41" s="73"/>
      <c r="HCZ41" s="73"/>
      <c r="HDA41" s="73"/>
      <c r="HDB41" s="73"/>
      <c r="HDC41" s="73"/>
      <c r="HDD41" s="73"/>
      <c r="HDE41" s="73"/>
      <c r="HDF41" s="73"/>
      <c r="HDG41" s="73"/>
      <c r="HDH41" s="73"/>
      <c r="HDI41" s="73"/>
      <c r="HDJ41" s="73"/>
      <c r="HDK41" s="73"/>
      <c r="HDL41" s="73"/>
      <c r="HDM41" s="73"/>
      <c r="HDN41" s="73"/>
      <c r="HDO41" s="73"/>
      <c r="HDP41" s="73"/>
      <c r="HDQ41" s="73"/>
      <c r="HDR41" s="73"/>
      <c r="HDS41" s="73"/>
      <c r="HDT41" s="73"/>
      <c r="HDU41" s="73"/>
      <c r="HDV41" s="73"/>
      <c r="HDW41" s="73"/>
      <c r="HDX41" s="73"/>
      <c r="HDY41" s="73"/>
      <c r="HDZ41" s="73"/>
      <c r="HEA41" s="73"/>
      <c r="HEB41" s="73"/>
      <c r="HEC41" s="73"/>
      <c r="HED41" s="73"/>
      <c r="HEE41" s="73"/>
      <c r="HEF41" s="73"/>
      <c r="HEG41" s="73"/>
      <c r="HEH41" s="73"/>
      <c r="HEI41" s="73"/>
      <c r="HEJ41" s="73"/>
      <c r="HEK41" s="73"/>
      <c r="HEL41" s="73"/>
      <c r="HEM41" s="73"/>
      <c r="HEN41" s="73"/>
      <c r="HEO41" s="73"/>
      <c r="HEP41" s="73"/>
      <c r="HEQ41" s="73"/>
      <c r="HER41" s="73"/>
      <c r="HES41" s="73"/>
      <c r="HET41" s="73"/>
      <c r="HEU41" s="73"/>
      <c r="HEV41" s="73"/>
      <c r="HEW41" s="73"/>
      <c r="HEX41" s="73"/>
      <c r="HEY41" s="73"/>
      <c r="HEZ41" s="73"/>
      <c r="HFA41" s="73"/>
      <c r="HFB41" s="73"/>
      <c r="HFC41" s="73"/>
      <c r="HFD41" s="73"/>
      <c r="HFE41" s="73"/>
      <c r="HFF41" s="73"/>
      <c r="HFG41" s="73"/>
      <c r="HFH41" s="73"/>
      <c r="HFI41" s="73"/>
      <c r="HFJ41" s="73"/>
      <c r="HFK41" s="73"/>
      <c r="HFL41" s="73"/>
      <c r="HFM41" s="73"/>
      <c r="HFN41" s="73"/>
      <c r="HFO41" s="73"/>
      <c r="HFP41" s="73"/>
      <c r="HFQ41" s="73"/>
      <c r="HFR41" s="73"/>
      <c r="HFS41" s="73"/>
      <c r="HFT41" s="73"/>
      <c r="HFU41" s="73"/>
      <c r="HFV41" s="73"/>
      <c r="HFW41" s="73"/>
      <c r="HFX41" s="73"/>
      <c r="HFY41" s="73"/>
      <c r="HFZ41" s="73"/>
      <c r="HGA41" s="73"/>
      <c r="HGB41" s="73"/>
      <c r="HGC41" s="73"/>
      <c r="HGD41" s="73"/>
      <c r="HGE41" s="73"/>
      <c r="HGF41" s="73"/>
      <c r="HGG41" s="73"/>
      <c r="HGH41" s="73"/>
      <c r="HGI41" s="73"/>
      <c r="HGJ41" s="73"/>
      <c r="HGK41" s="73"/>
      <c r="HGL41" s="73"/>
      <c r="HGM41" s="73"/>
      <c r="HGN41" s="73"/>
      <c r="HGO41" s="73"/>
      <c r="HGP41" s="73"/>
      <c r="HGQ41" s="73"/>
      <c r="HGR41" s="73"/>
      <c r="HGS41" s="73"/>
      <c r="HGT41" s="73"/>
      <c r="HGU41" s="73"/>
      <c r="HGV41" s="73"/>
      <c r="HGW41" s="73"/>
      <c r="HGX41" s="73"/>
      <c r="HGY41" s="73"/>
      <c r="HGZ41" s="73"/>
      <c r="HHA41" s="73"/>
      <c r="HHB41" s="73"/>
      <c r="HHC41" s="73"/>
      <c r="HHD41" s="73"/>
      <c r="HHE41" s="73"/>
      <c r="HHF41" s="73"/>
      <c r="HHG41" s="73"/>
      <c r="HHH41" s="73"/>
      <c r="HHI41" s="73"/>
      <c r="HHJ41" s="73"/>
      <c r="HHK41" s="73"/>
      <c r="HHL41" s="73"/>
      <c r="HHM41" s="73"/>
      <c r="HHN41" s="73"/>
      <c r="HHO41" s="73"/>
      <c r="HHP41" s="73"/>
      <c r="HHQ41" s="73"/>
      <c r="HHR41" s="73"/>
      <c r="HHS41" s="73"/>
      <c r="HHT41" s="73"/>
      <c r="HHU41" s="73"/>
      <c r="HHV41" s="73"/>
      <c r="HHW41" s="73"/>
      <c r="HHX41" s="73"/>
      <c r="HHY41" s="73"/>
      <c r="HHZ41" s="73"/>
      <c r="HIA41" s="73"/>
      <c r="HIB41" s="73"/>
      <c r="HIC41" s="73"/>
      <c r="HID41" s="73"/>
      <c r="HIE41" s="73"/>
      <c r="HIF41" s="73"/>
      <c r="HIG41" s="73"/>
      <c r="HIH41" s="73"/>
      <c r="HII41" s="73"/>
      <c r="HIJ41" s="73"/>
      <c r="HIK41" s="73"/>
      <c r="HIL41" s="73"/>
      <c r="HIM41" s="73"/>
      <c r="HIN41" s="73"/>
      <c r="HIO41" s="73"/>
      <c r="HIP41" s="73"/>
      <c r="HIQ41" s="73"/>
      <c r="HIR41" s="73"/>
      <c r="HIS41" s="73"/>
      <c r="HIT41" s="73"/>
      <c r="HIU41" s="73"/>
      <c r="HIV41" s="73"/>
      <c r="HIW41" s="73"/>
      <c r="HIX41" s="73"/>
      <c r="HIY41" s="73"/>
      <c r="HIZ41" s="73"/>
      <c r="HJA41" s="73"/>
      <c r="HJB41" s="73"/>
      <c r="HJC41" s="73"/>
      <c r="HJD41" s="73"/>
      <c r="HJE41" s="73"/>
      <c r="HJF41" s="73"/>
      <c r="HJG41" s="73"/>
      <c r="HJH41" s="73"/>
      <c r="HJI41" s="73"/>
      <c r="HJJ41" s="73"/>
      <c r="HJK41" s="73"/>
      <c r="HJL41" s="73"/>
      <c r="HJM41" s="73"/>
      <c r="HJN41" s="73"/>
      <c r="HJO41" s="73"/>
      <c r="HJP41" s="73"/>
      <c r="HJQ41" s="73"/>
      <c r="HJR41" s="73"/>
      <c r="HJS41" s="73"/>
      <c r="HJT41" s="73"/>
      <c r="HJU41" s="73"/>
      <c r="HJV41" s="73"/>
      <c r="HJW41" s="73"/>
      <c r="HJX41" s="73"/>
      <c r="HJY41" s="73"/>
      <c r="HJZ41" s="73"/>
      <c r="HKA41" s="73"/>
      <c r="HKB41" s="73"/>
      <c r="HKC41" s="73"/>
      <c r="HKD41" s="73"/>
      <c r="HKE41" s="73"/>
      <c r="HKF41" s="73"/>
      <c r="HKG41" s="73"/>
      <c r="HKH41" s="73"/>
      <c r="HKI41" s="73"/>
      <c r="HKJ41" s="73"/>
      <c r="HKK41" s="73"/>
      <c r="HKL41" s="73"/>
      <c r="HKM41" s="73"/>
      <c r="HKN41" s="73"/>
      <c r="HKO41" s="73"/>
      <c r="HKP41" s="73"/>
      <c r="HKQ41" s="73"/>
      <c r="HKR41" s="73"/>
      <c r="HKS41" s="73"/>
      <c r="HKT41" s="73"/>
      <c r="HKU41" s="73"/>
      <c r="HKV41" s="73"/>
      <c r="HKW41" s="73"/>
      <c r="HKX41" s="73"/>
      <c r="HKY41" s="73"/>
      <c r="HKZ41" s="73"/>
      <c r="HLA41" s="73"/>
      <c r="HLB41" s="73"/>
      <c r="HLC41" s="73"/>
      <c r="HLD41" s="73"/>
      <c r="HLE41" s="73"/>
      <c r="HLF41" s="73"/>
      <c r="HLG41" s="73"/>
      <c r="HLH41" s="73"/>
      <c r="HLI41" s="73"/>
      <c r="HLJ41" s="73"/>
      <c r="HLK41" s="73"/>
      <c r="HLL41" s="73"/>
      <c r="HLM41" s="73"/>
      <c r="HLN41" s="73"/>
      <c r="HLO41" s="73"/>
      <c r="HLP41" s="73"/>
      <c r="HLQ41" s="73"/>
      <c r="HLR41" s="73"/>
      <c r="HLS41" s="73"/>
      <c r="HLT41" s="73"/>
      <c r="HLU41" s="73"/>
      <c r="HLV41" s="73"/>
      <c r="HLW41" s="73"/>
      <c r="HLX41" s="73"/>
      <c r="HLY41" s="73"/>
      <c r="HLZ41" s="73"/>
      <c r="HMA41" s="73"/>
      <c r="HMB41" s="73"/>
      <c r="HMC41" s="73"/>
      <c r="HMD41" s="73"/>
      <c r="HME41" s="73"/>
      <c r="HMF41" s="73"/>
      <c r="HMG41" s="73"/>
      <c r="HMH41" s="73"/>
      <c r="HMI41" s="73"/>
      <c r="HMJ41" s="73"/>
      <c r="HMK41" s="73"/>
      <c r="HML41" s="73"/>
      <c r="HMM41" s="73"/>
      <c r="HMN41" s="73"/>
      <c r="HMO41" s="73"/>
      <c r="HMP41" s="73"/>
      <c r="HMQ41" s="73"/>
      <c r="HMR41" s="73"/>
      <c r="HMS41" s="73"/>
      <c r="HMT41" s="73"/>
      <c r="HMU41" s="73"/>
      <c r="HMV41" s="73"/>
      <c r="HMW41" s="73"/>
      <c r="HMX41" s="73"/>
      <c r="HMY41" s="73"/>
      <c r="HMZ41" s="73"/>
      <c r="HNA41" s="73"/>
      <c r="HNB41" s="73"/>
      <c r="HNC41" s="73"/>
      <c r="HND41" s="73"/>
      <c r="HNE41" s="73"/>
      <c r="HNF41" s="73"/>
      <c r="HNG41" s="73"/>
      <c r="HNH41" s="73"/>
      <c r="HNI41" s="73"/>
      <c r="HNJ41" s="73"/>
      <c r="HNK41" s="73"/>
      <c r="HNL41" s="73"/>
      <c r="HNM41" s="73"/>
      <c r="HNN41" s="73"/>
      <c r="HNO41" s="73"/>
      <c r="HNP41" s="73"/>
      <c r="HNQ41" s="73"/>
      <c r="HNR41" s="73"/>
      <c r="HNS41" s="73"/>
      <c r="HNT41" s="73"/>
      <c r="HNU41" s="73"/>
      <c r="HNV41" s="73"/>
      <c r="HNW41" s="73"/>
      <c r="HNX41" s="73"/>
      <c r="HNY41" s="73"/>
      <c r="HNZ41" s="73"/>
      <c r="HOA41" s="73"/>
      <c r="HOB41" s="73"/>
      <c r="HOC41" s="73"/>
      <c r="HOD41" s="73"/>
      <c r="HOE41" s="73"/>
      <c r="HOF41" s="73"/>
      <c r="HOG41" s="73"/>
      <c r="HOH41" s="73"/>
      <c r="HOI41" s="73"/>
      <c r="HOJ41" s="73"/>
      <c r="HOK41" s="73"/>
      <c r="HOL41" s="73"/>
      <c r="HOM41" s="73"/>
      <c r="HON41" s="73"/>
      <c r="HOO41" s="73"/>
      <c r="HOP41" s="73"/>
      <c r="HOQ41" s="73"/>
      <c r="HOR41" s="73"/>
      <c r="HOS41" s="73"/>
      <c r="HOT41" s="73"/>
      <c r="HOU41" s="73"/>
      <c r="HOV41" s="73"/>
      <c r="HOW41" s="73"/>
      <c r="HOX41" s="73"/>
      <c r="HOY41" s="73"/>
      <c r="HOZ41" s="73"/>
      <c r="HPA41" s="73"/>
      <c r="HPB41" s="73"/>
      <c r="HPC41" s="73"/>
      <c r="HPD41" s="73"/>
      <c r="HPE41" s="73"/>
      <c r="HPF41" s="73"/>
      <c r="HPG41" s="73"/>
      <c r="HPH41" s="73"/>
      <c r="HPI41" s="73"/>
      <c r="HPJ41" s="73"/>
      <c r="HPK41" s="73"/>
      <c r="HPL41" s="73"/>
      <c r="HPM41" s="73"/>
      <c r="HPN41" s="73"/>
      <c r="HPO41" s="73"/>
      <c r="HPP41" s="73"/>
      <c r="HPQ41" s="73"/>
      <c r="HPR41" s="73"/>
      <c r="HPS41" s="73"/>
      <c r="HPT41" s="73"/>
      <c r="HPU41" s="73"/>
      <c r="HPV41" s="73"/>
      <c r="HPW41" s="73"/>
      <c r="HPX41" s="73"/>
      <c r="HPY41" s="73"/>
      <c r="HPZ41" s="73"/>
      <c r="HQA41" s="73"/>
      <c r="HQB41" s="73"/>
      <c r="HQC41" s="73"/>
      <c r="HQD41" s="73"/>
      <c r="HQE41" s="73"/>
      <c r="HQF41" s="73"/>
      <c r="HQG41" s="73"/>
      <c r="HQH41" s="73"/>
      <c r="HQI41" s="73"/>
      <c r="HQJ41" s="73"/>
      <c r="HQK41" s="73"/>
      <c r="HQL41" s="73"/>
      <c r="HQM41" s="73"/>
      <c r="HQN41" s="73"/>
      <c r="HQO41" s="73"/>
      <c r="HQP41" s="73"/>
      <c r="HQQ41" s="73"/>
      <c r="HQR41" s="73"/>
      <c r="HQS41" s="73"/>
      <c r="HQT41" s="73"/>
      <c r="HQU41" s="73"/>
      <c r="HQV41" s="73"/>
      <c r="HQW41" s="73"/>
      <c r="HQX41" s="73"/>
      <c r="HQY41" s="73"/>
      <c r="HQZ41" s="73"/>
      <c r="HRA41" s="73"/>
      <c r="HRB41" s="73"/>
      <c r="HRC41" s="73"/>
      <c r="HRD41" s="73"/>
      <c r="HRE41" s="73"/>
      <c r="HRF41" s="73"/>
      <c r="HRG41" s="73"/>
      <c r="HRH41" s="73"/>
      <c r="HRI41" s="73"/>
      <c r="HRJ41" s="73"/>
      <c r="HRK41" s="73"/>
      <c r="HRL41" s="73"/>
      <c r="HRM41" s="73"/>
      <c r="HRN41" s="73"/>
      <c r="HRO41" s="73"/>
      <c r="HRP41" s="73"/>
      <c r="HRQ41" s="73"/>
      <c r="HRR41" s="73"/>
      <c r="HRS41" s="73"/>
      <c r="HRT41" s="73"/>
      <c r="HRU41" s="73"/>
      <c r="HRV41" s="73"/>
      <c r="HRW41" s="73"/>
      <c r="HRX41" s="73"/>
      <c r="HRY41" s="73"/>
      <c r="HRZ41" s="73"/>
      <c r="HSA41" s="73"/>
      <c r="HSB41" s="73"/>
      <c r="HSC41" s="73"/>
      <c r="HSD41" s="73"/>
      <c r="HSE41" s="73"/>
      <c r="HSF41" s="73"/>
      <c r="HSG41" s="73"/>
      <c r="HSH41" s="73"/>
      <c r="HSI41" s="73"/>
      <c r="HSJ41" s="73"/>
      <c r="HSK41" s="73"/>
      <c r="HSL41" s="73"/>
      <c r="HSM41" s="73"/>
      <c r="HSN41" s="73"/>
      <c r="HSO41" s="73"/>
      <c r="HSP41" s="73"/>
      <c r="HSQ41" s="73"/>
      <c r="HSR41" s="73"/>
      <c r="HSS41" s="73"/>
      <c r="HST41" s="73"/>
      <c r="HSU41" s="73"/>
      <c r="HSV41" s="73"/>
      <c r="HSW41" s="73"/>
      <c r="HSX41" s="73"/>
      <c r="HSY41" s="73"/>
      <c r="HSZ41" s="73"/>
      <c r="HTA41" s="73"/>
      <c r="HTB41" s="73"/>
      <c r="HTC41" s="73"/>
      <c r="HTD41" s="73"/>
      <c r="HTE41" s="73"/>
      <c r="HTF41" s="73"/>
      <c r="HTG41" s="73"/>
      <c r="HTH41" s="73"/>
      <c r="HTI41" s="73"/>
      <c r="HTJ41" s="73"/>
      <c r="HTK41" s="73"/>
      <c r="HTL41" s="73"/>
      <c r="HTM41" s="73"/>
      <c r="HTN41" s="73"/>
      <c r="HTO41" s="73"/>
      <c r="HTP41" s="73"/>
      <c r="HTQ41" s="73"/>
      <c r="HTR41" s="73"/>
      <c r="HTS41" s="73"/>
      <c r="HTT41" s="73"/>
      <c r="HTU41" s="73"/>
      <c r="HTV41" s="73"/>
      <c r="HTW41" s="73"/>
      <c r="HTX41" s="73"/>
      <c r="HTY41" s="73"/>
      <c r="HTZ41" s="73"/>
      <c r="HUA41" s="73"/>
      <c r="HUB41" s="73"/>
      <c r="HUC41" s="73"/>
      <c r="HUD41" s="73"/>
      <c r="HUE41" s="73"/>
      <c r="HUF41" s="73"/>
      <c r="HUG41" s="73"/>
      <c r="HUH41" s="73"/>
      <c r="HUI41" s="73"/>
      <c r="HUJ41" s="73"/>
      <c r="HUK41" s="73"/>
      <c r="HUL41" s="73"/>
      <c r="HUM41" s="73"/>
      <c r="HUN41" s="73"/>
      <c r="HUO41" s="73"/>
      <c r="HUP41" s="73"/>
      <c r="HUQ41" s="73"/>
      <c r="HUR41" s="73"/>
      <c r="HUS41" s="73"/>
      <c r="HUT41" s="73"/>
      <c r="HUU41" s="73"/>
      <c r="HUV41" s="73"/>
      <c r="HUW41" s="73"/>
      <c r="HUX41" s="73"/>
      <c r="HUY41" s="73"/>
      <c r="HUZ41" s="73"/>
      <c r="HVA41" s="73"/>
      <c r="HVB41" s="73"/>
      <c r="HVC41" s="73"/>
      <c r="HVD41" s="73"/>
      <c r="HVE41" s="73"/>
      <c r="HVF41" s="73"/>
      <c r="HVG41" s="73"/>
      <c r="HVH41" s="73"/>
      <c r="HVI41" s="73"/>
      <c r="HVJ41" s="73"/>
      <c r="HVK41" s="73"/>
      <c r="HVL41" s="73"/>
      <c r="HVM41" s="73"/>
      <c r="HVN41" s="73"/>
      <c r="HVO41" s="73"/>
      <c r="HVP41" s="73"/>
      <c r="HVQ41" s="73"/>
      <c r="HVR41" s="73"/>
      <c r="HVS41" s="73"/>
      <c r="HVT41" s="73"/>
      <c r="HVU41" s="73"/>
      <c r="HVV41" s="73"/>
      <c r="HVW41" s="73"/>
      <c r="HVX41" s="73"/>
      <c r="HVY41" s="73"/>
      <c r="HVZ41" s="73"/>
      <c r="HWA41" s="73"/>
      <c r="HWB41" s="73"/>
      <c r="HWC41" s="73"/>
      <c r="HWD41" s="73"/>
      <c r="HWE41" s="73"/>
      <c r="HWF41" s="73"/>
      <c r="HWG41" s="73"/>
      <c r="HWH41" s="73"/>
      <c r="HWI41" s="73"/>
      <c r="HWJ41" s="73"/>
      <c r="HWK41" s="73"/>
      <c r="HWL41" s="73"/>
      <c r="HWM41" s="73"/>
      <c r="HWN41" s="73"/>
      <c r="HWO41" s="73"/>
      <c r="HWP41" s="73"/>
      <c r="HWQ41" s="73"/>
      <c r="HWR41" s="73"/>
      <c r="HWS41" s="73"/>
      <c r="HWT41" s="73"/>
      <c r="HWU41" s="73"/>
      <c r="HWV41" s="73"/>
      <c r="HWW41" s="73"/>
      <c r="HWX41" s="73"/>
      <c r="HWY41" s="73"/>
      <c r="HWZ41" s="73"/>
      <c r="HXA41" s="73"/>
      <c r="HXB41" s="73"/>
      <c r="HXC41" s="73"/>
      <c r="HXD41" s="73"/>
      <c r="HXE41" s="73"/>
      <c r="HXF41" s="73"/>
      <c r="HXG41" s="73"/>
      <c r="HXH41" s="73"/>
      <c r="HXI41" s="73"/>
      <c r="HXJ41" s="73"/>
      <c r="HXK41" s="73"/>
      <c r="HXL41" s="73"/>
      <c r="HXM41" s="73"/>
      <c r="HXN41" s="73"/>
      <c r="HXO41" s="73"/>
      <c r="HXP41" s="73"/>
      <c r="HXQ41" s="73"/>
      <c r="HXR41" s="73"/>
      <c r="HXS41" s="73"/>
      <c r="HXT41" s="73"/>
      <c r="HXU41" s="73"/>
      <c r="HXV41" s="73"/>
      <c r="HXW41" s="73"/>
      <c r="HXX41" s="73"/>
      <c r="HXY41" s="73"/>
      <c r="HXZ41" s="73"/>
      <c r="HYA41" s="73"/>
      <c r="HYB41" s="73"/>
      <c r="HYC41" s="73"/>
      <c r="HYD41" s="73"/>
      <c r="HYE41" s="73"/>
      <c r="HYF41" s="73"/>
      <c r="HYG41" s="73"/>
      <c r="HYH41" s="73"/>
      <c r="HYI41" s="73"/>
      <c r="HYJ41" s="73"/>
      <c r="HYK41" s="73"/>
      <c r="HYL41" s="73"/>
      <c r="HYM41" s="73"/>
      <c r="HYN41" s="73"/>
      <c r="HYO41" s="73"/>
      <c r="HYP41" s="73"/>
      <c r="HYQ41" s="73"/>
      <c r="HYR41" s="73"/>
      <c r="HYS41" s="73"/>
      <c r="HYT41" s="73"/>
      <c r="HYU41" s="73"/>
      <c r="HYV41" s="73"/>
      <c r="HYW41" s="73"/>
      <c r="HYX41" s="73"/>
      <c r="HYY41" s="73"/>
      <c r="HYZ41" s="73"/>
      <c r="HZA41" s="73"/>
      <c r="HZB41" s="73"/>
      <c r="HZC41" s="73"/>
      <c r="HZD41" s="73"/>
      <c r="HZE41" s="73"/>
      <c r="HZF41" s="73"/>
      <c r="HZG41" s="73"/>
      <c r="HZH41" s="73"/>
      <c r="HZI41" s="73"/>
      <c r="HZJ41" s="73"/>
      <c r="HZK41" s="73"/>
      <c r="HZL41" s="73"/>
      <c r="HZM41" s="73"/>
      <c r="HZN41" s="73"/>
      <c r="HZO41" s="73"/>
      <c r="HZP41" s="73"/>
      <c r="HZQ41" s="73"/>
      <c r="HZR41" s="73"/>
      <c r="HZS41" s="73"/>
      <c r="HZT41" s="73"/>
      <c r="HZU41" s="73"/>
      <c r="HZV41" s="73"/>
      <c r="HZW41" s="73"/>
      <c r="HZX41" s="73"/>
      <c r="HZY41" s="73"/>
      <c r="HZZ41" s="73"/>
      <c r="IAA41" s="73"/>
      <c r="IAB41" s="73"/>
      <c r="IAC41" s="73"/>
      <c r="IAD41" s="73"/>
      <c r="IAE41" s="73"/>
      <c r="IAF41" s="73"/>
      <c r="IAG41" s="73"/>
      <c r="IAH41" s="73"/>
      <c r="IAI41" s="73"/>
      <c r="IAJ41" s="73"/>
      <c r="IAK41" s="73"/>
      <c r="IAL41" s="73"/>
      <c r="IAM41" s="73"/>
      <c r="IAN41" s="73"/>
      <c r="IAO41" s="73"/>
      <c r="IAP41" s="73"/>
      <c r="IAQ41" s="73"/>
      <c r="IAR41" s="73"/>
      <c r="IAS41" s="73"/>
      <c r="IAT41" s="73"/>
      <c r="IAU41" s="73"/>
      <c r="IAV41" s="73"/>
      <c r="IAW41" s="73"/>
      <c r="IAX41" s="73"/>
      <c r="IAY41" s="73"/>
      <c r="IAZ41" s="73"/>
      <c r="IBA41" s="73"/>
      <c r="IBB41" s="73"/>
      <c r="IBC41" s="73"/>
      <c r="IBD41" s="73"/>
      <c r="IBE41" s="73"/>
      <c r="IBF41" s="73"/>
      <c r="IBG41" s="73"/>
      <c r="IBH41" s="73"/>
      <c r="IBI41" s="73"/>
      <c r="IBJ41" s="73"/>
      <c r="IBK41" s="73"/>
      <c r="IBL41" s="73"/>
      <c r="IBM41" s="73"/>
      <c r="IBN41" s="73"/>
      <c r="IBO41" s="73"/>
      <c r="IBP41" s="73"/>
      <c r="IBQ41" s="73"/>
      <c r="IBR41" s="73"/>
      <c r="IBS41" s="73"/>
      <c r="IBT41" s="73"/>
      <c r="IBU41" s="73"/>
      <c r="IBV41" s="73"/>
      <c r="IBW41" s="73"/>
      <c r="IBX41" s="73"/>
      <c r="IBY41" s="73"/>
      <c r="IBZ41" s="73"/>
      <c r="ICA41" s="73"/>
      <c r="ICB41" s="73"/>
      <c r="ICC41" s="73"/>
      <c r="ICD41" s="73"/>
      <c r="ICE41" s="73"/>
      <c r="ICF41" s="73"/>
      <c r="ICG41" s="73"/>
      <c r="ICH41" s="73"/>
      <c r="ICI41" s="73"/>
      <c r="ICJ41" s="73"/>
      <c r="ICK41" s="73"/>
      <c r="ICL41" s="73"/>
      <c r="ICM41" s="73"/>
      <c r="ICN41" s="73"/>
      <c r="ICO41" s="73"/>
      <c r="ICP41" s="73"/>
      <c r="ICQ41" s="73"/>
      <c r="ICR41" s="73"/>
      <c r="ICS41" s="73"/>
      <c r="ICT41" s="73"/>
      <c r="ICU41" s="73"/>
      <c r="ICV41" s="73"/>
      <c r="ICW41" s="73"/>
      <c r="ICX41" s="73"/>
      <c r="ICY41" s="73"/>
      <c r="ICZ41" s="73"/>
      <c r="IDA41" s="73"/>
      <c r="IDB41" s="73"/>
      <c r="IDC41" s="73"/>
      <c r="IDD41" s="73"/>
      <c r="IDE41" s="73"/>
      <c r="IDF41" s="73"/>
      <c r="IDG41" s="73"/>
      <c r="IDH41" s="73"/>
      <c r="IDI41" s="73"/>
      <c r="IDJ41" s="73"/>
      <c r="IDK41" s="73"/>
      <c r="IDL41" s="73"/>
      <c r="IDM41" s="73"/>
      <c r="IDN41" s="73"/>
      <c r="IDO41" s="73"/>
      <c r="IDP41" s="73"/>
      <c r="IDQ41" s="73"/>
      <c r="IDR41" s="73"/>
      <c r="IDS41" s="73"/>
      <c r="IDT41" s="73"/>
      <c r="IDU41" s="73"/>
      <c r="IDV41" s="73"/>
      <c r="IDW41" s="73"/>
      <c r="IDX41" s="73"/>
      <c r="IDY41" s="73"/>
      <c r="IDZ41" s="73"/>
      <c r="IEA41" s="73"/>
      <c r="IEB41" s="73"/>
      <c r="IEC41" s="73"/>
      <c r="IED41" s="73"/>
      <c r="IEE41" s="73"/>
      <c r="IEF41" s="73"/>
      <c r="IEG41" s="73"/>
      <c r="IEH41" s="73"/>
      <c r="IEI41" s="73"/>
      <c r="IEJ41" s="73"/>
      <c r="IEK41" s="73"/>
      <c r="IEL41" s="73"/>
      <c r="IEM41" s="73"/>
      <c r="IEN41" s="73"/>
      <c r="IEO41" s="73"/>
      <c r="IEP41" s="73"/>
      <c r="IEQ41" s="73"/>
      <c r="IER41" s="73"/>
      <c r="IES41" s="73"/>
      <c r="IET41" s="73"/>
      <c r="IEU41" s="73"/>
      <c r="IEV41" s="73"/>
      <c r="IEW41" s="73"/>
      <c r="IEX41" s="73"/>
      <c r="IEY41" s="73"/>
      <c r="IEZ41" s="73"/>
      <c r="IFA41" s="73"/>
      <c r="IFB41" s="73"/>
      <c r="IFC41" s="73"/>
      <c r="IFD41" s="73"/>
      <c r="IFE41" s="73"/>
      <c r="IFF41" s="73"/>
      <c r="IFG41" s="73"/>
      <c r="IFH41" s="73"/>
      <c r="IFI41" s="73"/>
      <c r="IFJ41" s="73"/>
      <c r="IFK41" s="73"/>
      <c r="IFL41" s="73"/>
      <c r="IFM41" s="73"/>
      <c r="IFN41" s="73"/>
      <c r="IFO41" s="73"/>
      <c r="IFP41" s="73"/>
      <c r="IFQ41" s="73"/>
      <c r="IFR41" s="73"/>
      <c r="IFS41" s="73"/>
      <c r="IFT41" s="73"/>
      <c r="IFU41" s="73"/>
      <c r="IFV41" s="73"/>
      <c r="IFW41" s="73"/>
      <c r="IFX41" s="73"/>
      <c r="IFY41" s="73"/>
      <c r="IFZ41" s="73"/>
      <c r="IGA41" s="73"/>
      <c r="IGB41" s="73"/>
      <c r="IGC41" s="73"/>
      <c r="IGD41" s="73"/>
      <c r="IGE41" s="73"/>
      <c r="IGF41" s="73"/>
      <c r="IGG41" s="73"/>
      <c r="IGH41" s="73"/>
      <c r="IGI41" s="73"/>
      <c r="IGJ41" s="73"/>
      <c r="IGK41" s="73"/>
      <c r="IGL41" s="73"/>
      <c r="IGM41" s="73"/>
      <c r="IGN41" s="73"/>
      <c r="IGO41" s="73"/>
      <c r="IGP41" s="73"/>
      <c r="IGQ41" s="73"/>
      <c r="IGR41" s="73"/>
      <c r="IGS41" s="73"/>
      <c r="IGT41" s="73"/>
      <c r="IGU41" s="73"/>
      <c r="IGV41" s="73"/>
      <c r="IGW41" s="73"/>
      <c r="IGX41" s="73"/>
      <c r="IGY41" s="73"/>
      <c r="IGZ41" s="73"/>
      <c r="IHA41" s="73"/>
      <c r="IHB41" s="73"/>
      <c r="IHC41" s="73"/>
      <c r="IHD41" s="73"/>
      <c r="IHE41" s="73"/>
      <c r="IHF41" s="73"/>
      <c r="IHG41" s="73"/>
      <c r="IHH41" s="73"/>
      <c r="IHI41" s="73"/>
      <c r="IHJ41" s="73"/>
      <c r="IHK41" s="73"/>
      <c r="IHL41" s="73"/>
      <c r="IHM41" s="73"/>
      <c r="IHN41" s="73"/>
      <c r="IHO41" s="73"/>
      <c r="IHP41" s="73"/>
      <c r="IHQ41" s="73"/>
      <c r="IHR41" s="73"/>
      <c r="IHS41" s="73"/>
      <c r="IHT41" s="73"/>
      <c r="IHU41" s="73"/>
      <c r="IHV41" s="73"/>
      <c r="IHW41" s="73"/>
      <c r="IHX41" s="73"/>
      <c r="IHY41" s="73"/>
      <c r="IHZ41" s="73"/>
      <c r="IIA41" s="73"/>
      <c r="IIB41" s="73"/>
      <c r="IIC41" s="73"/>
      <c r="IID41" s="73"/>
      <c r="IIE41" s="73"/>
      <c r="IIF41" s="73"/>
      <c r="IIG41" s="73"/>
      <c r="IIH41" s="73"/>
      <c r="III41" s="73"/>
      <c r="IIJ41" s="73"/>
      <c r="IIK41" s="73"/>
      <c r="IIL41" s="73"/>
      <c r="IIM41" s="73"/>
      <c r="IIN41" s="73"/>
      <c r="IIO41" s="73"/>
      <c r="IIP41" s="73"/>
      <c r="IIQ41" s="73"/>
      <c r="IIR41" s="73"/>
      <c r="IIS41" s="73"/>
      <c r="IIT41" s="73"/>
      <c r="IIU41" s="73"/>
      <c r="IIV41" s="73"/>
      <c r="IIW41" s="73"/>
      <c r="IIX41" s="73"/>
      <c r="IIY41" s="73"/>
      <c r="IIZ41" s="73"/>
      <c r="IJA41" s="73"/>
      <c r="IJB41" s="73"/>
      <c r="IJC41" s="73"/>
      <c r="IJD41" s="73"/>
      <c r="IJE41" s="73"/>
      <c r="IJF41" s="73"/>
      <c r="IJG41" s="73"/>
      <c r="IJH41" s="73"/>
      <c r="IJI41" s="73"/>
      <c r="IJJ41" s="73"/>
      <c r="IJK41" s="73"/>
      <c r="IJL41" s="73"/>
      <c r="IJM41" s="73"/>
      <c r="IJN41" s="73"/>
      <c r="IJO41" s="73"/>
      <c r="IJP41" s="73"/>
      <c r="IJQ41" s="73"/>
      <c r="IJR41" s="73"/>
      <c r="IJS41" s="73"/>
      <c r="IJT41" s="73"/>
      <c r="IJU41" s="73"/>
      <c r="IJV41" s="73"/>
      <c r="IJW41" s="73"/>
      <c r="IJX41" s="73"/>
      <c r="IJY41" s="73"/>
      <c r="IJZ41" s="73"/>
      <c r="IKA41" s="73"/>
      <c r="IKB41" s="73"/>
      <c r="IKC41" s="73"/>
      <c r="IKD41" s="73"/>
      <c r="IKE41" s="73"/>
      <c r="IKF41" s="73"/>
      <c r="IKG41" s="73"/>
      <c r="IKH41" s="73"/>
      <c r="IKI41" s="73"/>
      <c r="IKJ41" s="73"/>
      <c r="IKK41" s="73"/>
      <c r="IKL41" s="73"/>
      <c r="IKM41" s="73"/>
      <c r="IKN41" s="73"/>
      <c r="IKO41" s="73"/>
      <c r="IKP41" s="73"/>
      <c r="IKQ41" s="73"/>
      <c r="IKR41" s="73"/>
      <c r="IKS41" s="73"/>
      <c r="IKT41" s="73"/>
      <c r="IKU41" s="73"/>
      <c r="IKV41" s="73"/>
      <c r="IKW41" s="73"/>
      <c r="IKX41" s="73"/>
      <c r="IKY41" s="73"/>
      <c r="IKZ41" s="73"/>
      <c r="ILA41" s="73"/>
      <c r="ILB41" s="73"/>
      <c r="ILC41" s="73"/>
      <c r="ILD41" s="73"/>
      <c r="ILE41" s="73"/>
      <c r="ILF41" s="73"/>
      <c r="ILG41" s="73"/>
      <c r="ILH41" s="73"/>
      <c r="ILI41" s="73"/>
      <c r="ILJ41" s="73"/>
      <c r="ILK41" s="73"/>
      <c r="ILL41" s="73"/>
      <c r="ILM41" s="73"/>
      <c r="ILN41" s="73"/>
      <c r="ILO41" s="73"/>
      <c r="ILP41" s="73"/>
      <c r="ILQ41" s="73"/>
      <c r="ILR41" s="73"/>
      <c r="ILS41" s="73"/>
      <c r="ILT41" s="73"/>
      <c r="ILU41" s="73"/>
      <c r="ILV41" s="73"/>
      <c r="ILW41" s="73"/>
      <c r="ILX41" s="73"/>
      <c r="ILY41" s="73"/>
      <c r="ILZ41" s="73"/>
      <c r="IMA41" s="73"/>
      <c r="IMB41" s="73"/>
      <c r="IMC41" s="73"/>
      <c r="IMD41" s="73"/>
      <c r="IME41" s="73"/>
      <c r="IMF41" s="73"/>
      <c r="IMG41" s="73"/>
      <c r="IMH41" s="73"/>
      <c r="IMI41" s="73"/>
      <c r="IMJ41" s="73"/>
      <c r="IMK41" s="73"/>
      <c r="IML41" s="73"/>
      <c r="IMM41" s="73"/>
      <c r="IMN41" s="73"/>
      <c r="IMO41" s="73"/>
      <c r="IMP41" s="73"/>
      <c r="IMQ41" s="73"/>
      <c r="IMR41" s="73"/>
      <c r="IMS41" s="73"/>
      <c r="IMT41" s="73"/>
      <c r="IMU41" s="73"/>
      <c r="IMV41" s="73"/>
      <c r="IMW41" s="73"/>
      <c r="IMX41" s="73"/>
      <c r="IMY41" s="73"/>
      <c r="IMZ41" s="73"/>
      <c r="INA41" s="73"/>
      <c r="INB41" s="73"/>
      <c r="INC41" s="73"/>
      <c r="IND41" s="73"/>
      <c r="INE41" s="73"/>
      <c r="INF41" s="73"/>
      <c r="ING41" s="73"/>
      <c r="INH41" s="73"/>
      <c r="INI41" s="73"/>
      <c r="INJ41" s="73"/>
      <c r="INK41" s="73"/>
      <c r="INL41" s="73"/>
      <c r="INM41" s="73"/>
      <c r="INN41" s="73"/>
      <c r="INO41" s="73"/>
      <c r="INP41" s="73"/>
      <c r="INQ41" s="73"/>
      <c r="INR41" s="73"/>
      <c r="INS41" s="73"/>
      <c r="INT41" s="73"/>
      <c r="INU41" s="73"/>
      <c r="INV41" s="73"/>
      <c r="INW41" s="73"/>
      <c r="INX41" s="73"/>
      <c r="INY41" s="73"/>
      <c r="INZ41" s="73"/>
      <c r="IOA41" s="73"/>
      <c r="IOB41" s="73"/>
      <c r="IOC41" s="73"/>
      <c r="IOD41" s="73"/>
      <c r="IOE41" s="73"/>
      <c r="IOF41" s="73"/>
      <c r="IOG41" s="73"/>
      <c r="IOH41" s="73"/>
      <c r="IOI41" s="73"/>
      <c r="IOJ41" s="73"/>
      <c r="IOK41" s="73"/>
      <c r="IOL41" s="73"/>
      <c r="IOM41" s="73"/>
      <c r="ION41" s="73"/>
      <c r="IOO41" s="73"/>
      <c r="IOP41" s="73"/>
      <c r="IOQ41" s="73"/>
      <c r="IOR41" s="73"/>
      <c r="IOS41" s="73"/>
      <c r="IOT41" s="73"/>
      <c r="IOU41" s="73"/>
      <c r="IOV41" s="73"/>
      <c r="IOW41" s="73"/>
      <c r="IOX41" s="73"/>
      <c r="IOY41" s="73"/>
      <c r="IOZ41" s="73"/>
      <c r="IPA41" s="73"/>
      <c r="IPB41" s="73"/>
      <c r="IPC41" s="73"/>
      <c r="IPD41" s="73"/>
      <c r="IPE41" s="73"/>
      <c r="IPF41" s="73"/>
      <c r="IPG41" s="73"/>
      <c r="IPH41" s="73"/>
      <c r="IPI41" s="73"/>
      <c r="IPJ41" s="73"/>
      <c r="IPK41" s="73"/>
      <c r="IPL41" s="73"/>
      <c r="IPM41" s="73"/>
      <c r="IPN41" s="73"/>
      <c r="IPO41" s="73"/>
      <c r="IPP41" s="73"/>
      <c r="IPQ41" s="73"/>
      <c r="IPR41" s="73"/>
      <c r="IPS41" s="73"/>
      <c r="IPT41" s="73"/>
      <c r="IPU41" s="73"/>
      <c r="IPV41" s="73"/>
      <c r="IPW41" s="73"/>
      <c r="IPX41" s="73"/>
      <c r="IPY41" s="73"/>
      <c r="IPZ41" s="73"/>
      <c r="IQA41" s="73"/>
      <c r="IQB41" s="73"/>
      <c r="IQC41" s="73"/>
      <c r="IQD41" s="73"/>
      <c r="IQE41" s="73"/>
      <c r="IQF41" s="73"/>
      <c r="IQG41" s="73"/>
      <c r="IQH41" s="73"/>
      <c r="IQI41" s="73"/>
      <c r="IQJ41" s="73"/>
      <c r="IQK41" s="73"/>
      <c r="IQL41" s="73"/>
      <c r="IQM41" s="73"/>
      <c r="IQN41" s="73"/>
      <c r="IQO41" s="73"/>
      <c r="IQP41" s="73"/>
      <c r="IQQ41" s="73"/>
      <c r="IQR41" s="73"/>
      <c r="IQS41" s="73"/>
      <c r="IQT41" s="73"/>
      <c r="IQU41" s="73"/>
      <c r="IQV41" s="73"/>
      <c r="IQW41" s="73"/>
      <c r="IQX41" s="73"/>
      <c r="IQY41" s="73"/>
      <c r="IQZ41" s="73"/>
      <c r="IRA41" s="73"/>
      <c r="IRB41" s="73"/>
      <c r="IRC41" s="73"/>
      <c r="IRD41" s="73"/>
      <c r="IRE41" s="73"/>
      <c r="IRF41" s="73"/>
      <c r="IRG41" s="73"/>
      <c r="IRH41" s="73"/>
      <c r="IRI41" s="73"/>
      <c r="IRJ41" s="73"/>
      <c r="IRK41" s="73"/>
      <c r="IRL41" s="73"/>
      <c r="IRM41" s="73"/>
      <c r="IRN41" s="73"/>
      <c r="IRO41" s="73"/>
      <c r="IRP41" s="73"/>
      <c r="IRQ41" s="73"/>
      <c r="IRR41" s="73"/>
      <c r="IRS41" s="73"/>
      <c r="IRT41" s="73"/>
      <c r="IRU41" s="73"/>
      <c r="IRV41" s="73"/>
      <c r="IRW41" s="73"/>
      <c r="IRX41" s="73"/>
      <c r="IRY41" s="73"/>
      <c r="IRZ41" s="73"/>
      <c r="ISA41" s="73"/>
      <c r="ISB41" s="73"/>
      <c r="ISC41" s="73"/>
      <c r="ISD41" s="73"/>
      <c r="ISE41" s="73"/>
      <c r="ISF41" s="73"/>
      <c r="ISG41" s="73"/>
      <c r="ISH41" s="73"/>
      <c r="ISI41" s="73"/>
      <c r="ISJ41" s="73"/>
      <c r="ISK41" s="73"/>
      <c r="ISL41" s="73"/>
      <c r="ISM41" s="73"/>
      <c r="ISN41" s="73"/>
      <c r="ISO41" s="73"/>
      <c r="ISP41" s="73"/>
      <c r="ISQ41" s="73"/>
      <c r="ISR41" s="73"/>
      <c r="ISS41" s="73"/>
      <c r="IST41" s="73"/>
      <c r="ISU41" s="73"/>
      <c r="ISV41" s="73"/>
      <c r="ISW41" s="73"/>
      <c r="ISX41" s="73"/>
      <c r="ISY41" s="73"/>
      <c r="ISZ41" s="73"/>
      <c r="ITA41" s="73"/>
      <c r="ITB41" s="73"/>
      <c r="ITC41" s="73"/>
      <c r="ITD41" s="73"/>
      <c r="ITE41" s="73"/>
      <c r="ITF41" s="73"/>
      <c r="ITG41" s="73"/>
      <c r="ITH41" s="73"/>
      <c r="ITI41" s="73"/>
      <c r="ITJ41" s="73"/>
      <c r="ITK41" s="73"/>
      <c r="ITL41" s="73"/>
      <c r="ITM41" s="73"/>
      <c r="ITN41" s="73"/>
      <c r="ITO41" s="73"/>
      <c r="ITP41" s="73"/>
      <c r="ITQ41" s="73"/>
      <c r="ITR41" s="73"/>
      <c r="ITS41" s="73"/>
      <c r="ITT41" s="73"/>
      <c r="ITU41" s="73"/>
      <c r="ITV41" s="73"/>
      <c r="ITW41" s="73"/>
      <c r="ITX41" s="73"/>
      <c r="ITY41" s="73"/>
      <c r="ITZ41" s="73"/>
      <c r="IUA41" s="73"/>
      <c r="IUB41" s="73"/>
      <c r="IUC41" s="73"/>
      <c r="IUD41" s="73"/>
      <c r="IUE41" s="73"/>
      <c r="IUF41" s="73"/>
      <c r="IUG41" s="73"/>
      <c r="IUH41" s="73"/>
      <c r="IUI41" s="73"/>
      <c r="IUJ41" s="73"/>
      <c r="IUK41" s="73"/>
      <c r="IUL41" s="73"/>
      <c r="IUM41" s="73"/>
      <c r="IUN41" s="73"/>
      <c r="IUO41" s="73"/>
      <c r="IUP41" s="73"/>
      <c r="IUQ41" s="73"/>
      <c r="IUR41" s="73"/>
      <c r="IUS41" s="73"/>
      <c r="IUT41" s="73"/>
      <c r="IUU41" s="73"/>
      <c r="IUV41" s="73"/>
      <c r="IUW41" s="73"/>
      <c r="IUX41" s="73"/>
      <c r="IUY41" s="73"/>
      <c r="IUZ41" s="73"/>
      <c r="IVA41" s="73"/>
      <c r="IVB41" s="73"/>
      <c r="IVC41" s="73"/>
      <c r="IVD41" s="73"/>
      <c r="IVE41" s="73"/>
      <c r="IVF41" s="73"/>
      <c r="IVG41" s="73"/>
      <c r="IVH41" s="73"/>
      <c r="IVI41" s="73"/>
      <c r="IVJ41" s="73"/>
      <c r="IVK41" s="73"/>
      <c r="IVL41" s="73"/>
      <c r="IVM41" s="73"/>
      <c r="IVN41" s="73"/>
      <c r="IVO41" s="73"/>
      <c r="IVP41" s="73"/>
      <c r="IVQ41" s="73"/>
      <c r="IVR41" s="73"/>
      <c r="IVS41" s="73"/>
      <c r="IVT41" s="73"/>
      <c r="IVU41" s="73"/>
      <c r="IVV41" s="73"/>
      <c r="IVW41" s="73"/>
      <c r="IVX41" s="73"/>
      <c r="IVY41" s="73"/>
      <c r="IVZ41" s="73"/>
      <c r="IWA41" s="73"/>
      <c r="IWB41" s="73"/>
      <c r="IWC41" s="73"/>
      <c r="IWD41" s="73"/>
      <c r="IWE41" s="73"/>
      <c r="IWF41" s="73"/>
      <c r="IWG41" s="73"/>
      <c r="IWH41" s="73"/>
      <c r="IWI41" s="73"/>
      <c r="IWJ41" s="73"/>
      <c r="IWK41" s="73"/>
      <c r="IWL41" s="73"/>
      <c r="IWM41" s="73"/>
      <c r="IWN41" s="73"/>
      <c r="IWO41" s="73"/>
      <c r="IWP41" s="73"/>
      <c r="IWQ41" s="73"/>
      <c r="IWR41" s="73"/>
      <c r="IWS41" s="73"/>
      <c r="IWT41" s="73"/>
      <c r="IWU41" s="73"/>
      <c r="IWV41" s="73"/>
      <c r="IWW41" s="73"/>
      <c r="IWX41" s="73"/>
      <c r="IWY41" s="73"/>
      <c r="IWZ41" s="73"/>
      <c r="IXA41" s="73"/>
      <c r="IXB41" s="73"/>
      <c r="IXC41" s="73"/>
      <c r="IXD41" s="73"/>
      <c r="IXE41" s="73"/>
      <c r="IXF41" s="73"/>
      <c r="IXG41" s="73"/>
      <c r="IXH41" s="73"/>
      <c r="IXI41" s="73"/>
      <c r="IXJ41" s="73"/>
      <c r="IXK41" s="73"/>
      <c r="IXL41" s="73"/>
      <c r="IXM41" s="73"/>
      <c r="IXN41" s="73"/>
      <c r="IXO41" s="73"/>
      <c r="IXP41" s="73"/>
      <c r="IXQ41" s="73"/>
      <c r="IXR41" s="73"/>
      <c r="IXS41" s="73"/>
      <c r="IXT41" s="73"/>
      <c r="IXU41" s="73"/>
      <c r="IXV41" s="73"/>
      <c r="IXW41" s="73"/>
      <c r="IXX41" s="73"/>
      <c r="IXY41" s="73"/>
      <c r="IXZ41" s="73"/>
      <c r="IYA41" s="73"/>
      <c r="IYB41" s="73"/>
      <c r="IYC41" s="73"/>
      <c r="IYD41" s="73"/>
      <c r="IYE41" s="73"/>
      <c r="IYF41" s="73"/>
      <c r="IYG41" s="73"/>
      <c r="IYH41" s="73"/>
      <c r="IYI41" s="73"/>
      <c r="IYJ41" s="73"/>
      <c r="IYK41" s="73"/>
      <c r="IYL41" s="73"/>
      <c r="IYM41" s="73"/>
      <c r="IYN41" s="73"/>
      <c r="IYO41" s="73"/>
      <c r="IYP41" s="73"/>
      <c r="IYQ41" s="73"/>
      <c r="IYR41" s="73"/>
      <c r="IYS41" s="73"/>
      <c r="IYT41" s="73"/>
      <c r="IYU41" s="73"/>
      <c r="IYV41" s="73"/>
      <c r="IYW41" s="73"/>
      <c r="IYX41" s="73"/>
      <c r="IYY41" s="73"/>
      <c r="IYZ41" s="73"/>
      <c r="IZA41" s="73"/>
      <c r="IZB41" s="73"/>
      <c r="IZC41" s="73"/>
      <c r="IZD41" s="73"/>
      <c r="IZE41" s="73"/>
      <c r="IZF41" s="73"/>
      <c r="IZG41" s="73"/>
      <c r="IZH41" s="73"/>
      <c r="IZI41" s="73"/>
      <c r="IZJ41" s="73"/>
      <c r="IZK41" s="73"/>
      <c r="IZL41" s="73"/>
      <c r="IZM41" s="73"/>
      <c r="IZN41" s="73"/>
      <c r="IZO41" s="73"/>
      <c r="IZP41" s="73"/>
      <c r="IZQ41" s="73"/>
      <c r="IZR41" s="73"/>
      <c r="IZS41" s="73"/>
      <c r="IZT41" s="73"/>
      <c r="IZU41" s="73"/>
      <c r="IZV41" s="73"/>
      <c r="IZW41" s="73"/>
      <c r="IZX41" s="73"/>
      <c r="IZY41" s="73"/>
      <c r="IZZ41" s="73"/>
      <c r="JAA41" s="73"/>
      <c r="JAB41" s="73"/>
      <c r="JAC41" s="73"/>
      <c r="JAD41" s="73"/>
      <c r="JAE41" s="73"/>
      <c r="JAF41" s="73"/>
      <c r="JAG41" s="73"/>
      <c r="JAH41" s="73"/>
      <c r="JAI41" s="73"/>
      <c r="JAJ41" s="73"/>
      <c r="JAK41" s="73"/>
      <c r="JAL41" s="73"/>
      <c r="JAM41" s="73"/>
      <c r="JAN41" s="73"/>
      <c r="JAO41" s="73"/>
      <c r="JAP41" s="73"/>
      <c r="JAQ41" s="73"/>
      <c r="JAR41" s="73"/>
      <c r="JAS41" s="73"/>
      <c r="JAT41" s="73"/>
      <c r="JAU41" s="73"/>
      <c r="JAV41" s="73"/>
      <c r="JAW41" s="73"/>
      <c r="JAX41" s="73"/>
      <c r="JAY41" s="73"/>
      <c r="JAZ41" s="73"/>
      <c r="JBA41" s="73"/>
      <c r="JBB41" s="73"/>
      <c r="JBC41" s="73"/>
      <c r="JBD41" s="73"/>
      <c r="JBE41" s="73"/>
      <c r="JBF41" s="73"/>
      <c r="JBG41" s="73"/>
      <c r="JBH41" s="73"/>
      <c r="JBI41" s="73"/>
      <c r="JBJ41" s="73"/>
      <c r="JBK41" s="73"/>
      <c r="JBL41" s="73"/>
      <c r="JBM41" s="73"/>
      <c r="JBN41" s="73"/>
      <c r="JBO41" s="73"/>
      <c r="JBP41" s="73"/>
      <c r="JBQ41" s="73"/>
      <c r="JBR41" s="73"/>
      <c r="JBS41" s="73"/>
      <c r="JBT41" s="73"/>
      <c r="JBU41" s="73"/>
      <c r="JBV41" s="73"/>
      <c r="JBW41" s="73"/>
      <c r="JBX41" s="73"/>
      <c r="JBY41" s="73"/>
      <c r="JBZ41" s="73"/>
      <c r="JCA41" s="73"/>
      <c r="JCB41" s="73"/>
      <c r="JCC41" s="73"/>
      <c r="JCD41" s="73"/>
      <c r="JCE41" s="73"/>
      <c r="JCF41" s="73"/>
      <c r="JCG41" s="73"/>
      <c r="JCH41" s="73"/>
      <c r="JCI41" s="73"/>
      <c r="JCJ41" s="73"/>
      <c r="JCK41" s="73"/>
      <c r="JCL41" s="73"/>
      <c r="JCM41" s="73"/>
      <c r="JCN41" s="73"/>
      <c r="JCO41" s="73"/>
      <c r="JCP41" s="73"/>
      <c r="JCQ41" s="73"/>
      <c r="JCR41" s="73"/>
      <c r="JCS41" s="73"/>
      <c r="JCT41" s="73"/>
      <c r="JCU41" s="73"/>
      <c r="JCV41" s="73"/>
      <c r="JCW41" s="73"/>
      <c r="JCX41" s="73"/>
      <c r="JCY41" s="73"/>
      <c r="JCZ41" s="73"/>
      <c r="JDA41" s="73"/>
      <c r="JDB41" s="73"/>
      <c r="JDC41" s="73"/>
      <c r="JDD41" s="73"/>
      <c r="JDE41" s="73"/>
      <c r="JDF41" s="73"/>
      <c r="JDG41" s="73"/>
      <c r="JDH41" s="73"/>
      <c r="JDI41" s="73"/>
      <c r="JDJ41" s="73"/>
      <c r="JDK41" s="73"/>
      <c r="JDL41" s="73"/>
      <c r="JDM41" s="73"/>
      <c r="JDN41" s="73"/>
      <c r="JDO41" s="73"/>
      <c r="JDP41" s="73"/>
      <c r="JDQ41" s="73"/>
      <c r="JDR41" s="73"/>
      <c r="JDS41" s="73"/>
      <c r="JDT41" s="73"/>
      <c r="JDU41" s="73"/>
      <c r="JDV41" s="73"/>
      <c r="JDW41" s="73"/>
      <c r="JDX41" s="73"/>
      <c r="JDY41" s="73"/>
      <c r="JDZ41" s="73"/>
      <c r="JEA41" s="73"/>
      <c r="JEB41" s="73"/>
      <c r="JEC41" s="73"/>
      <c r="JED41" s="73"/>
      <c r="JEE41" s="73"/>
      <c r="JEF41" s="73"/>
      <c r="JEG41" s="73"/>
      <c r="JEH41" s="73"/>
      <c r="JEI41" s="73"/>
      <c r="JEJ41" s="73"/>
      <c r="JEK41" s="73"/>
      <c r="JEL41" s="73"/>
      <c r="JEM41" s="73"/>
      <c r="JEN41" s="73"/>
      <c r="JEO41" s="73"/>
      <c r="JEP41" s="73"/>
      <c r="JEQ41" s="73"/>
      <c r="JER41" s="73"/>
      <c r="JES41" s="73"/>
      <c r="JET41" s="73"/>
      <c r="JEU41" s="73"/>
      <c r="JEV41" s="73"/>
      <c r="JEW41" s="73"/>
      <c r="JEX41" s="73"/>
      <c r="JEY41" s="73"/>
      <c r="JEZ41" s="73"/>
      <c r="JFA41" s="73"/>
      <c r="JFB41" s="73"/>
      <c r="JFC41" s="73"/>
      <c r="JFD41" s="73"/>
      <c r="JFE41" s="73"/>
      <c r="JFF41" s="73"/>
      <c r="JFG41" s="73"/>
      <c r="JFH41" s="73"/>
      <c r="JFI41" s="73"/>
      <c r="JFJ41" s="73"/>
      <c r="JFK41" s="73"/>
      <c r="JFL41" s="73"/>
      <c r="JFM41" s="73"/>
      <c r="JFN41" s="73"/>
      <c r="JFO41" s="73"/>
      <c r="JFP41" s="73"/>
      <c r="JFQ41" s="73"/>
      <c r="JFR41" s="73"/>
      <c r="JFS41" s="73"/>
      <c r="JFT41" s="73"/>
      <c r="JFU41" s="73"/>
      <c r="JFV41" s="73"/>
      <c r="JFW41" s="73"/>
      <c r="JFX41" s="73"/>
      <c r="JFY41" s="73"/>
      <c r="JFZ41" s="73"/>
      <c r="JGA41" s="73"/>
      <c r="JGB41" s="73"/>
      <c r="JGC41" s="73"/>
      <c r="JGD41" s="73"/>
      <c r="JGE41" s="73"/>
      <c r="JGF41" s="73"/>
      <c r="JGG41" s="73"/>
      <c r="JGH41" s="73"/>
      <c r="JGI41" s="73"/>
      <c r="JGJ41" s="73"/>
      <c r="JGK41" s="73"/>
      <c r="JGL41" s="73"/>
      <c r="JGM41" s="73"/>
      <c r="JGN41" s="73"/>
      <c r="JGO41" s="73"/>
      <c r="JGP41" s="73"/>
      <c r="JGQ41" s="73"/>
      <c r="JGR41" s="73"/>
      <c r="JGS41" s="73"/>
      <c r="JGT41" s="73"/>
      <c r="JGU41" s="73"/>
      <c r="JGV41" s="73"/>
      <c r="JGW41" s="73"/>
      <c r="JGX41" s="73"/>
      <c r="JGY41" s="73"/>
      <c r="JGZ41" s="73"/>
      <c r="JHA41" s="73"/>
      <c r="JHB41" s="73"/>
      <c r="JHC41" s="73"/>
      <c r="JHD41" s="73"/>
      <c r="JHE41" s="73"/>
      <c r="JHF41" s="73"/>
      <c r="JHG41" s="73"/>
      <c r="JHH41" s="73"/>
      <c r="JHI41" s="73"/>
      <c r="JHJ41" s="73"/>
      <c r="JHK41" s="73"/>
      <c r="JHL41" s="73"/>
      <c r="JHM41" s="73"/>
      <c r="JHN41" s="73"/>
      <c r="JHO41" s="73"/>
      <c r="JHP41" s="73"/>
      <c r="JHQ41" s="73"/>
      <c r="JHR41" s="73"/>
      <c r="JHS41" s="73"/>
      <c r="JHT41" s="73"/>
      <c r="JHU41" s="73"/>
      <c r="JHV41" s="73"/>
      <c r="JHW41" s="73"/>
      <c r="JHX41" s="73"/>
      <c r="JHY41" s="73"/>
      <c r="JHZ41" s="73"/>
      <c r="JIA41" s="73"/>
      <c r="JIB41" s="73"/>
      <c r="JIC41" s="73"/>
      <c r="JID41" s="73"/>
      <c r="JIE41" s="73"/>
      <c r="JIF41" s="73"/>
      <c r="JIG41" s="73"/>
      <c r="JIH41" s="73"/>
      <c r="JII41" s="73"/>
      <c r="JIJ41" s="73"/>
      <c r="JIK41" s="73"/>
      <c r="JIL41" s="73"/>
      <c r="JIM41" s="73"/>
      <c r="JIN41" s="73"/>
      <c r="JIO41" s="73"/>
      <c r="JIP41" s="73"/>
      <c r="JIQ41" s="73"/>
      <c r="JIR41" s="73"/>
      <c r="JIS41" s="73"/>
      <c r="JIT41" s="73"/>
      <c r="JIU41" s="73"/>
      <c r="JIV41" s="73"/>
      <c r="JIW41" s="73"/>
      <c r="JIX41" s="73"/>
      <c r="JIY41" s="73"/>
      <c r="JIZ41" s="73"/>
      <c r="JJA41" s="73"/>
      <c r="JJB41" s="73"/>
      <c r="JJC41" s="73"/>
      <c r="JJD41" s="73"/>
      <c r="JJE41" s="73"/>
      <c r="JJF41" s="73"/>
      <c r="JJG41" s="73"/>
      <c r="JJH41" s="73"/>
      <c r="JJI41" s="73"/>
      <c r="JJJ41" s="73"/>
      <c r="JJK41" s="73"/>
      <c r="JJL41" s="73"/>
      <c r="JJM41" s="73"/>
      <c r="JJN41" s="73"/>
      <c r="JJO41" s="73"/>
      <c r="JJP41" s="73"/>
      <c r="JJQ41" s="73"/>
      <c r="JJR41" s="73"/>
      <c r="JJS41" s="73"/>
      <c r="JJT41" s="73"/>
      <c r="JJU41" s="73"/>
      <c r="JJV41" s="73"/>
      <c r="JJW41" s="73"/>
      <c r="JJX41" s="73"/>
      <c r="JJY41" s="73"/>
      <c r="JJZ41" s="73"/>
      <c r="JKA41" s="73"/>
      <c r="JKB41" s="73"/>
      <c r="JKC41" s="73"/>
      <c r="JKD41" s="73"/>
      <c r="JKE41" s="73"/>
      <c r="JKF41" s="73"/>
      <c r="JKG41" s="73"/>
      <c r="JKH41" s="73"/>
      <c r="JKI41" s="73"/>
      <c r="JKJ41" s="73"/>
      <c r="JKK41" s="73"/>
      <c r="JKL41" s="73"/>
      <c r="JKM41" s="73"/>
      <c r="JKN41" s="73"/>
      <c r="JKO41" s="73"/>
      <c r="JKP41" s="73"/>
      <c r="JKQ41" s="73"/>
      <c r="JKR41" s="73"/>
      <c r="JKS41" s="73"/>
      <c r="JKT41" s="73"/>
      <c r="JKU41" s="73"/>
      <c r="JKV41" s="73"/>
      <c r="JKW41" s="73"/>
      <c r="JKX41" s="73"/>
      <c r="JKY41" s="73"/>
      <c r="JKZ41" s="73"/>
      <c r="JLA41" s="73"/>
      <c r="JLB41" s="73"/>
      <c r="JLC41" s="73"/>
      <c r="JLD41" s="73"/>
      <c r="JLE41" s="73"/>
      <c r="JLF41" s="73"/>
      <c r="JLG41" s="73"/>
      <c r="JLH41" s="73"/>
      <c r="JLI41" s="73"/>
      <c r="JLJ41" s="73"/>
      <c r="JLK41" s="73"/>
      <c r="JLL41" s="73"/>
      <c r="JLM41" s="73"/>
      <c r="JLN41" s="73"/>
      <c r="JLO41" s="73"/>
      <c r="JLP41" s="73"/>
      <c r="JLQ41" s="73"/>
      <c r="JLR41" s="73"/>
      <c r="JLS41" s="73"/>
      <c r="JLT41" s="73"/>
      <c r="JLU41" s="73"/>
      <c r="JLV41" s="73"/>
      <c r="JLW41" s="73"/>
      <c r="JLX41" s="73"/>
      <c r="JLY41" s="73"/>
      <c r="JLZ41" s="73"/>
      <c r="JMA41" s="73"/>
      <c r="JMB41" s="73"/>
      <c r="JMC41" s="73"/>
      <c r="JMD41" s="73"/>
      <c r="JME41" s="73"/>
      <c r="JMF41" s="73"/>
      <c r="JMG41" s="73"/>
      <c r="JMH41" s="73"/>
      <c r="JMI41" s="73"/>
      <c r="JMJ41" s="73"/>
      <c r="JMK41" s="73"/>
      <c r="JML41" s="73"/>
      <c r="JMM41" s="73"/>
      <c r="JMN41" s="73"/>
      <c r="JMO41" s="73"/>
      <c r="JMP41" s="73"/>
      <c r="JMQ41" s="73"/>
      <c r="JMR41" s="73"/>
      <c r="JMS41" s="73"/>
      <c r="JMT41" s="73"/>
      <c r="JMU41" s="73"/>
      <c r="JMV41" s="73"/>
      <c r="JMW41" s="73"/>
      <c r="JMX41" s="73"/>
      <c r="JMY41" s="73"/>
      <c r="JMZ41" s="73"/>
      <c r="JNA41" s="73"/>
      <c r="JNB41" s="73"/>
      <c r="JNC41" s="73"/>
      <c r="JND41" s="73"/>
      <c r="JNE41" s="73"/>
      <c r="JNF41" s="73"/>
      <c r="JNG41" s="73"/>
      <c r="JNH41" s="73"/>
      <c r="JNI41" s="73"/>
      <c r="JNJ41" s="73"/>
      <c r="JNK41" s="73"/>
      <c r="JNL41" s="73"/>
      <c r="JNM41" s="73"/>
      <c r="JNN41" s="73"/>
      <c r="JNO41" s="73"/>
      <c r="JNP41" s="73"/>
      <c r="JNQ41" s="73"/>
      <c r="JNR41" s="73"/>
      <c r="JNS41" s="73"/>
      <c r="JNT41" s="73"/>
      <c r="JNU41" s="73"/>
      <c r="JNV41" s="73"/>
      <c r="JNW41" s="73"/>
      <c r="JNX41" s="73"/>
      <c r="JNY41" s="73"/>
      <c r="JNZ41" s="73"/>
      <c r="JOA41" s="73"/>
      <c r="JOB41" s="73"/>
      <c r="JOC41" s="73"/>
      <c r="JOD41" s="73"/>
      <c r="JOE41" s="73"/>
      <c r="JOF41" s="73"/>
      <c r="JOG41" s="73"/>
      <c r="JOH41" s="73"/>
      <c r="JOI41" s="73"/>
      <c r="JOJ41" s="73"/>
      <c r="JOK41" s="73"/>
      <c r="JOL41" s="73"/>
      <c r="JOM41" s="73"/>
      <c r="JON41" s="73"/>
      <c r="JOO41" s="73"/>
      <c r="JOP41" s="73"/>
      <c r="JOQ41" s="73"/>
      <c r="JOR41" s="73"/>
      <c r="JOS41" s="73"/>
      <c r="JOT41" s="73"/>
      <c r="JOU41" s="73"/>
      <c r="JOV41" s="73"/>
      <c r="JOW41" s="73"/>
      <c r="JOX41" s="73"/>
      <c r="JOY41" s="73"/>
      <c r="JOZ41" s="73"/>
      <c r="JPA41" s="73"/>
      <c r="JPB41" s="73"/>
      <c r="JPC41" s="73"/>
      <c r="JPD41" s="73"/>
      <c r="JPE41" s="73"/>
      <c r="JPF41" s="73"/>
      <c r="JPG41" s="73"/>
      <c r="JPH41" s="73"/>
      <c r="JPI41" s="73"/>
      <c r="JPJ41" s="73"/>
      <c r="JPK41" s="73"/>
      <c r="JPL41" s="73"/>
      <c r="JPM41" s="73"/>
      <c r="JPN41" s="73"/>
      <c r="JPO41" s="73"/>
      <c r="JPP41" s="73"/>
      <c r="JPQ41" s="73"/>
      <c r="JPR41" s="73"/>
      <c r="JPS41" s="73"/>
      <c r="JPT41" s="73"/>
      <c r="JPU41" s="73"/>
      <c r="JPV41" s="73"/>
      <c r="JPW41" s="73"/>
      <c r="JPX41" s="73"/>
      <c r="JPY41" s="73"/>
      <c r="JPZ41" s="73"/>
      <c r="JQA41" s="73"/>
      <c r="JQB41" s="73"/>
      <c r="JQC41" s="73"/>
      <c r="JQD41" s="73"/>
      <c r="JQE41" s="73"/>
      <c r="JQF41" s="73"/>
      <c r="JQG41" s="73"/>
      <c r="JQH41" s="73"/>
      <c r="JQI41" s="73"/>
      <c r="JQJ41" s="73"/>
      <c r="JQK41" s="73"/>
      <c r="JQL41" s="73"/>
      <c r="JQM41" s="73"/>
      <c r="JQN41" s="73"/>
      <c r="JQO41" s="73"/>
      <c r="JQP41" s="73"/>
      <c r="JQQ41" s="73"/>
      <c r="JQR41" s="73"/>
      <c r="JQS41" s="73"/>
      <c r="JQT41" s="73"/>
      <c r="JQU41" s="73"/>
      <c r="JQV41" s="73"/>
      <c r="JQW41" s="73"/>
      <c r="JQX41" s="73"/>
      <c r="JQY41" s="73"/>
      <c r="JQZ41" s="73"/>
      <c r="JRA41" s="73"/>
      <c r="JRB41" s="73"/>
      <c r="JRC41" s="73"/>
      <c r="JRD41" s="73"/>
      <c r="JRE41" s="73"/>
      <c r="JRF41" s="73"/>
      <c r="JRG41" s="73"/>
      <c r="JRH41" s="73"/>
      <c r="JRI41" s="73"/>
      <c r="JRJ41" s="73"/>
      <c r="JRK41" s="73"/>
      <c r="JRL41" s="73"/>
      <c r="JRM41" s="73"/>
      <c r="JRN41" s="73"/>
      <c r="JRO41" s="73"/>
      <c r="JRP41" s="73"/>
      <c r="JRQ41" s="73"/>
      <c r="JRR41" s="73"/>
      <c r="JRS41" s="73"/>
      <c r="JRT41" s="73"/>
      <c r="JRU41" s="73"/>
      <c r="JRV41" s="73"/>
      <c r="JRW41" s="73"/>
      <c r="JRX41" s="73"/>
      <c r="JRY41" s="73"/>
      <c r="JRZ41" s="73"/>
      <c r="JSA41" s="73"/>
      <c r="JSB41" s="73"/>
      <c r="JSC41" s="73"/>
      <c r="JSD41" s="73"/>
      <c r="JSE41" s="73"/>
      <c r="JSF41" s="73"/>
      <c r="JSG41" s="73"/>
      <c r="JSH41" s="73"/>
      <c r="JSI41" s="73"/>
      <c r="JSJ41" s="73"/>
      <c r="JSK41" s="73"/>
      <c r="JSL41" s="73"/>
      <c r="JSM41" s="73"/>
      <c r="JSN41" s="73"/>
      <c r="JSO41" s="73"/>
      <c r="JSP41" s="73"/>
      <c r="JSQ41" s="73"/>
      <c r="JSR41" s="73"/>
      <c r="JSS41" s="73"/>
      <c r="JST41" s="73"/>
      <c r="JSU41" s="73"/>
      <c r="JSV41" s="73"/>
      <c r="JSW41" s="73"/>
      <c r="JSX41" s="73"/>
      <c r="JSY41" s="73"/>
      <c r="JSZ41" s="73"/>
      <c r="JTA41" s="73"/>
      <c r="JTB41" s="73"/>
      <c r="JTC41" s="73"/>
      <c r="JTD41" s="73"/>
      <c r="JTE41" s="73"/>
      <c r="JTF41" s="73"/>
      <c r="JTG41" s="73"/>
      <c r="JTH41" s="73"/>
      <c r="JTI41" s="73"/>
      <c r="JTJ41" s="73"/>
      <c r="JTK41" s="73"/>
      <c r="JTL41" s="73"/>
      <c r="JTM41" s="73"/>
      <c r="JTN41" s="73"/>
      <c r="JTO41" s="73"/>
      <c r="JTP41" s="73"/>
      <c r="JTQ41" s="73"/>
      <c r="JTR41" s="73"/>
      <c r="JTS41" s="73"/>
      <c r="JTT41" s="73"/>
      <c r="JTU41" s="73"/>
      <c r="JTV41" s="73"/>
      <c r="JTW41" s="73"/>
      <c r="JTX41" s="73"/>
      <c r="JTY41" s="73"/>
      <c r="JTZ41" s="73"/>
      <c r="JUA41" s="73"/>
      <c r="JUB41" s="73"/>
      <c r="JUC41" s="73"/>
      <c r="JUD41" s="73"/>
      <c r="JUE41" s="73"/>
      <c r="JUF41" s="73"/>
      <c r="JUG41" s="73"/>
      <c r="JUH41" s="73"/>
      <c r="JUI41" s="73"/>
      <c r="JUJ41" s="73"/>
      <c r="JUK41" s="73"/>
      <c r="JUL41" s="73"/>
      <c r="JUM41" s="73"/>
      <c r="JUN41" s="73"/>
      <c r="JUO41" s="73"/>
      <c r="JUP41" s="73"/>
      <c r="JUQ41" s="73"/>
      <c r="JUR41" s="73"/>
      <c r="JUS41" s="73"/>
      <c r="JUT41" s="73"/>
      <c r="JUU41" s="73"/>
      <c r="JUV41" s="73"/>
      <c r="JUW41" s="73"/>
      <c r="JUX41" s="73"/>
      <c r="JUY41" s="73"/>
      <c r="JUZ41" s="73"/>
      <c r="JVA41" s="73"/>
      <c r="JVB41" s="73"/>
      <c r="JVC41" s="73"/>
      <c r="JVD41" s="73"/>
      <c r="JVE41" s="73"/>
      <c r="JVF41" s="73"/>
      <c r="JVG41" s="73"/>
      <c r="JVH41" s="73"/>
      <c r="JVI41" s="73"/>
      <c r="JVJ41" s="73"/>
      <c r="JVK41" s="73"/>
      <c r="JVL41" s="73"/>
      <c r="JVM41" s="73"/>
      <c r="JVN41" s="73"/>
      <c r="JVO41" s="73"/>
      <c r="JVP41" s="73"/>
      <c r="JVQ41" s="73"/>
      <c r="JVR41" s="73"/>
      <c r="JVS41" s="73"/>
      <c r="JVT41" s="73"/>
      <c r="JVU41" s="73"/>
      <c r="JVV41" s="73"/>
      <c r="JVW41" s="73"/>
      <c r="JVX41" s="73"/>
      <c r="JVY41" s="73"/>
      <c r="JVZ41" s="73"/>
      <c r="JWA41" s="73"/>
      <c r="JWB41" s="73"/>
      <c r="JWC41" s="73"/>
      <c r="JWD41" s="73"/>
      <c r="JWE41" s="73"/>
      <c r="JWF41" s="73"/>
      <c r="JWG41" s="73"/>
      <c r="JWH41" s="73"/>
      <c r="JWI41" s="73"/>
      <c r="JWJ41" s="73"/>
      <c r="JWK41" s="73"/>
      <c r="JWL41" s="73"/>
      <c r="JWM41" s="73"/>
      <c r="JWN41" s="73"/>
      <c r="JWO41" s="73"/>
      <c r="JWP41" s="73"/>
      <c r="JWQ41" s="73"/>
      <c r="JWR41" s="73"/>
      <c r="JWS41" s="73"/>
      <c r="JWT41" s="73"/>
      <c r="JWU41" s="73"/>
      <c r="JWV41" s="73"/>
      <c r="JWW41" s="73"/>
      <c r="JWX41" s="73"/>
      <c r="JWY41" s="73"/>
      <c r="JWZ41" s="73"/>
      <c r="JXA41" s="73"/>
      <c r="JXB41" s="73"/>
      <c r="JXC41" s="73"/>
      <c r="JXD41" s="73"/>
      <c r="JXE41" s="73"/>
      <c r="JXF41" s="73"/>
      <c r="JXG41" s="73"/>
      <c r="JXH41" s="73"/>
      <c r="JXI41" s="73"/>
      <c r="JXJ41" s="73"/>
      <c r="JXK41" s="73"/>
      <c r="JXL41" s="73"/>
      <c r="JXM41" s="73"/>
      <c r="JXN41" s="73"/>
      <c r="JXO41" s="73"/>
      <c r="JXP41" s="73"/>
      <c r="JXQ41" s="73"/>
      <c r="JXR41" s="73"/>
      <c r="JXS41" s="73"/>
      <c r="JXT41" s="73"/>
      <c r="JXU41" s="73"/>
      <c r="JXV41" s="73"/>
      <c r="JXW41" s="73"/>
      <c r="JXX41" s="73"/>
      <c r="JXY41" s="73"/>
      <c r="JXZ41" s="73"/>
      <c r="JYA41" s="73"/>
      <c r="JYB41" s="73"/>
      <c r="JYC41" s="73"/>
      <c r="JYD41" s="73"/>
      <c r="JYE41" s="73"/>
      <c r="JYF41" s="73"/>
      <c r="JYG41" s="73"/>
      <c r="JYH41" s="73"/>
      <c r="JYI41" s="73"/>
      <c r="JYJ41" s="73"/>
      <c r="JYK41" s="73"/>
      <c r="JYL41" s="73"/>
      <c r="JYM41" s="73"/>
      <c r="JYN41" s="73"/>
      <c r="JYO41" s="73"/>
      <c r="JYP41" s="73"/>
      <c r="JYQ41" s="73"/>
      <c r="JYR41" s="73"/>
      <c r="JYS41" s="73"/>
      <c r="JYT41" s="73"/>
      <c r="JYU41" s="73"/>
      <c r="JYV41" s="73"/>
      <c r="JYW41" s="73"/>
      <c r="JYX41" s="73"/>
      <c r="JYY41" s="73"/>
      <c r="JYZ41" s="73"/>
      <c r="JZA41" s="73"/>
      <c r="JZB41" s="73"/>
      <c r="JZC41" s="73"/>
      <c r="JZD41" s="73"/>
      <c r="JZE41" s="73"/>
      <c r="JZF41" s="73"/>
      <c r="JZG41" s="73"/>
      <c r="JZH41" s="73"/>
      <c r="JZI41" s="73"/>
      <c r="JZJ41" s="73"/>
      <c r="JZK41" s="73"/>
      <c r="JZL41" s="73"/>
      <c r="JZM41" s="73"/>
      <c r="JZN41" s="73"/>
      <c r="JZO41" s="73"/>
      <c r="JZP41" s="73"/>
      <c r="JZQ41" s="73"/>
      <c r="JZR41" s="73"/>
      <c r="JZS41" s="73"/>
      <c r="JZT41" s="73"/>
      <c r="JZU41" s="73"/>
      <c r="JZV41" s="73"/>
      <c r="JZW41" s="73"/>
      <c r="JZX41" s="73"/>
      <c r="JZY41" s="73"/>
      <c r="JZZ41" s="73"/>
      <c r="KAA41" s="73"/>
      <c r="KAB41" s="73"/>
      <c r="KAC41" s="73"/>
      <c r="KAD41" s="73"/>
      <c r="KAE41" s="73"/>
      <c r="KAF41" s="73"/>
      <c r="KAG41" s="73"/>
      <c r="KAH41" s="73"/>
      <c r="KAI41" s="73"/>
      <c r="KAJ41" s="73"/>
      <c r="KAK41" s="73"/>
      <c r="KAL41" s="73"/>
      <c r="KAM41" s="73"/>
      <c r="KAN41" s="73"/>
      <c r="KAO41" s="73"/>
      <c r="KAP41" s="73"/>
      <c r="KAQ41" s="73"/>
      <c r="KAR41" s="73"/>
      <c r="KAS41" s="73"/>
      <c r="KAT41" s="73"/>
      <c r="KAU41" s="73"/>
      <c r="KAV41" s="73"/>
      <c r="KAW41" s="73"/>
      <c r="KAX41" s="73"/>
      <c r="KAY41" s="73"/>
      <c r="KAZ41" s="73"/>
      <c r="KBA41" s="73"/>
      <c r="KBB41" s="73"/>
      <c r="KBC41" s="73"/>
      <c r="KBD41" s="73"/>
      <c r="KBE41" s="73"/>
      <c r="KBF41" s="73"/>
      <c r="KBG41" s="73"/>
      <c r="KBH41" s="73"/>
      <c r="KBI41" s="73"/>
      <c r="KBJ41" s="73"/>
      <c r="KBK41" s="73"/>
      <c r="KBL41" s="73"/>
      <c r="KBM41" s="73"/>
      <c r="KBN41" s="73"/>
      <c r="KBO41" s="73"/>
      <c r="KBP41" s="73"/>
      <c r="KBQ41" s="73"/>
      <c r="KBR41" s="73"/>
      <c r="KBS41" s="73"/>
      <c r="KBT41" s="73"/>
      <c r="KBU41" s="73"/>
      <c r="KBV41" s="73"/>
      <c r="KBW41" s="73"/>
      <c r="KBX41" s="73"/>
      <c r="KBY41" s="73"/>
      <c r="KBZ41" s="73"/>
      <c r="KCA41" s="73"/>
      <c r="KCB41" s="73"/>
      <c r="KCC41" s="73"/>
      <c r="KCD41" s="73"/>
      <c r="KCE41" s="73"/>
      <c r="KCF41" s="73"/>
      <c r="KCG41" s="73"/>
      <c r="KCH41" s="73"/>
      <c r="KCI41" s="73"/>
      <c r="KCJ41" s="73"/>
      <c r="KCK41" s="73"/>
      <c r="KCL41" s="73"/>
      <c r="KCM41" s="73"/>
      <c r="KCN41" s="73"/>
      <c r="KCO41" s="73"/>
      <c r="KCP41" s="73"/>
      <c r="KCQ41" s="73"/>
      <c r="KCR41" s="73"/>
      <c r="KCS41" s="73"/>
      <c r="KCT41" s="73"/>
      <c r="KCU41" s="73"/>
      <c r="KCV41" s="73"/>
      <c r="KCW41" s="73"/>
      <c r="KCX41" s="73"/>
      <c r="KCY41" s="73"/>
      <c r="KCZ41" s="73"/>
      <c r="KDA41" s="73"/>
      <c r="KDB41" s="73"/>
      <c r="KDC41" s="73"/>
      <c r="KDD41" s="73"/>
      <c r="KDE41" s="73"/>
      <c r="KDF41" s="73"/>
      <c r="KDG41" s="73"/>
      <c r="KDH41" s="73"/>
      <c r="KDI41" s="73"/>
      <c r="KDJ41" s="73"/>
      <c r="KDK41" s="73"/>
      <c r="KDL41" s="73"/>
      <c r="KDM41" s="73"/>
      <c r="KDN41" s="73"/>
      <c r="KDO41" s="73"/>
      <c r="KDP41" s="73"/>
      <c r="KDQ41" s="73"/>
      <c r="KDR41" s="73"/>
      <c r="KDS41" s="73"/>
      <c r="KDT41" s="73"/>
      <c r="KDU41" s="73"/>
      <c r="KDV41" s="73"/>
      <c r="KDW41" s="73"/>
      <c r="KDX41" s="73"/>
      <c r="KDY41" s="73"/>
      <c r="KDZ41" s="73"/>
      <c r="KEA41" s="73"/>
      <c r="KEB41" s="73"/>
      <c r="KEC41" s="73"/>
      <c r="KED41" s="73"/>
      <c r="KEE41" s="73"/>
      <c r="KEF41" s="73"/>
      <c r="KEG41" s="73"/>
      <c r="KEH41" s="73"/>
      <c r="KEI41" s="73"/>
      <c r="KEJ41" s="73"/>
      <c r="KEK41" s="73"/>
      <c r="KEL41" s="73"/>
      <c r="KEM41" s="73"/>
      <c r="KEN41" s="73"/>
      <c r="KEO41" s="73"/>
      <c r="KEP41" s="73"/>
      <c r="KEQ41" s="73"/>
      <c r="KER41" s="73"/>
      <c r="KES41" s="73"/>
      <c r="KET41" s="73"/>
      <c r="KEU41" s="73"/>
      <c r="KEV41" s="73"/>
      <c r="KEW41" s="73"/>
      <c r="KEX41" s="73"/>
      <c r="KEY41" s="73"/>
      <c r="KEZ41" s="73"/>
      <c r="KFA41" s="73"/>
      <c r="KFB41" s="73"/>
      <c r="KFC41" s="73"/>
      <c r="KFD41" s="73"/>
      <c r="KFE41" s="73"/>
      <c r="KFF41" s="73"/>
      <c r="KFG41" s="73"/>
      <c r="KFH41" s="73"/>
      <c r="KFI41" s="73"/>
      <c r="KFJ41" s="73"/>
      <c r="KFK41" s="73"/>
      <c r="KFL41" s="73"/>
      <c r="KFM41" s="73"/>
      <c r="KFN41" s="73"/>
      <c r="KFO41" s="73"/>
      <c r="KFP41" s="73"/>
      <c r="KFQ41" s="73"/>
      <c r="KFR41" s="73"/>
      <c r="KFS41" s="73"/>
      <c r="KFT41" s="73"/>
      <c r="KFU41" s="73"/>
      <c r="KFV41" s="73"/>
      <c r="KFW41" s="73"/>
      <c r="KFX41" s="73"/>
      <c r="KFY41" s="73"/>
      <c r="KFZ41" s="73"/>
      <c r="KGA41" s="73"/>
      <c r="KGB41" s="73"/>
      <c r="KGC41" s="73"/>
      <c r="KGD41" s="73"/>
      <c r="KGE41" s="73"/>
      <c r="KGF41" s="73"/>
      <c r="KGG41" s="73"/>
      <c r="KGH41" s="73"/>
      <c r="KGI41" s="73"/>
      <c r="KGJ41" s="73"/>
      <c r="KGK41" s="73"/>
      <c r="KGL41" s="73"/>
      <c r="KGM41" s="73"/>
      <c r="KGN41" s="73"/>
      <c r="KGO41" s="73"/>
      <c r="KGP41" s="73"/>
      <c r="KGQ41" s="73"/>
      <c r="KGR41" s="73"/>
      <c r="KGS41" s="73"/>
      <c r="KGT41" s="73"/>
      <c r="KGU41" s="73"/>
      <c r="KGV41" s="73"/>
      <c r="KGW41" s="73"/>
      <c r="KGX41" s="73"/>
      <c r="KGY41" s="73"/>
      <c r="KGZ41" s="73"/>
      <c r="KHA41" s="73"/>
      <c r="KHB41" s="73"/>
      <c r="KHC41" s="73"/>
      <c r="KHD41" s="73"/>
      <c r="KHE41" s="73"/>
      <c r="KHF41" s="73"/>
      <c r="KHG41" s="73"/>
      <c r="KHH41" s="73"/>
      <c r="KHI41" s="73"/>
      <c r="KHJ41" s="73"/>
      <c r="KHK41" s="73"/>
      <c r="KHL41" s="73"/>
      <c r="KHM41" s="73"/>
      <c r="KHN41" s="73"/>
      <c r="KHO41" s="73"/>
      <c r="KHP41" s="73"/>
      <c r="KHQ41" s="73"/>
      <c r="KHR41" s="73"/>
      <c r="KHS41" s="73"/>
      <c r="KHT41" s="73"/>
      <c r="KHU41" s="73"/>
      <c r="KHV41" s="73"/>
      <c r="KHW41" s="73"/>
      <c r="KHX41" s="73"/>
      <c r="KHY41" s="73"/>
      <c r="KHZ41" s="73"/>
      <c r="KIA41" s="73"/>
      <c r="KIB41" s="73"/>
      <c r="KIC41" s="73"/>
      <c r="KID41" s="73"/>
      <c r="KIE41" s="73"/>
      <c r="KIF41" s="73"/>
      <c r="KIG41" s="73"/>
      <c r="KIH41" s="73"/>
      <c r="KII41" s="73"/>
      <c r="KIJ41" s="73"/>
      <c r="KIK41" s="73"/>
      <c r="KIL41" s="73"/>
      <c r="KIM41" s="73"/>
      <c r="KIN41" s="73"/>
      <c r="KIO41" s="73"/>
      <c r="KIP41" s="73"/>
      <c r="KIQ41" s="73"/>
      <c r="KIR41" s="73"/>
      <c r="KIS41" s="73"/>
      <c r="KIT41" s="73"/>
      <c r="KIU41" s="73"/>
      <c r="KIV41" s="73"/>
      <c r="KIW41" s="73"/>
      <c r="KIX41" s="73"/>
      <c r="KIY41" s="73"/>
      <c r="KIZ41" s="73"/>
      <c r="KJA41" s="73"/>
      <c r="KJB41" s="73"/>
      <c r="KJC41" s="73"/>
      <c r="KJD41" s="73"/>
      <c r="KJE41" s="73"/>
      <c r="KJF41" s="73"/>
      <c r="KJG41" s="73"/>
      <c r="KJH41" s="73"/>
      <c r="KJI41" s="73"/>
      <c r="KJJ41" s="73"/>
      <c r="KJK41" s="73"/>
      <c r="KJL41" s="73"/>
      <c r="KJM41" s="73"/>
      <c r="KJN41" s="73"/>
      <c r="KJO41" s="73"/>
      <c r="KJP41" s="73"/>
      <c r="KJQ41" s="73"/>
      <c r="KJR41" s="73"/>
      <c r="KJS41" s="73"/>
      <c r="KJT41" s="73"/>
      <c r="KJU41" s="73"/>
      <c r="KJV41" s="73"/>
      <c r="KJW41" s="73"/>
      <c r="KJX41" s="73"/>
      <c r="KJY41" s="73"/>
      <c r="KJZ41" s="73"/>
      <c r="KKA41" s="73"/>
      <c r="KKB41" s="73"/>
      <c r="KKC41" s="73"/>
      <c r="KKD41" s="73"/>
      <c r="KKE41" s="73"/>
      <c r="KKF41" s="73"/>
      <c r="KKG41" s="73"/>
      <c r="KKH41" s="73"/>
      <c r="KKI41" s="73"/>
      <c r="KKJ41" s="73"/>
      <c r="KKK41" s="73"/>
      <c r="KKL41" s="73"/>
      <c r="KKM41" s="73"/>
      <c r="KKN41" s="73"/>
      <c r="KKO41" s="73"/>
      <c r="KKP41" s="73"/>
      <c r="KKQ41" s="73"/>
      <c r="KKR41" s="73"/>
      <c r="KKS41" s="73"/>
      <c r="KKT41" s="73"/>
      <c r="KKU41" s="73"/>
      <c r="KKV41" s="73"/>
      <c r="KKW41" s="73"/>
      <c r="KKX41" s="73"/>
      <c r="KKY41" s="73"/>
      <c r="KKZ41" s="73"/>
      <c r="KLA41" s="73"/>
      <c r="KLB41" s="73"/>
      <c r="KLC41" s="73"/>
      <c r="KLD41" s="73"/>
      <c r="KLE41" s="73"/>
      <c r="KLF41" s="73"/>
      <c r="KLG41" s="73"/>
      <c r="KLH41" s="73"/>
      <c r="KLI41" s="73"/>
      <c r="KLJ41" s="73"/>
      <c r="KLK41" s="73"/>
      <c r="KLL41" s="73"/>
      <c r="KLM41" s="73"/>
      <c r="KLN41" s="73"/>
      <c r="KLO41" s="73"/>
      <c r="KLP41" s="73"/>
      <c r="KLQ41" s="73"/>
      <c r="KLR41" s="73"/>
      <c r="KLS41" s="73"/>
      <c r="KLT41" s="73"/>
      <c r="KLU41" s="73"/>
      <c r="KLV41" s="73"/>
      <c r="KLW41" s="73"/>
      <c r="KLX41" s="73"/>
      <c r="KLY41" s="73"/>
      <c r="KLZ41" s="73"/>
      <c r="KMA41" s="73"/>
      <c r="KMB41" s="73"/>
      <c r="KMC41" s="73"/>
      <c r="KMD41" s="73"/>
      <c r="KME41" s="73"/>
      <c r="KMF41" s="73"/>
      <c r="KMG41" s="73"/>
      <c r="KMH41" s="73"/>
      <c r="KMI41" s="73"/>
      <c r="KMJ41" s="73"/>
      <c r="KMK41" s="73"/>
      <c r="KML41" s="73"/>
      <c r="KMM41" s="73"/>
      <c r="KMN41" s="73"/>
      <c r="KMO41" s="73"/>
      <c r="KMP41" s="73"/>
      <c r="KMQ41" s="73"/>
      <c r="KMR41" s="73"/>
      <c r="KMS41" s="73"/>
      <c r="KMT41" s="73"/>
      <c r="KMU41" s="73"/>
      <c r="KMV41" s="73"/>
      <c r="KMW41" s="73"/>
      <c r="KMX41" s="73"/>
      <c r="KMY41" s="73"/>
      <c r="KMZ41" s="73"/>
      <c r="KNA41" s="73"/>
      <c r="KNB41" s="73"/>
      <c r="KNC41" s="73"/>
      <c r="KND41" s="73"/>
      <c r="KNE41" s="73"/>
      <c r="KNF41" s="73"/>
      <c r="KNG41" s="73"/>
      <c r="KNH41" s="73"/>
      <c r="KNI41" s="73"/>
      <c r="KNJ41" s="73"/>
      <c r="KNK41" s="73"/>
      <c r="KNL41" s="73"/>
      <c r="KNM41" s="73"/>
      <c r="KNN41" s="73"/>
      <c r="KNO41" s="73"/>
      <c r="KNP41" s="73"/>
      <c r="KNQ41" s="73"/>
      <c r="KNR41" s="73"/>
      <c r="KNS41" s="73"/>
      <c r="KNT41" s="73"/>
      <c r="KNU41" s="73"/>
      <c r="KNV41" s="73"/>
      <c r="KNW41" s="73"/>
      <c r="KNX41" s="73"/>
      <c r="KNY41" s="73"/>
      <c r="KNZ41" s="73"/>
      <c r="KOA41" s="73"/>
      <c r="KOB41" s="73"/>
      <c r="KOC41" s="73"/>
      <c r="KOD41" s="73"/>
      <c r="KOE41" s="73"/>
      <c r="KOF41" s="73"/>
      <c r="KOG41" s="73"/>
      <c r="KOH41" s="73"/>
      <c r="KOI41" s="73"/>
      <c r="KOJ41" s="73"/>
      <c r="KOK41" s="73"/>
      <c r="KOL41" s="73"/>
      <c r="KOM41" s="73"/>
      <c r="KON41" s="73"/>
      <c r="KOO41" s="73"/>
      <c r="KOP41" s="73"/>
      <c r="KOQ41" s="73"/>
      <c r="KOR41" s="73"/>
      <c r="KOS41" s="73"/>
      <c r="KOT41" s="73"/>
      <c r="KOU41" s="73"/>
      <c r="KOV41" s="73"/>
      <c r="KOW41" s="73"/>
      <c r="KOX41" s="73"/>
      <c r="KOY41" s="73"/>
      <c r="KOZ41" s="73"/>
      <c r="KPA41" s="73"/>
      <c r="KPB41" s="73"/>
      <c r="KPC41" s="73"/>
      <c r="KPD41" s="73"/>
      <c r="KPE41" s="73"/>
      <c r="KPF41" s="73"/>
      <c r="KPG41" s="73"/>
      <c r="KPH41" s="73"/>
      <c r="KPI41" s="73"/>
      <c r="KPJ41" s="73"/>
      <c r="KPK41" s="73"/>
      <c r="KPL41" s="73"/>
      <c r="KPM41" s="73"/>
      <c r="KPN41" s="73"/>
      <c r="KPO41" s="73"/>
      <c r="KPP41" s="73"/>
      <c r="KPQ41" s="73"/>
      <c r="KPR41" s="73"/>
      <c r="KPS41" s="73"/>
      <c r="KPT41" s="73"/>
      <c r="KPU41" s="73"/>
      <c r="KPV41" s="73"/>
      <c r="KPW41" s="73"/>
      <c r="KPX41" s="73"/>
      <c r="KPY41" s="73"/>
      <c r="KPZ41" s="73"/>
      <c r="KQA41" s="73"/>
      <c r="KQB41" s="73"/>
      <c r="KQC41" s="73"/>
      <c r="KQD41" s="73"/>
      <c r="KQE41" s="73"/>
      <c r="KQF41" s="73"/>
      <c r="KQG41" s="73"/>
      <c r="KQH41" s="73"/>
      <c r="KQI41" s="73"/>
      <c r="KQJ41" s="73"/>
      <c r="KQK41" s="73"/>
      <c r="KQL41" s="73"/>
      <c r="KQM41" s="73"/>
      <c r="KQN41" s="73"/>
      <c r="KQO41" s="73"/>
      <c r="KQP41" s="73"/>
      <c r="KQQ41" s="73"/>
      <c r="KQR41" s="73"/>
      <c r="KQS41" s="73"/>
      <c r="KQT41" s="73"/>
      <c r="KQU41" s="73"/>
      <c r="KQV41" s="73"/>
      <c r="KQW41" s="73"/>
      <c r="KQX41" s="73"/>
      <c r="KQY41" s="73"/>
      <c r="KQZ41" s="73"/>
      <c r="KRA41" s="73"/>
      <c r="KRB41" s="73"/>
      <c r="KRC41" s="73"/>
      <c r="KRD41" s="73"/>
      <c r="KRE41" s="73"/>
      <c r="KRF41" s="73"/>
      <c r="KRG41" s="73"/>
      <c r="KRH41" s="73"/>
      <c r="KRI41" s="73"/>
      <c r="KRJ41" s="73"/>
      <c r="KRK41" s="73"/>
      <c r="KRL41" s="73"/>
      <c r="KRM41" s="73"/>
      <c r="KRN41" s="73"/>
      <c r="KRO41" s="73"/>
      <c r="KRP41" s="73"/>
      <c r="KRQ41" s="73"/>
      <c r="KRR41" s="73"/>
      <c r="KRS41" s="73"/>
      <c r="KRT41" s="73"/>
      <c r="KRU41" s="73"/>
      <c r="KRV41" s="73"/>
      <c r="KRW41" s="73"/>
      <c r="KRX41" s="73"/>
      <c r="KRY41" s="73"/>
      <c r="KRZ41" s="73"/>
      <c r="KSA41" s="73"/>
      <c r="KSB41" s="73"/>
      <c r="KSC41" s="73"/>
      <c r="KSD41" s="73"/>
      <c r="KSE41" s="73"/>
      <c r="KSF41" s="73"/>
      <c r="KSG41" s="73"/>
      <c r="KSH41" s="73"/>
      <c r="KSI41" s="73"/>
      <c r="KSJ41" s="73"/>
      <c r="KSK41" s="73"/>
      <c r="KSL41" s="73"/>
      <c r="KSM41" s="73"/>
      <c r="KSN41" s="73"/>
      <c r="KSO41" s="73"/>
      <c r="KSP41" s="73"/>
      <c r="KSQ41" s="73"/>
      <c r="KSR41" s="73"/>
      <c r="KSS41" s="73"/>
      <c r="KST41" s="73"/>
      <c r="KSU41" s="73"/>
      <c r="KSV41" s="73"/>
      <c r="KSW41" s="73"/>
      <c r="KSX41" s="73"/>
      <c r="KSY41" s="73"/>
      <c r="KSZ41" s="73"/>
      <c r="KTA41" s="73"/>
      <c r="KTB41" s="73"/>
      <c r="KTC41" s="73"/>
      <c r="KTD41" s="73"/>
      <c r="KTE41" s="73"/>
      <c r="KTF41" s="73"/>
      <c r="KTG41" s="73"/>
      <c r="KTH41" s="73"/>
      <c r="KTI41" s="73"/>
      <c r="KTJ41" s="73"/>
      <c r="KTK41" s="73"/>
      <c r="KTL41" s="73"/>
      <c r="KTM41" s="73"/>
      <c r="KTN41" s="73"/>
      <c r="KTO41" s="73"/>
      <c r="KTP41" s="73"/>
      <c r="KTQ41" s="73"/>
      <c r="KTR41" s="73"/>
      <c r="KTS41" s="73"/>
      <c r="KTT41" s="73"/>
      <c r="KTU41" s="73"/>
      <c r="KTV41" s="73"/>
      <c r="KTW41" s="73"/>
      <c r="KTX41" s="73"/>
      <c r="KTY41" s="73"/>
      <c r="KTZ41" s="73"/>
      <c r="KUA41" s="73"/>
      <c r="KUB41" s="73"/>
      <c r="KUC41" s="73"/>
      <c r="KUD41" s="73"/>
      <c r="KUE41" s="73"/>
      <c r="KUF41" s="73"/>
      <c r="KUG41" s="73"/>
      <c r="KUH41" s="73"/>
      <c r="KUI41" s="73"/>
      <c r="KUJ41" s="73"/>
      <c r="KUK41" s="73"/>
      <c r="KUL41" s="73"/>
      <c r="KUM41" s="73"/>
      <c r="KUN41" s="73"/>
      <c r="KUO41" s="73"/>
      <c r="KUP41" s="73"/>
      <c r="KUQ41" s="73"/>
      <c r="KUR41" s="73"/>
      <c r="KUS41" s="73"/>
      <c r="KUT41" s="73"/>
      <c r="KUU41" s="73"/>
      <c r="KUV41" s="73"/>
      <c r="KUW41" s="73"/>
      <c r="KUX41" s="73"/>
      <c r="KUY41" s="73"/>
      <c r="KUZ41" s="73"/>
      <c r="KVA41" s="73"/>
      <c r="KVB41" s="73"/>
      <c r="KVC41" s="73"/>
      <c r="KVD41" s="73"/>
      <c r="KVE41" s="73"/>
      <c r="KVF41" s="73"/>
      <c r="KVG41" s="73"/>
      <c r="KVH41" s="73"/>
      <c r="KVI41" s="73"/>
      <c r="KVJ41" s="73"/>
      <c r="KVK41" s="73"/>
      <c r="KVL41" s="73"/>
      <c r="KVM41" s="73"/>
      <c r="KVN41" s="73"/>
      <c r="KVO41" s="73"/>
      <c r="KVP41" s="73"/>
      <c r="KVQ41" s="73"/>
      <c r="KVR41" s="73"/>
      <c r="KVS41" s="73"/>
      <c r="KVT41" s="73"/>
      <c r="KVU41" s="73"/>
      <c r="KVV41" s="73"/>
      <c r="KVW41" s="73"/>
      <c r="KVX41" s="73"/>
      <c r="KVY41" s="73"/>
      <c r="KVZ41" s="73"/>
      <c r="KWA41" s="73"/>
      <c r="KWB41" s="73"/>
      <c r="KWC41" s="73"/>
      <c r="KWD41" s="73"/>
      <c r="KWE41" s="73"/>
      <c r="KWF41" s="73"/>
      <c r="KWG41" s="73"/>
      <c r="KWH41" s="73"/>
      <c r="KWI41" s="73"/>
      <c r="KWJ41" s="73"/>
      <c r="KWK41" s="73"/>
      <c r="KWL41" s="73"/>
      <c r="KWM41" s="73"/>
      <c r="KWN41" s="73"/>
      <c r="KWO41" s="73"/>
      <c r="KWP41" s="73"/>
      <c r="KWQ41" s="73"/>
      <c r="KWR41" s="73"/>
      <c r="KWS41" s="73"/>
      <c r="KWT41" s="73"/>
      <c r="KWU41" s="73"/>
      <c r="KWV41" s="73"/>
      <c r="KWW41" s="73"/>
      <c r="KWX41" s="73"/>
      <c r="KWY41" s="73"/>
      <c r="KWZ41" s="73"/>
      <c r="KXA41" s="73"/>
      <c r="KXB41" s="73"/>
      <c r="KXC41" s="73"/>
      <c r="KXD41" s="73"/>
      <c r="KXE41" s="73"/>
      <c r="KXF41" s="73"/>
      <c r="KXG41" s="73"/>
      <c r="KXH41" s="73"/>
      <c r="KXI41" s="73"/>
      <c r="KXJ41" s="73"/>
      <c r="KXK41" s="73"/>
      <c r="KXL41" s="73"/>
      <c r="KXM41" s="73"/>
      <c r="KXN41" s="73"/>
      <c r="KXO41" s="73"/>
      <c r="KXP41" s="73"/>
      <c r="KXQ41" s="73"/>
      <c r="KXR41" s="73"/>
      <c r="KXS41" s="73"/>
      <c r="KXT41" s="73"/>
      <c r="KXU41" s="73"/>
      <c r="KXV41" s="73"/>
      <c r="KXW41" s="73"/>
      <c r="KXX41" s="73"/>
      <c r="KXY41" s="73"/>
      <c r="KXZ41" s="73"/>
      <c r="KYA41" s="73"/>
      <c r="KYB41" s="73"/>
      <c r="KYC41" s="73"/>
      <c r="KYD41" s="73"/>
      <c r="KYE41" s="73"/>
      <c r="KYF41" s="73"/>
      <c r="KYG41" s="73"/>
      <c r="KYH41" s="73"/>
      <c r="KYI41" s="73"/>
      <c r="KYJ41" s="73"/>
      <c r="KYK41" s="73"/>
      <c r="KYL41" s="73"/>
      <c r="KYM41" s="73"/>
      <c r="KYN41" s="73"/>
      <c r="KYO41" s="73"/>
      <c r="KYP41" s="73"/>
      <c r="KYQ41" s="73"/>
      <c r="KYR41" s="73"/>
      <c r="KYS41" s="73"/>
      <c r="KYT41" s="73"/>
      <c r="KYU41" s="73"/>
      <c r="KYV41" s="73"/>
      <c r="KYW41" s="73"/>
      <c r="KYX41" s="73"/>
      <c r="KYY41" s="73"/>
      <c r="KYZ41" s="73"/>
      <c r="KZA41" s="73"/>
      <c r="KZB41" s="73"/>
      <c r="KZC41" s="73"/>
      <c r="KZD41" s="73"/>
      <c r="KZE41" s="73"/>
      <c r="KZF41" s="73"/>
      <c r="KZG41" s="73"/>
      <c r="KZH41" s="73"/>
      <c r="KZI41" s="73"/>
      <c r="KZJ41" s="73"/>
      <c r="KZK41" s="73"/>
      <c r="KZL41" s="73"/>
      <c r="KZM41" s="73"/>
      <c r="KZN41" s="73"/>
      <c r="KZO41" s="73"/>
      <c r="KZP41" s="73"/>
      <c r="KZQ41" s="73"/>
      <c r="KZR41" s="73"/>
      <c r="KZS41" s="73"/>
      <c r="KZT41" s="73"/>
      <c r="KZU41" s="73"/>
      <c r="KZV41" s="73"/>
      <c r="KZW41" s="73"/>
      <c r="KZX41" s="73"/>
      <c r="KZY41" s="73"/>
      <c r="KZZ41" s="73"/>
      <c r="LAA41" s="73"/>
      <c r="LAB41" s="73"/>
      <c r="LAC41" s="73"/>
      <c r="LAD41" s="73"/>
      <c r="LAE41" s="73"/>
      <c r="LAF41" s="73"/>
      <c r="LAG41" s="73"/>
      <c r="LAH41" s="73"/>
      <c r="LAI41" s="73"/>
      <c r="LAJ41" s="73"/>
      <c r="LAK41" s="73"/>
      <c r="LAL41" s="73"/>
      <c r="LAM41" s="73"/>
      <c r="LAN41" s="73"/>
      <c r="LAO41" s="73"/>
      <c r="LAP41" s="73"/>
      <c r="LAQ41" s="73"/>
      <c r="LAR41" s="73"/>
      <c r="LAS41" s="73"/>
      <c r="LAT41" s="73"/>
      <c r="LAU41" s="73"/>
      <c r="LAV41" s="73"/>
      <c r="LAW41" s="73"/>
      <c r="LAX41" s="73"/>
      <c r="LAY41" s="73"/>
      <c r="LAZ41" s="73"/>
      <c r="LBA41" s="73"/>
      <c r="LBB41" s="73"/>
      <c r="LBC41" s="73"/>
      <c r="LBD41" s="73"/>
      <c r="LBE41" s="73"/>
      <c r="LBF41" s="73"/>
      <c r="LBG41" s="73"/>
      <c r="LBH41" s="73"/>
      <c r="LBI41" s="73"/>
      <c r="LBJ41" s="73"/>
      <c r="LBK41" s="73"/>
      <c r="LBL41" s="73"/>
      <c r="LBM41" s="73"/>
      <c r="LBN41" s="73"/>
      <c r="LBO41" s="73"/>
      <c r="LBP41" s="73"/>
      <c r="LBQ41" s="73"/>
      <c r="LBR41" s="73"/>
      <c r="LBS41" s="73"/>
      <c r="LBT41" s="73"/>
      <c r="LBU41" s="73"/>
      <c r="LBV41" s="73"/>
      <c r="LBW41" s="73"/>
      <c r="LBX41" s="73"/>
      <c r="LBY41" s="73"/>
      <c r="LBZ41" s="73"/>
      <c r="LCA41" s="73"/>
      <c r="LCB41" s="73"/>
      <c r="LCC41" s="73"/>
      <c r="LCD41" s="73"/>
      <c r="LCE41" s="73"/>
      <c r="LCF41" s="73"/>
      <c r="LCG41" s="73"/>
      <c r="LCH41" s="73"/>
      <c r="LCI41" s="73"/>
      <c r="LCJ41" s="73"/>
      <c r="LCK41" s="73"/>
      <c r="LCL41" s="73"/>
      <c r="LCM41" s="73"/>
      <c r="LCN41" s="73"/>
      <c r="LCO41" s="73"/>
      <c r="LCP41" s="73"/>
      <c r="LCQ41" s="73"/>
      <c r="LCR41" s="73"/>
      <c r="LCS41" s="73"/>
      <c r="LCT41" s="73"/>
      <c r="LCU41" s="73"/>
      <c r="LCV41" s="73"/>
      <c r="LCW41" s="73"/>
      <c r="LCX41" s="73"/>
      <c r="LCY41" s="73"/>
      <c r="LCZ41" s="73"/>
      <c r="LDA41" s="73"/>
      <c r="LDB41" s="73"/>
      <c r="LDC41" s="73"/>
      <c r="LDD41" s="73"/>
      <c r="LDE41" s="73"/>
      <c r="LDF41" s="73"/>
      <c r="LDG41" s="73"/>
      <c r="LDH41" s="73"/>
      <c r="LDI41" s="73"/>
      <c r="LDJ41" s="73"/>
      <c r="LDK41" s="73"/>
      <c r="LDL41" s="73"/>
      <c r="LDM41" s="73"/>
      <c r="LDN41" s="73"/>
      <c r="LDO41" s="73"/>
      <c r="LDP41" s="73"/>
      <c r="LDQ41" s="73"/>
      <c r="LDR41" s="73"/>
      <c r="LDS41" s="73"/>
      <c r="LDT41" s="73"/>
      <c r="LDU41" s="73"/>
      <c r="LDV41" s="73"/>
      <c r="LDW41" s="73"/>
      <c r="LDX41" s="73"/>
      <c r="LDY41" s="73"/>
      <c r="LDZ41" s="73"/>
      <c r="LEA41" s="73"/>
      <c r="LEB41" s="73"/>
      <c r="LEC41" s="73"/>
      <c r="LED41" s="73"/>
      <c r="LEE41" s="73"/>
      <c r="LEF41" s="73"/>
      <c r="LEG41" s="73"/>
      <c r="LEH41" s="73"/>
      <c r="LEI41" s="73"/>
      <c r="LEJ41" s="73"/>
      <c r="LEK41" s="73"/>
      <c r="LEL41" s="73"/>
      <c r="LEM41" s="73"/>
      <c r="LEN41" s="73"/>
      <c r="LEO41" s="73"/>
      <c r="LEP41" s="73"/>
      <c r="LEQ41" s="73"/>
      <c r="LER41" s="73"/>
      <c r="LES41" s="73"/>
      <c r="LET41" s="73"/>
      <c r="LEU41" s="73"/>
      <c r="LEV41" s="73"/>
      <c r="LEW41" s="73"/>
      <c r="LEX41" s="73"/>
      <c r="LEY41" s="73"/>
      <c r="LEZ41" s="73"/>
      <c r="LFA41" s="73"/>
      <c r="LFB41" s="73"/>
      <c r="LFC41" s="73"/>
      <c r="LFD41" s="73"/>
      <c r="LFE41" s="73"/>
      <c r="LFF41" s="73"/>
      <c r="LFG41" s="73"/>
      <c r="LFH41" s="73"/>
      <c r="LFI41" s="73"/>
      <c r="LFJ41" s="73"/>
      <c r="LFK41" s="73"/>
      <c r="LFL41" s="73"/>
      <c r="LFM41" s="73"/>
      <c r="LFN41" s="73"/>
      <c r="LFO41" s="73"/>
      <c r="LFP41" s="73"/>
      <c r="LFQ41" s="73"/>
      <c r="LFR41" s="73"/>
      <c r="LFS41" s="73"/>
      <c r="LFT41" s="73"/>
      <c r="LFU41" s="73"/>
      <c r="LFV41" s="73"/>
      <c r="LFW41" s="73"/>
      <c r="LFX41" s="73"/>
      <c r="LFY41" s="73"/>
      <c r="LFZ41" s="73"/>
      <c r="LGA41" s="73"/>
      <c r="LGB41" s="73"/>
      <c r="LGC41" s="73"/>
      <c r="LGD41" s="73"/>
      <c r="LGE41" s="73"/>
      <c r="LGF41" s="73"/>
      <c r="LGG41" s="73"/>
      <c r="LGH41" s="73"/>
      <c r="LGI41" s="73"/>
      <c r="LGJ41" s="73"/>
      <c r="LGK41" s="73"/>
      <c r="LGL41" s="73"/>
      <c r="LGM41" s="73"/>
      <c r="LGN41" s="73"/>
      <c r="LGO41" s="73"/>
      <c r="LGP41" s="73"/>
      <c r="LGQ41" s="73"/>
      <c r="LGR41" s="73"/>
      <c r="LGS41" s="73"/>
      <c r="LGT41" s="73"/>
      <c r="LGU41" s="73"/>
      <c r="LGV41" s="73"/>
      <c r="LGW41" s="73"/>
      <c r="LGX41" s="73"/>
      <c r="LGY41" s="73"/>
      <c r="LGZ41" s="73"/>
      <c r="LHA41" s="73"/>
      <c r="LHB41" s="73"/>
      <c r="LHC41" s="73"/>
      <c r="LHD41" s="73"/>
      <c r="LHE41" s="73"/>
      <c r="LHF41" s="73"/>
      <c r="LHG41" s="73"/>
      <c r="LHH41" s="73"/>
      <c r="LHI41" s="73"/>
      <c r="LHJ41" s="73"/>
      <c r="LHK41" s="73"/>
      <c r="LHL41" s="73"/>
      <c r="LHM41" s="73"/>
      <c r="LHN41" s="73"/>
      <c r="LHO41" s="73"/>
      <c r="LHP41" s="73"/>
      <c r="LHQ41" s="73"/>
      <c r="LHR41" s="73"/>
      <c r="LHS41" s="73"/>
      <c r="LHT41" s="73"/>
      <c r="LHU41" s="73"/>
      <c r="LHV41" s="73"/>
      <c r="LHW41" s="73"/>
      <c r="LHX41" s="73"/>
      <c r="LHY41" s="73"/>
      <c r="LHZ41" s="73"/>
      <c r="LIA41" s="73"/>
      <c r="LIB41" s="73"/>
      <c r="LIC41" s="73"/>
      <c r="LID41" s="73"/>
      <c r="LIE41" s="73"/>
      <c r="LIF41" s="73"/>
      <c r="LIG41" s="73"/>
      <c r="LIH41" s="73"/>
      <c r="LII41" s="73"/>
      <c r="LIJ41" s="73"/>
      <c r="LIK41" s="73"/>
      <c r="LIL41" s="73"/>
      <c r="LIM41" s="73"/>
      <c r="LIN41" s="73"/>
      <c r="LIO41" s="73"/>
      <c r="LIP41" s="73"/>
      <c r="LIQ41" s="73"/>
      <c r="LIR41" s="73"/>
      <c r="LIS41" s="73"/>
      <c r="LIT41" s="73"/>
      <c r="LIU41" s="73"/>
      <c r="LIV41" s="73"/>
      <c r="LIW41" s="73"/>
      <c r="LIX41" s="73"/>
      <c r="LIY41" s="73"/>
      <c r="LIZ41" s="73"/>
      <c r="LJA41" s="73"/>
      <c r="LJB41" s="73"/>
      <c r="LJC41" s="73"/>
      <c r="LJD41" s="73"/>
      <c r="LJE41" s="73"/>
      <c r="LJF41" s="73"/>
      <c r="LJG41" s="73"/>
      <c r="LJH41" s="73"/>
      <c r="LJI41" s="73"/>
      <c r="LJJ41" s="73"/>
      <c r="LJK41" s="73"/>
      <c r="LJL41" s="73"/>
      <c r="LJM41" s="73"/>
      <c r="LJN41" s="73"/>
      <c r="LJO41" s="73"/>
      <c r="LJP41" s="73"/>
      <c r="LJQ41" s="73"/>
      <c r="LJR41" s="73"/>
      <c r="LJS41" s="73"/>
      <c r="LJT41" s="73"/>
      <c r="LJU41" s="73"/>
      <c r="LJV41" s="73"/>
      <c r="LJW41" s="73"/>
      <c r="LJX41" s="73"/>
      <c r="LJY41" s="73"/>
      <c r="LJZ41" s="73"/>
      <c r="LKA41" s="73"/>
      <c r="LKB41" s="73"/>
      <c r="LKC41" s="73"/>
      <c r="LKD41" s="73"/>
      <c r="LKE41" s="73"/>
      <c r="LKF41" s="73"/>
      <c r="LKG41" s="73"/>
      <c r="LKH41" s="73"/>
      <c r="LKI41" s="73"/>
      <c r="LKJ41" s="73"/>
      <c r="LKK41" s="73"/>
      <c r="LKL41" s="73"/>
      <c r="LKM41" s="73"/>
      <c r="LKN41" s="73"/>
      <c r="LKO41" s="73"/>
      <c r="LKP41" s="73"/>
      <c r="LKQ41" s="73"/>
      <c r="LKR41" s="73"/>
      <c r="LKS41" s="73"/>
      <c r="LKT41" s="73"/>
      <c r="LKU41" s="73"/>
      <c r="LKV41" s="73"/>
      <c r="LKW41" s="73"/>
      <c r="LKX41" s="73"/>
      <c r="LKY41" s="73"/>
      <c r="LKZ41" s="73"/>
      <c r="LLA41" s="73"/>
      <c r="LLB41" s="73"/>
      <c r="LLC41" s="73"/>
      <c r="LLD41" s="73"/>
      <c r="LLE41" s="73"/>
      <c r="LLF41" s="73"/>
      <c r="LLG41" s="73"/>
      <c r="LLH41" s="73"/>
      <c r="LLI41" s="73"/>
      <c r="LLJ41" s="73"/>
      <c r="LLK41" s="73"/>
      <c r="LLL41" s="73"/>
      <c r="LLM41" s="73"/>
      <c r="LLN41" s="73"/>
      <c r="LLO41" s="73"/>
      <c r="LLP41" s="73"/>
      <c r="LLQ41" s="73"/>
      <c r="LLR41" s="73"/>
      <c r="LLS41" s="73"/>
      <c r="LLT41" s="73"/>
      <c r="LLU41" s="73"/>
      <c r="LLV41" s="73"/>
      <c r="LLW41" s="73"/>
      <c r="LLX41" s="73"/>
      <c r="LLY41" s="73"/>
      <c r="LLZ41" s="73"/>
      <c r="LMA41" s="73"/>
      <c r="LMB41" s="73"/>
      <c r="LMC41" s="73"/>
      <c r="LMD41" s="73"/>
      <c r="LME41" s="73"/>
      <c r="LMF41" s="73"/>
      <c r="LMG41" s="73"/>
      <c r="LMH41" s="73"/>
      <c r="LMI41" s="73"/>
      <c r="LMJ41" s="73"/>
      <c r="LMK41" s="73"/>
      <c r="LML41" s="73"/>
      <c r="LMM41" s="73"/>
      <c r="LMN41" s="73"/>
      <c r="LMO41" s="73"/>
      <c r="LMP41" s="73"/>
      <c r="LMQ41" s="73"/>
      <c r="LMR41" s="73"/>
      <c r="LMS41" s="73"/>
      <c r="LMT41" s="73"/>
      <c r="LMU41" s="73"/>
      <c r="LMV41" s="73"/>
      <c r="LMW41" s="73"/>
      <c r="LMX41" s="73"/>
      <c r="LMY41" s="73"/>
      <c r="LMZ41" s="73"/>
      <c r="LNA41" s="73"/>
      <c r="LNB41" s="73"/>
      <c r="LNC41" s="73"/>
      <c r="LND41" s="73"/>
      <c r="LNE41" s="73"/>
      <c r="LNF41" s="73"/>
      <c r="LNG41" s="73"/>
      <c r="LNH41" s="73"/>
      <c r="LNI41" s="73"/>
      <c r="LNJ41" s="73"/>
      <c r="LNK41" s="73"/>
      <c r="LNL41" s="73"/>
      <c r="LNM41" s="73"/>
      <c r="LNN41" s="73"/>
      <c r="LNO41" s="73"/>
      <c r="LNP41" s="73"/>
      <c r="LNQ41" s="73"/>
      <c r="LNR41" s="73"/>
      <c r="LNS41" s="73"/>
      <c r="LNT41" s="73"/>
      <c r="LNU41" s="73"/>
      <c r="LNV41" s="73"/>
      <c r="LNW41" s="73"/>
      <c r="LNX41" s="73"/>
      <c r="LNY41" s="73"/>
      <c r="LNZ41" s="73"/>
      <c r="LOA41" s="73"/>
      <c r="LOB41" s="73"/>
      <c r="LOC41" s="73"/>
      <c r="LOD41" s="73"/>
      <c r="LOE41" s="73"/>
      <c r="LOF41" s="73"/>
      <c r="LOG41" s="73"/>
      <c r="LOH41" s="73"/>
      <c r="LOI41" s="73"/>
      <c r="LOJ41" s="73"/>
      <c r="LOK41" s="73"/>
      <c r="LOL41" s="73"/>
      <c r="LOM41" s="73"/>
      <c r="LON41" s="73"/>
      <c r="LOO41" s="73"/>
      <c r="LOP41" s="73"/>
      <c r="LOQ41" s="73"/>
      <c r="LOR41" s="73"/>
      <c r="LOS41" s="73"/>
      <c r="LOT41" s="73"/>
      <c r="LOU41" s="73"/>
      <c r="LOV41" s="73"/>
      <c r="LOW41" s="73"/>
      <c r="LOX41" s="73"/>
      <c r="LOY41" s="73"/>
      <c r="LOZ41" s="73"/>
      <c r="LPA41" s="73"/>
      <c r="LPB41" s="73"/>
      <c r="LPC41" s="73"/>
      <c r="LPD41" s="73"/>
      <c r="LPE41" s="73"/>
      <c r="LPF41" s="73"/>
      <c r="LPG41" s="73"/>
      <c r="LPH41" s="73"/>
      <c r="LPI41" s="73"/>
      <c r="LPJ41" s="73"/>
      <c r="LPK41" s="73"/>
      <c r="LPL41" s="73"/>
      <c r="LPM41" s="73"/>
      <c r="LPN41" s="73"/>
      <c r="LPO41" s="73"/>
      <c r="LPP41" s="73"/>
      <c r="LPQ41" s="73"/>
      <c r="LPR41" s="73"/>
      <c r="LPS41" s="73"/>
      <c r="LPT41" s="73"/>
      <c r="LPU41" s="73"/>
      <c r="LPV41" s="73"/>
      <c r="LPW41" s="73"/>
      <c r="LPX41" s="73"/>
      <c r="LPY41" s="73"/>
      <c r="LPZ41" s="73"/>
      <c r="LQA41" s="73"/>
      <c r="LQB41" s="73"/>
      <c r="LQC41" s="73"/>
      <c r="LQD41" s="73"/>
      <c r="LQE41" s="73"/>
      <c r="LQF41" s="73"/>
      <c r="LQG41" s="73"/>
      <c r="LQH41" s="73"/>
      <c r="LQI41" s="73"/>
      <c r="LQJ41" s="73"/>
      <c r="LQK41" s="73"/>
      <c r="LQL41" s="73"/>
      <c r="LQM41" s="73"/>
      <c r="LQN41" s="73"/>
      <c r="LQO41" s="73"/>
      <c r="LQP41" s="73"/>
      <c r="LQQ41" s="73"/>
      <c r="LQR41" s="73"/>
      <c r="LQS41" s="73"/>
      <c r="LQT41" s="73"/>
      <c r="LQU41" s="73"/>
      <c r="LQV41" s="73"/>
      <c r="LQW41" s="73"/>
      <c r="LQX41" s="73"/>
      <c r="LQY41" s="73"/>
      <c r="LQZ41" s="73"/>
      <c r="LRA41" s="73"/>
      <c r="LRB41" s="73"/>
      <c r="LRC41" s="73"/>
      <c r="LRD41" s="73"/>
      <c r="LRE41" s="73"/>
      <c r="LRF41" s="73"/>
      <c r="LRG41" s="73"/>
      <c r="LRH41" s="73"/>
      <c r="LRI41" s="73"/>
      <c r="LRJ41" s="73"/>
      <c r="LRK41" s="73"/>
      <c r="LRL41" s="73"/>
      <c r="LRM41" s="73"/>
      <c r="LRN41" s="73"/>
      <c r="LRO41" s="73"/>
      <c r="LRP41" s="73"/>
      <c r="LRQ41" s="73"/>
      <c r="LRR41" s="73"/>
      <c r="LRS41" s="73"/>
      <c r="LRT41" s="73"/>
      <c r="LRU41" s="73"/>
      <c r="LRV41" s="73"/>
      <c r="LRW41" s="73"/>
      <c r="LRX41" s="73"/>
      <c r="LRY41" s="73"/>
      <c r="LRZ41" s="73"/>
      <c r="LSA41" s="73"/>
      <c r="LSB41" s="73"/>
      <c r="LSC41" s="73"/>
      <c r="LSD41" s="73"/>
      <c r="LSE41" s="73"/>
      <c r="LSF41" s="73"/>
      <c r="LSG41" s="73"/>
      <c r="LSH41" s="73"/>
      <c r="LSI41" s="73"/>
      <c r="LSJ41" s="73"/>
      <c r="LSK41" s="73"/>
      <c r="LSL41" s="73"/>
      <c r="LSM41" s="73"/>
      <c r="LSN41" s="73"/>
      <c r="LSO41" s="73"/>
      <c r="LSP41" s="73"/>
      <c r="LSQ41" s="73"/>
      <c r="LSR41" s="73"/>
      <c r="LSS41" s="73"/>
      <c r="LST41" s="73"/>
      <c r="LSU41" s="73"/>
      <c r="LSV41" s="73"/>
      <c r="LSW41" s="73"/>
      <c r="LSX41" s="73"/>
      <c r="LSY41" s="73"/>
      <c r="LSZ41" s="73"/>
      <c r="LTA41" s="73"/>
      <c r="LTB41" s="73"/>
      <c r="LTC41" s="73"/>
      <c r="LTD41" s="73"/>
      <c r="LTE41" s="73"/>
      <c r="LTF41" s="73"/>
      <c r="LTG41" s="73"/>
      <c r="LTH41" s="73"/>
      <c r="LTI41" s="73"/>
      <c r="LTJ41" s="73"/>
      <c r="LTK41" s="73"/>
      <c r="LTL41" s="73"/>
      <c r="LTM41" s="73"/>
      <c r="LTN41" s="73"/>
      <c r="LTO41" s="73"/>
      <c r="LTP41" s="73"/>
      <c r="LTQ41" s="73"/>
      <c r="LTR41" s="73"/>
      <c r="LTS41" s="73"/>
      <c r="LTT41" s="73"/>
      <c r="LTU41" s="73"/>
      <c r="LTV41" s="73"/>
      <c r="LTW41" s="73"/>
      <c r="LTX41" s="73"/>
      <c r="LTY41" s="73"/>
      <c r="LTZ41" s="73"/>
      <c r="LUA41" s="73"/>
      <c r="LUB41" s="73"/>
      <c r="LUC41" s="73"/>
      <c r="LUD41" s="73"/>
      <c r="LUE41" s="73"/>
      <c r="LUF41" s="73"/>
      <c r="LUG41" s="73"/>
      <c r="LUH41" s="73"/>
      <c r="LUI41" s="73"/>
      <c r="LUJ41" s="73"/>
      <c r="LUK41" s="73"/>
      <c r="LUL41" s="73"/>
      <c r="LUM41" s="73"/>
      <c r="LUN41" s="73"/>
      <c r="LUO41" s="73"/>
      <c r="LUP41" s="73"/>
      <c r="LUQ41" s="73"/>
      <c r="LUR41" s="73"/>
      <c r="LUS41" s="73"/>
      <c r="LUT41" s="73"/>
      <c r="LUU41" s="73"/>
      <c r="LUV41" s="73"/>
      <c r="LUW41" s="73"/>
      <c r="LUX41" s="73"/>
      <c r="LUY41" s="73"/>
      <c r="LUZ41" s="73"/>
      <c r="LVA41" s="73"/>
      <c r="LVB41" s="73"/>
      <c r="LVC41" s="73"/>
      <c r="LVD41" s="73"/>
      <c r="LVE41" s="73"/>
      <c r="LVF41" s="73"/>
      <c r="LVG41" s="73"/>
      <c r="LVH41" s="73"/>
      <c r="LVI41" s="73"/>
      <c r="LVJ41" s="73"/>
      <c r="LVK41" s="73"/>
      <c r="LVL41" s="73"/>
      <c r="LVM41" s="73"/>
      <c r="LVN41" s="73"/>
      <c r="LVO41" s="73"/>
      <c r="LVP41" s="73"/>
      <c r="LVQ41" s="73"/>
      <c r="LVR41" s="73"/>
      <c r="LVS41" s="73"/>
      <c r="LVT41" s="73"/>
      <c r="LVU41" s="73"/>
      <c r="LVV41" s="73"/>
      <c r="LVW41" s="73"/>
      <c r="LVX41" s="73"/>
      <c r="LVY41" s="73"/>
      <c r="LVZ41" s="73"/>
      <c r="LWA41" s="73"/>
      <c r="LWB41" s="73"/>
      <c r="LWC41" s="73"/>
      <c r="LWD41" s="73"/>
      <c r="LWE41" s="73"/>
      <c r="LWF41" s="73"/>
      <c r="LWG41" s="73"/>
      <c r="LWH41" s="73"/>
      <c r="LWI41" s="73"/>
      <c r="LWJ41" s="73"/>
      <c r="LWK41" s="73"/>
      <c r="LWL41" s="73"/>
      <c r="LWM41" s="73"/>
      <c r="LWN41" s="73"/>
      <c r="LWO41" s="73"/>
      <c r="LWP41" s="73"/>
      <c r="LWQ41" s="73"/>
      <c r="LWR41" s="73"/>
      <c r="LWS41" s="73"/>
      <c r="LWT41" s="73"/>
      <c r="LWU41" s="73"/>
      <c r="LWV41" s="73"/>
      <c r="LWW41" s="73"/>
      <c r="LWX41" s="73"/>
      <c r="LWY41" s="73"/>
      <c r="LWZ41" s="73"/>
      <c r="LXA41" s="73"/>
      <c r="LXB41" s="73"/>
      <c r="LXC41" s="73"/>
      <c r="LXD41" s="73"/>
      <c r="LXE41" s="73"/>
      <c r="LXF41" s="73"/>
      <c r="LXG41" s="73"/>
      <c r="LXH41" s="73"/>
      <c r="LXI41" s="73"/>
      <c r="LXJ41" s="73"/>
      <c r="LXK41" s="73"/>
      <c r="LXL41" s="73"/>
      <c r="LXM41" s="73"/>
      <c r="LXN41" s="73"/>
      <c r="LXO41" s="73"/>
      <c r="LXP41" s="73"/>
      <c r="LXQ41" s="73"/>
      <c r="LXR41" s="73"/>
      <c r="LXS41" s="73"/>
      <c r="LXT41" s="73"/>
      <c r="LXU41" s="73"/>
      <c r="LXV41" s="73"/>
      <c r="LXW41" s="73"/>
      <c r="LXX41" s="73"/>
      <c r="LXY41" s="73"/>
      <c r="LXZ41" s="73"/>
      <c r="LYA41" s="73"/>
      <c r="LYB41" s="73"/>
      <c r="LYC41" s="73"/>
      <c r="LYD41" s="73"/>
      <c r="LYE41" s="73"/>
      <c r="LYF41" s="73"/>
      <c r="LYG41" s="73"/>
      <c r="LYH41" s="73"/>
      <c r="LYI41" s="73"/>
      <c r="LYJ41" s="73"/>
      <c r="LYK41" s="73"/>
      <c r="LYL41" s="73"/>
      <c r="LYM41" s="73"/>
      <c r="LYN41" s="73"/>
      <c r="LYO41" s="73"/>
      <c r="LYP41" s="73"/>
      <c r="LYQ41" s="73"/>
      <c r="LYR41" s="73"/>
      <c r="LYS41" s="73"/>
      <c r="LYT41" s="73"/>
      <c r="LYU41" s="73"/>
      <c r="LYV41" s="73"/>
      <c r="LYW41" s="73"/>
      <c r="LYX41" s="73"/>
      <c r="LYY41" s="73"/>
      <c r="LYZ41" s="73"/>
      <c r="LZA41" s="73"/>
      <c r="LZB41" s="73"/>
      <c r="LZC41" s="73"/>
      <c r="LZD41" s="73"/>
      <c r="LZE41" s="73"/>
      <c r="LZF41" s="73"/>
      <c r="LZG41" s="73"/>
      <c r="LZH41" s="73"/>
      <c r="LZI41" s="73"/>
      <c r="LZJ41" s="73"/>
      <c r="LZK41" s="73"/>
      <c r="LZL41" s="73"/>
      <c r="LZM41" s="73"/>
      <c r="LZN41" s="73"/>
      <c r="LZO41" s="73"/>
      <c r="LZP41" s="73"/>
      <c r="LZQ41" s="73"/>
      <c r="LZR41" s="73"/>
      <c r="LZS41" s="73"/>
      <c r="LZT41" s="73"/>
      <c r="LZU41" s="73"/>
      <c r="LZV41" s="73"/>
      <c r="LZW41" s="73"/>
      <c r="LZX41" s="73"/>
      <c r="LZY41" s="73"/>
      <c r="LZZ41" s="73"/>
      <c r="MAA41" s="73"/>
      <c r="MAB41" s="73"/>
      <c r="MAC41" s="73"/>
      <c r="MAD41" s="73"/>
      <c r="MAE41" s="73"/>
      <c r="MAF41" s="73"/>
      <c r="MAG41" s="73"/>
      <c r="MAH41" s="73"/>
      <c r="MAI41" s="73"/>
      <c r="MAJ41" s="73"/>
      <c r="MAK41" s="73"/>
      <c r="MAL41" s="73"/>
      <c r="MAM41" s="73"/>
      <c r="MAN41" s="73"/>
      <c r="MAO41" s="73"/>
      <c r="MAP41" s="73"/>
      <c r="MAQ41" s="73"/>
      <c r="MAR41" s="73"/>
      <c r="MAS41" s="73"/>
      <c r="MAT41" s="73"/>
      <c r="MAU41" s="73"/>
      <c r="MAV41" s="73"/>
      <c r="MAW41" s="73"/>
      <c r="MAX41" s="73"/>
      <c r="MAY41" s="73"/>
      <c r="MAZ41" s="73"/>
      <c r="MBA41" s="73"/>
      <c r="MBB41" s="73"/>
      <c r="MBC41" s="73"/>
      <c r="MBD41" s="73"/>
      <c r="MBE41" s="73"/>
      <c r="MBF41" s="73"/>
      <c r="MBG41" s="73"/>
      <c r="MBH41" s="73"/>
      <c r="MBI41" s="73"/>
      <c r="MBJ41" s="73"/>
      <c r="MBK41" s="73"/>
      <c r="MBL41" s="73"/>
      <c r="MBM41" s="73"/>
      <c r="MBN41" s="73"/>
      <c r="MBO41" s="73"/>
      <c r="MBP41" s="73"/>
      <c r="MBQ41" s="73"/>
      <c r="MBR41" s="73"/>
      <c r="MBS41" s="73"/>
      <c r="MBT41" s="73"/>
      <c r="MBU41" s="73"/>
      <c r="MBV41" s="73"/>
      <c r="MBW41" s="73"/>
      <c r="MBX41" s="73"/>
      <c r="MBY41" s="73"/>
      <c r="MBZ41" s="73"/>
      <c r="MCA41" s="73"/>
      <c r="MCB41" s="73"/>
      <c r="MCC41" s="73"/>
      <c r="MCD41" s="73"/>
      <c r="MCE41" s="73"/>
      <c r="MCF41" s="73"/>
      <c r="MCG41" s="73"/>
      <c r="MCH41" s="73"/>
      <c r="MCI41" s="73"/>
      <c r="MCJ41" s="73"/>
      <c r="MCK41" s="73"/>
      <c r="MCL41" s="73"/>
      <c r="MCM41" s="73"/>
      <c r="MCN41" s="73"/>
      <c r="MCO41" s="73"/>
      <c r="MCP41" s="73"/>
      <c r="MCQ41" s="73"/>
      <c r="MCR41" s="73"/>
      <c r="MCS41" s="73"/>
      <c r="MCT41" s="73"/>
      <c r="MCU41" s="73"/>
      <c r="MCV41" s="73"/>
      <c r="MCW41" s="73"/>
      <c r="MCX41" s="73"/>
      <c r="MCY41" s="73"/>
      <c r="MCZ41" s="73"/>
      <c r="MDA41" s="73"/>
      <c r="MDB41" s="73"/>
      <c r="MDC41" s="73"/>
      <c r="MDD41" s="73"/>
      <c r="MDE41" s="73"/>
      <c r="MDF41" s="73"/>
      <c r="MDG41" s="73"/>
      <c r="MDH41" s="73"/>
      <c r="MDI41" s="73"/>
      <c r="MDJ41" s="73"/>
      <c r="MDK41" s="73"/>
      <c r="MDL41" s="73"/>
      <c r="MDM41" s="73"/>
      <c r="MDN41" s="73"/>
      <c r="MDO41" s="73"/>
      <c r="MDP41" s="73"/>
      <c r="MDQ41" s="73"/>
      <c r="MDR41" s="73"/>
      <c r="MDS41" s="73"/>
      <c r="MDT41" s="73"/>
      <c r="MDU41" s="73"/>
      <c r="MDV41" s="73"/>
      <c r="MDW41" s="73"/>
      <c r="MDX41" s="73"/>
      <c r="MDY41" s="73"/>
      <c r="MDZ41" s="73"/>
      <c r="MEA41" s="73"/>
      <c r="MEB41" s="73"/>
      <c r="MEC41" s="73"/>
      <c r="MED41" s="73"/>
      <c r="MEE41" s="73"/>
      <c r="MEF41" s="73"/>
      <c r="MEG41" s="73"/>
      <c r="MEH41" s="73"/>
      <c r="MEI41" s="73"/>
      <c r="MEJ41" s="73"/>
      <c r="MEK41" s="73"/>
      <c r="MEL41" s="73"/>
      <c r="MEM41" s="73"/>
      <c r="MEN41" s="73"/>
      <c r="MEO41" s="73"/>
      <c r="MEP41" s="73"/>
      <c r="MEQ41" s="73"/>
      <c r="MER41" s="73"/>
      <c r="MES41" s="73"/>
      <c r="MET41" s="73"/>
      <c r="MEU41" s="73"/>
      <c r="MEV41" s="73"/>
      <c r="MEW41" s="73"/>
      <c r="MEX41" s="73"/>
      <c r="MEY41" s="73"/>
      <c r="MEZ41" s="73"/>
      <c r="MFA41" s="73"/>
      <c r="MFB41" s="73"/>
      <c r="MFC41" s="73"/>
      <c r="MFD41" s="73"/>
      <c r="MFE41" s="73"/>
      <c r="MFF41" s="73"/>
      <c r="MFG41" s="73"/>
      <c r="MFH41" s="73"/>
      <c r="MFI41" s="73"/>
      <c r="MFJ41" s="73"/>
      <c r="MFK41" s="73"/>
      <c r="MFL41" s="73"/>
      <c r="MFM41" s="73"/>
      <c r="MFN41" s="73"/>
      <c r="MFO41" s="73"/>
      <c r="MFP41" s="73"/>
      <c r="MFQ41" s="73"/>
      <c r="MFR41" s="73"/>
      <c r="MFS41" s="73"/>
      <c r="MFT41" s="73"/>
      <c r="MFU41" s="73"/>
      <c r="MFV41" s="73"/>
      <c r="MFW41" s="73"/>
      <c r="MFX41" s="73"/>
      <c r="MFY41" s="73"/>
      <c r="MFZ41" s="73"/>
      <c r="MGA41" s="73"/>
      <c r="MGB41" s="73"/>
      <c r="MGC41" s="73"/>
      <c r="MGD41" s="73"/>
      <c r="MGE41" s="73"/>
      <c r="MGF41" s="73"/>
      <c r="MGG41" s="73"/>
      <c r="MGH41" s="73"/>
      <c r="MGI41" s="73"/>
      <c r="MGJ41" s="73"/>
      <c r="MGK41" s="73"/>
      <c r="MGL41" s="73"/>
      <c r="MGM41" s="73"/>
      <c r="MGN41" s="73"/>
      <c r="MGO41" s="73"/>
      <c r="MGP41" s="73"/>
      <c r="MGQ41" s="73"/>
      <c r="MGR41" s="73"/>
      <c r="MGS41" s="73"/>
      <c r="MGT41" s="73"/>
      <c r="MGU41" s="73"/>
      <c r="MGV41" s="73"/>
      <c r="MGW41" s="73"/>
      <c r="MGX41" s="73"/>
      <c r="MGY41" s="73"/>
      <c r="MGZ41" s="73"/>
      <c r="MHA41" s="73"/>
      <c r="MHB41" s="73"/>
      <c r="MHC41" s="73"/>
      <c r="MHD41" s="73"/>
      <c r="MHE41" s="73"/>
      <c r="MHF41" s="73"/>
      <c r="MHG41" s="73"/>
      <c r="MHH41" s="73"/>
      <c r="MHI41" s="73"/>
      <c r="MHJ41" s="73"/>
      <c r="MHK41" s="73"/>
      <c r="MHL41" s="73"/>
      <c r="MHM41" s="73"/>
      <c r="MHN41" s="73"/>
      <c r="MHO41" s="73"/>
      <c r="MHP41" s="73"/>
      <c r="MHQ41" s="73"/>
      <c r="MHR41" s="73"/>
      <c r="MHS41" s="73"/>
      <c r="MHT41" s="73"/>
      <c r="MHU41" s="73"/>
      <c r="MHV41" s="73"/>
      <c r="MHW41" s="73"/>
      <c r="MHX41" s="73"/>
      <c r="MHY41" s="73"/>
      <c r="MHZ41" s="73"/>
      <c r="MIA41" s="73"/>
      <c r="MIB41" s="73"/>
      <c r="MIC41" s="73"/>
      <c r="MID41" s="73"/>
      <c r="MIE41" s="73"/>
      <c r="MIF41" s="73"/>
      <c r="MIG41" s="73"/>
      <c r="MIH41" s="73"/>
      <c r="MII41" s="73"/>
      <c r="MIJ41" s="73"/>
      <c r="MIK41" s="73"/>
      <c r="MIL41" s="73"/>
      <c r="MIM41" s="73"/>
      <c r="MIN41" s="73"/>
      <c r="MIO41" s="73"/>
      <c r="MIP41" s="73"/>
      <c r="MIQ41" s="73"/>
      <c r="MIR41" s="73"/>
      <c r="MIS41" s="73"/>
      <c r="MIT41" s="73"/>
      <c r="MIU41" s="73"/>
      <c r="MIV41" s="73"/>
      <c r="MIW41" s="73"/>
      <c r="MIX41" s="73"/>
      <c r="MIY41" s="73"/>
      <c r="MIZ41" s="73"/>
      <c r="MJA41" s="73"/>
      <c r="MJB41" s="73"/>
      <c r="MJC41" s="73"/>
      <c r="MJD41" s="73"/>
      <c r="MJE41" s="73"/>
      <c r="MJF41" s="73"/>
      <c r="MJG41" s="73"/>
      <c r="MJH41" s="73"/>
      <c r="MJI41" s="73"/>
      <c r="MJJ41" s="73"/>
      <c r="MJK41" s="73"/>
      <c r="MJL41" s="73"/>
      <c r="MJM41" s="73"/>
      <c r="MJN41" s="73"/>
      <c r="MJO41" s="73"/>
      <c r="MJP41" s="73"/>
      <c r="MJQ41" s="73"/>
      <c r="MJR41" s="73"/>
      <c r="MJS41" s="73"/>
      <c r="MJT41" s="73"/>
      <c r="MJU41" s="73"/>
      <c r="MJV41" s="73"/>
      <c r="MJW41" s="73"/>
      <c r="MJX41" s="73"/>
      <c r="MJY41" s="73"/>
      <c r="MJZ41" s="73"/>
      <c r="MKA41" s="73"/>
      <c r="MKB41" s="73"/>
      <c r="MKC41" s="73"/>
      <c r="MKD41" s="73"/>
      <c r="MKE41" s="73"/>
      <c r="MKF41" s="73"/>
      <c r="MKG41" s="73"/>
      <c r="MKH41" s="73"/>
      <c r="MKI41" s="73"/>
      <c r="MKJ41" s="73"/>
      <c r="MKK41" s="73"/>
      <c r="MKL41" s="73"/>
      <c r="MKM41" s="73"/>
      <c r="MKN41" s="73"/>
      <c r="MKO41" s="73"/>
      <c r="MKP41" s="73"/>
      <c r="MKQ41" s="73"/>
      <c r="MKR41" s="73"/>
      <c r="MKS41" s="73"/>
      <c r="MKT41" s="73"/>
      <c r="MKU41" s="73"/>
      <c r="MKV41" s="73"/>
      <c r="MKW41" s="73"/>
      <c r="MKX41" s="73"/>
      <c r="MKY41" s="73"/>
      <c r="MKZ41" s="73"/>
      <c r="MLA41" s="73"/>
      <c r="MLB41" s="73"/>
      <c r="MLC41" s="73"/>
      <c r="MLD41" s="73"/>
      <c r="MLE41" s="73"/>
      <c r="MLF41" s="73"/>
      <c r="MLG41" s="73"/>
      <c r="MLH41" s="73"/>
      <c r="MLI41" s="73"/>
      <c r="MLJ41" s="73"/>
      <c r="MLK41" s="73"/>
      <c r="MLL41" s="73"/>
      <c r="MLM41" s="73"/>
      <c r="MLN41" s="73"/>
      <c r="MLO41" s="73"/>
      <c r="MLP41" s="73"/>
      <c r="MLQ41" s="73"/>
      <c r="MLR41" s="73"/>
      <c r="MLS41" s="73"/>
      <c r="MLT41" s="73"/>
      <c r="MLU41" s="73"/>
      <c r="MLV41" s="73"/>
      <c r="MLW41" s="73"/>
      <c r="MLX41" s="73"/>
      <c r="MLY41" s="73"/>
      <c r="MLZ41" s="73"/>
      <c r="MMA41" s="73"/>
      <c r="MMB41" s="73"/>
      <c r="MMC41" s="73"/>
      <c r="MMD41" s="73"/>
      <c r="MME41" s="73"/>
      <c r="MMF41" s="73"/>
      <c r="MMG41" s="73"/>
      <c r="MMH41" s="73"/>
      <c r="MMI41" s="73"/>
      <c r="MMJ41" s="73"/>
      <c r="MMK41" s="73"/>
      <c r="MML41" s="73"/>
      <c r="MMM41" s="73"/>
      <c r="MMN41" s="73"/>
      <c r="MMO41" s="73"/>
      <c r="MMP41" s="73"/>
      <c r="MMQ41" s="73"/>
      <c r="MMR41" s="73"/>
      <c r="MMS41" s="73"/>
      <c r="MMT41" s="73"/>
      <c r="MMU41" s="73"/>
      <c r="MMV41" s="73"/>
      <c r="MMW41" s="73"/>
      <c r="MMX41" s="73"/>
      <c r="MMY41" s="73"/>
      <c r="MMZ41" s="73"/>
      <c r="MNA41" s="73"/>
      <c r="MNB41" s="73"/>
      <c r="MNC41" s="73"/>
      <c r="MND41" s="73"/>
      <c r="MNE41" s="73"/>
      <c r="MNF41" s="73"/>
      <c r="MNG41" s="73"/>
      <c r="MNH41" s="73"/>
      <c r="MNI41" s="73"/>
      <c r="MNJ41" s="73"/>
      <c r="MNK41" s="73"/>
      <c r="MNL41" s="73"/>
      <c r="MNM41" s="73"/>
      <c r="MNN41" s="73"/>
      <c r="MNO41" s="73"/>
      <c r="MNP41" s="73"/>
      <c r="MNQ41" s="73"/>
      <c r="MNR41" s="73"/>
      <c r="MNS41" s="73"/>
      <c r="MNT41" s="73"/>
      <c r="MNU41" s="73"/>
      <c r="MNV41" s="73"/>
      <c r="MNW41" s="73"/>
      <c r="MNX41" s="73"/>
      <c r="MNY41" s="73"/>
      <c r="MNZ41" s="73"/>
      <c r="MOA41" s="73"/>
      <c r="MOB41" s="73"/>
      <c r="MOC41" s="73"/>
      <c r="MOD41" s="73"/>
      <c r="MOE41" s="73"/>
      <c r="MOF41" s="73"/>
      <c r="MOG41" s="73"/>
      <c r="MOH41" s="73"/>
      <c r="MOI41" s="73"/>
      <c r="MOJ41" s="73"/>
      <c r="MOK41" s="73"/>
      <c r="MOL41" s="73"/>
      <c r="MOM41" s="73"/>
      <c r="MON41" s="73"/>
      <c r="MOO41" s="73"/>
      <c r="MOP41" s="73"/>
      <c r="MOQ41" s="73"/>
      <c r="MOR41" s="73"/>
      <c r="MOS41" s="73"/>
      <c r="MOT41" s="73"/>
      <c r="MOU41" s="73"/>
      <c r="MOV41" s="73"/>
      <c r="MOW41" s="73"/>
      <c r="MOX41" s="73"/>
      <c r="MOY41" s="73"/>
      <c r="MOZ41" s="73"/>
      <c r="MPA41" s="73"/>
      <c r="MPB41" s="73"/>
      <c r="MPC41" s="73"/>
      <c r="MPD41" s="73"/>
      <c r="MPE41" s="73"/>
      <c r="MPF41" s="73"/>
      <c r="MPG41" s="73"/>
      <c r="MPH41" s="73"/>
      <c r="MPI41" s="73"/>
      <c r="MPJ41" s="73"/>
      <c r="MPK41" s="73"/>
      <c r="MPL41" s="73"/>
      <c r="MPM41" s="73"/>
      <c r="MPN41" s="73"/>
      <c r="MPO41" s="73"/>
      <c r="MPP41" s="73"/>
      <c r="MPQ41" s="73"/>
      <c r="MPR41" s="73"/>
      <c r="MPS41" s="73"/>
      <c r="MPT41" s="73"/>
      <c r="MPU41" s="73"/>
      <c r="MPV41" s="73"/>
      <c r="MPW41" s="73"/>
      <c r="MPX41" s="73"/>
      <c r="MPY41" s="73"/>
      <c r="MPZ41" s="73"/>
      <c r="MQA41" s="73"/>
      <c r="MQB41" s="73"/>
      <c r="MQC41" s="73"/>
      <c r="MQD41" s="73"/>
      <c r="MQE41" s="73"/>
      <c r="MQF41" s="73"/>
      <c r="MQG41" s="73"/>
      <c r="MQH41" s="73"/>
      <c r="MQI41" s="73"/>
      <c r="MQJ41" s="73"/>
      <c r="MQK41" s="73"/>
      <c r="MQL41" s="73"/>
      <c r="MQM41" s="73"/>
      <c r="MQN41" s="73"/>
      <c r="MQO41" s="73"/>
      <c r="MQP41" s="73"/>
      <c r="MQQ41" s="73"/>
      <c r="MQR41" s="73"/>
      <c r="MQS41" s="73"/>
      <c r="MQT41" s="73"/>
      <c r="MQU41" s="73"/>
      <c r="MQV41" s="73"/>
      <c r="MQW41" s="73"/>
      <c r="MQX41" s="73"/>
      <c r="MQY41" s="73"/>
      <c r="MQZ41" s="73"/>
      <c r="MRA41" s="73"/>
      <c r="MRB41" s="73"/>
      <c r="MRC41" s="73"/>
      <c r="MRD41" s="73"/>
      <c r="MRE41" s="73"/>
      <c r="MRF41" s="73"/>
      <c r="MRG41" s="73"/>
      <c r="MRH41" s="73"/>
      <c r="MRI41" s="73"/>
      <c r="MRJ41" s="73"/>
      <c r="MRK41" s="73"/>
      <c r="MRL41" s="73"/>
      <c r="MRM41" s="73"/>
      <c r="MRN41" s="73"/>
      <c r="MRO41" s="73"/>
      <c r="MRP41" s="73"/>
      <c r="MRQ41" s="73"/>
      <c r="MRR41" s="73"/>
      <c r="MRS41" s="73"/>
      <c r="MRT41" s="73"/>
      <c r="MRU41" s="73"/>
      <c r="MRV41" s="73"/>
      <c r="MRW41" s="73"/>
      <c r="MRX41" s="73"/>
      <c r="MRY41" s="73"/>
      <c r="MRZ41" s="73"/>
      <c r="MSA41" s="73"/>
      <c r="MSB41" s="73"/>
      <c r="MSC41" s="73"/>
      <c r="MSD41" s="73"/>
      <c r="MSE41" s="73"/>
      <c r="MSF41" s="73"/>
      <c r="MSG41" s="73"/>
      <c r="MSH41" s="73"/>
      <c r="MSI41" s="73"/>
      <c r="MSJ41" s="73"/>
      <c r="MSK41" s="73"/>
      <c r="MSL41" s="73"/>
      <c r="MSM41" s="73"/>
      <c r="MSN41" s="73"/>
      <c r="MSO41" s="73"/>
      <c r="MSP41" s="73"/>
      <c r="MSQ41" s="73"/>
      <c r="MSR41" s="73"/>
      <c r="MSS41" s="73"/>
      <c r="MST41" s="73"/>
      <c r="MSU41" s="73"/>
      <c r="MSV41" s="73"/>
      <c r="MSW41" s="73"/>
      <c r="MSX41" s="73"/>
      <c r="MSY41" s="73"/>
      <c r="MSZ41" s="73"/>
      <c r="MTA41" s="73"/>
      <c r="MTB41" s="73"/>
      <c r="MTC41" s="73"/>
      <c r="MTD41" s="73"/>
      <c r="MTE41" s="73"/>
      <c r="MTF41" s="73"/>
      <c r="MTG41" s="73"/>
      <c r="MTH41" s="73"/>
      <c r="MTI41" s="73"/>
      <c r="MTJ41" s="73"/>
      <c r="MTK41" s="73"/>
      <c r="MTL41" s="73"/>
      <c r="MTM41" s="73"/>
      <c r="MTN41" s="73"/>
      <c r="MTO41" s="73"/>
      <c r="MTP41" s="73"/>
      <c r="MTQ41" s="73"/>
      <c r="MTR41" s="73"/>
      <c r="MTS41" s="73"/>
      <c r="MTT41" s="73"/>
      <c r="MTU41" s="73"/>
      <c r="MTV41" s="73"/>
      <c r="MTW41" s="73"/>
      <c r="MTX41" s="73"/>
      <c r="MTY41" s="73"/>
      <c r="MTZ41" s="73"/>
      <c r="MUA41" s="73"/>
      <c r="MUB41" s="73"/>
      <c r="MUC41" s="73"/>
      <c r="MUD41" s="73"/>
      <c r="MUE41" s="73"/>
      <c r="MUF41" s="73"/>
      <c r="MUG41" s="73"/>
      <c r="MUH41" s="73"/>
      <c r="MUI41" s="73"/>
      <c r="MUJ41" s="73"/>
      <c r="MUK41" s="73"/>
      <c r="MUL41" s="73"/>
      <c r="MUM41" s="73"/>
      <c r="MUN41" s="73"/>
      <c r="MUO41" s="73"/>
      <c r="MUP41" s="73"/>
      <c r="MUQ41" s="73"/>
      <c r="MUR41" s="73"/>
      <c r="MUS41" s="73"/>
      <c r="MUT41" s="73"/>
      <c r="MUU41" s="73"/>
      <c r="MUV41" s="73"/>
      <c r="MUW41" s="73"/>
      <c r="MUX41" s="73"/>
      <c r="MUY41" s="73"/>
      <c r="MUZ41" s="73"/>
      <c r="MVA41" s="73"/>
      <c r="MVB41" s="73"/>
      <c r="MVC41" s="73"/>
      <c r="MVD41" s="73"/>
      <c r="MVE41" s="73"/>
      <c r="MVF41" s="73"/>
      <c r="MVG41" s="73"/>
      <c r="MVH41" s="73"/>
      <c r="MVI41" s="73"/>
      <c r="MVJ41" s="73"/>
      <c r="MVK41" s="73"/>
      <c r="MVL41" s="73"/>
      <c r="MVM41" s="73"/>
      <c r="MVN41" s="73"/>
      <c r="MVO41" s="73"/>
      <c r="MVP41" s="73"/>
      <c r="MVQ41" s="73"/>
      <c r="MVR41" s="73"/>
      <c r="MVS41" s="73"/>
      <c r="MVT41" s="73"/>
      <c r="MVU41" s="73"/>
      <c r="MVV41" s="73"/>
      <c r="MVW41" s="73"/>
      <c r="MVX41" s="73"/>
      <c r="MVY41" s="73"/>
      <c r="MVZ41" s="73"/>
      <c r="MWA41" s="73"/>
      <c r="MWB41" s="73"/>
      <c r="MWC41" s="73"/>
      <c r="MWD41" s="73"/>
      <c r="MWE41" s="73"/>
      <c r="MWF41" s="73"/>
      <c r="MWG41" s="73"/>
      <c r="MWH41" s="73"/>
      <c r="MWI41" s="73"/>
      <c r="MWJ41" s="73"/>
      <c r="MWK41" s="73"/>
      <c r="MWL41" s="73"/>
      <c r="MWM41" s="73"/>
      <c r="MWN41" s="73"/>
      <c r="MWO41" s="73"/>
      <c r="MWP41" s="73"/>
      <c r="MWQ41" s="73"/>
      <c r="MWR41" s="73"/>
      <c r="MWS41" s="73"/>
      <c r="MWT41" s="73"/>
      <c r="MWU41" s="73"/>
      <c r="MWV41" s="73"/>
      <c r="MWW41" s="73"/>
      <c r="MWX41" s="73"/>
      <c r="MWY41" s="73"/>
      <c r="MWZ41" s="73"/>
      <c r="MXA41" s="73"/>
      <c r="MXB41" s="73"/>
      <c r="MXC41" s="73"/>
      <c r="MXD41" s="73"/>
      <c r="MXE41" s="73"/>
      <c r="MXF41" s="73"/>
      <c r="MXG41" s="73"/>
      <c r="MXH41" s="73"/>
      <c r="MXI41" s="73"/>
      <c r="MXJ41" s="73"/>
      <c r="MXK41" s="73"/>
      <c r="MXL41" s="73"/>
      <c r="MXM41" s="73"/>
      <c r="MXN41" s="73"/>
      <c r="MXO41" s="73"/>
      <c r="MXP41" s="73"/>
      <c r="MXQ41" s="73"/>
      <c r="MXR41" s="73"/>
      <c r="MXS41" s="73"/>
      <c r="MXT41" s="73"/>
      <c r="MXU41" s="73"/>
      <c r="MXV41" s="73"/>
      <c r="MXW41" s="73"/>
      <c r="MXX41" s="73"/>
      <c r="MXY41" s="73"/>
      <c r="MXZ41" s="73"/>
      <c r="MYA41" s="73"/>
      <c r="MYB41" s="73"/>
      <c r="MYC41" s="73"/>
      <c r="MYD41" s="73"/>
      <c r="MYE41" s="73"/>
      <c r="MYF41" s="73"/>
      <c r="MYG41" s="73"/>
      <c r="MYH41" s="73"/>
      <c r="MYI41" s="73"/>
      <c r="MYJ41" s="73"/>
      <c r="MYK41" s="73"/>
      <c r="MYL41" s="73"/>
      <c r="MYM41" s="73"/>
      <c r="MYN41" s="73"/>
      <c r="MYO41" s="73"/>
      <c r="MYP41" s="73"/>
      <c r="MYQ41" s="73"/>
      <c r="MYR41" s="73"/>
      <c r="MYS41" s="73"/>
      <c r="MYT41" s="73"/>
      <c r="MYU41" s="73"/>
      <c r="MYV41" s="73"/>
      <c r="MYW41" s="73"/>
      <c r="MYX41" s="73"/>
      <c r="MYY41" s="73"/>
      <c r="MYZ41" s="73"/>
      <c r="MZA41" s="73"/>
      <c r="MZB41" s="73"/>
      <c r="MZC41" s="73"/>
      <c r="MZD41" s="73"/>
      <c r="MZE41" s="73"/>
      <c r="MZF41" s="73"/>
      <c r="MZG41" s="73"/>
      <c r="MZH41" s="73"/>
      <c r="MZI41" s="73"/>
      <c r="MZJ41" s="73"/>
      <c r="MZK41" s="73"/>
      <c r="MZL41" s="73"/>
      <c r="MZM41" s="73"/>
      <c r="MZN41" s="73"/>
      <c r="MZO41" s="73"/>
      <c r="MZP41" s="73"/>
      <c r="MZQ41" s="73"/>
      <c r="MZR41" s="73"/>
      <c r="MZS41" s="73"/>
      <c r="MZT41" s="73"/>
      <c r="MZU41" s="73"/>
      <c r="MZV41" s="73"/>
      <c r="MZW41" s="73"/>
      <c r="MZX41" s="73"/>
      <c r="MZY41" s="73"/>
      <c r="MZZ41" s="73"/>
      <c r="NAA41" s="73"/>
      <c r="NAB41" s="73"/>
      <c r="NAC41" s="73"/>
      <c r="NAD41" s="73"/>
      <c r="NAE41" s="73"/>
      <c r="NAF41" s="73"/>
      <c r="NAG41" s="73"/>
      <c r="NAH41" s="73"/>
      <c r="NAI41" s="73"/>
      <c r="NAJ41" s="73"/>
      <c r="NAK41" s="73"/>
      <c r="NAL41" s="73"/>
      <c r="NAM41" s="73"/>
      <c r="NAN41" s="73"/>
      <c r="NAO41" s="73"/>
      <c r="NAP41" s="73"/>
      <c r="NAQ41" s="73"/>
      <c r="NAR41" s="73"/>
      <c r="NAS41" s="73"/>
      <c r="NAT41" s="73"/>
      <c r="NAU41" s="73"/>
      <c r="NAV41" s="73"/>
      <c r="NAW41" s="73"/>
      <c r="NAX41" s="73"/>
      <c r="NAY41" s="73"/>
      <c r="NAZ41" s="73"/>
      <c r="NBA41" s="73"/>
      <c r="NBB41" s="73"/>
      <c r="NBC41" s="73"/>
      <c r="NBD41" s="73"/>
      <c r="NBE41" s="73"/>
      <c r="NBF41" s="73"/>
      <c r="NBG41" s="73"/>
      <c r="NBH41" s="73"/>
      <c r="NBI41" s="73"/>
      <c r="NBJ41" s="73"/>
      <c r="NBK41" s="73"/>
      <c r="NBL41" s="73"/>
      <c r="NBM41" s="73"/>
      <c r="NBN41" s="73"/>
      <c r="NBO41" s="73"/>
      <c r="NBP41" s="73"/>
      <c r="NBQ41" s="73"/>
      <c r="NBR41" s="73"/>
      <c r="NBS41" s="73"/>
      <c r="NBT41" s="73"/>
      <c r="NBU41" s="73"/>
      <c r="NBV41" s="73"/>
      <c r="NBW41" s="73"/>
      <c r="NBX41" s="73"/>
      <c r="NBY41" s="73"/>
      <c r="NBZ41" s="73"/>
      <c r="NCA41" s="73"/>
      <c r="NCB41" s="73"/>
      <c r="NCC41" s="73"/>
      <c r="NCD41" s="73"/>
      <c r="NCE41" s="73"/>
      <c r="NCF41" s="73"/>
      <c r="NCG41" s="73"/>
      <c r="NCH41" s="73"/>
      <c r="NCI41" s="73"/>
      <c r="NCJ41" s="73"/>
      <c r="NCK41" s="73"/>
      <c r="NCL41" s="73"/>
      <c r="NCM41" s="73"/>
      <c r="NCN41" s="73"/>
      <c r="NCO41" s="73"/>
      <c r="NCP41" s="73"/>
      <c r="NCQ41" s="73"/>
      <c r="NCR41" s="73"/>
      <c r="NCS41" s="73"/>
      <c r="NCT41" s="73"/>
      <c r="NCU41" s="73"/>
      <c r="NCV41" s="73"/>
      <c r="NCW41" s="73"/>
      <c r="NCX41" s="73"/>
      <c r="NCY41" s="73"/>
      <c r="NCZ41" s="73"/>
      <c r="NDA41" s="73"/>
      <c r="NDB41" s="73"/>
      <c r="NDC41" s="73"/>
      <c r="NDD41" s="73"/>
      <c r="NDE41" s="73"/>
      <c r="NDF41" s="73"/>
      <c r="NDG41" s="73"/>
      <c r="NDH41" s="73"/>
      <c r="NDI41" s="73"/>
      <c r="NDJ41" s="73"/>
      <c r="NDK41" s="73"/>
      <c r="NDL41" s="73"/>
      <c r="NDM41" s="73"/>
      <c r="NDN41" s="73"/>
      <c r="NDO41" s="73"/>
      <c r="NDP41" s="73"/>
      <c r="NDQ41" s="73"/>
      <c r="NDR41" s="73"/>
      <c r="NDS41" s="73"/>
      <c r="NDT41" s="73"/>
      <c r="NDU41" s="73"/>
      <c r="NDV41" s="73"/>
      <c r="NDW41" s="73"/>
      <c r="NDX41" s="73"/>
      <c r="NDY41" s="73"/>
      <c r="NDZ41" s="73"/>
      <c r="NEA41" s="73"/>
      <c r="NEB41" s="73"/>
      <c r="NEC41" s="73"/>
      <c r="NED41" s="73"/>
      <c r="NEE41" s="73"/>
      <c r="NEF41" s="73"/>
      <c r="NEG41" s="73"/>
      <c r="NEH41" s="73"/>
      <c r="NEI41" s="73"/>
      <c r="NEJ41" s="73"/>
      <c r="NEK41" s="73"/>
      <c r="NEL41" s="73"/>
      <c r="NEM41" s="73"/>
      <c r="NEN41" s="73"/>
      <c r="NEO41" s="73"/>
      <c r="NEP41" s="73"/>
      <c r="NEQ41" s="73"/>
      <c r="NER41" s="73"/>
      <c r="NES41" s="73"/>
      <c r="NET41" s="73"/>
      <c r="NEU41" s="73"/>
      <c r="NEV41" s="73"/>
      <c r="NEW41" s="73"/>
      <c r="NEX41" s="73"/>
      <c r="NEY41" s="73"/>
      <c r="NEZ41" s="73"/>
      <c r="NFA41" s="73"/>
      <c r="NFB41" s="73"/>
      <c r="NFC41" s="73"/>
      <c r="NFD41" s="73"/>
      <c r="NFE41" s="73"/>
      <c r="NFF41" s="73"/>
      <c r="NFG41" s="73"/>
      <c r="NFH41" s="73"/>
      <c r="NFI41" s="73"/>
      <c r="NFJ41" s="73"/>
      <c r="NFK41" s="73"/>
      <c r="NFL41" s="73"/>
      <c r="NFM41" s="73"/>
      <c r="NFN41" s="73"/>
      <c r="NFO41" s="73"/>
      <c r="NFP41" s="73"/>
      <c r="NFQ41" s="73"/>
      <c r="NFR41" s="73"/>
      <c r="NFS41" s="73"/>
      <c r="NFT41" s="73"/>
      <c r="NFU41" s="73"/>
      <c r="NFV41" s="73"/>
      <c r="NFW41" s="73"/>
      <c r="NFX41" s="73"/>
      <c r="NFY41" s="73"/>
      <c r="NFZ41" s="73"/>
      <c r="NGA41" s="73"/>
      <c r="NGB41" s="73"/>
      <c r="NGC41" s="73"/>
      <c r="NGD41" s="73"/>
      <c r="NGE41" s="73"/>
      <c r="NGF41" s="73"/>
      <c r="NGG41" s="73"/>
      <c r="NGH41" s="73"/>
      <c r="NGI41" s="73"/>
      <c r="NGJ41" s="73"/>
      <c r="NGK41" s="73"/>
      <c r="NGL41" s="73"/>
      <c r="NGM41" s="73"/>
      <c r="NGN41" s="73"/>
      <c r="NGO41" s="73"/>
      <c r="NGP41" s="73"/>
      <c r="NGQ41" s="73"/>
      <c r="NGR41" s="73"/>
      <c r="NGS41" s="73"/>
      <c r="NGT41" s="73"/>
      <c r="NGU41" s="73"/>
      <c r="NGV41" s="73"/>
      <c r="NGW41" s="73"/>
      <c r="NGX41" s="73"/>
      <c r="NGY41" s="73"/>
      <c r="NGZ41" s="73"/>
      <c r="NHA41" s="73"/>
      <c r="NHB41" s="73"/>
      <c r="NHC41" s="73"/>
      <c r="NHD41" s="73"/>
      <c r="NHE41" s="73"/>
      <c r="NHF41" s="73"/>
      <c r="NHG41" s="73"/>
      <c r="NHH41" s="73"/>
      <c r="NHI41" s="73"/>
      <c r="NHJ41" s="73"/>
      <c r="NHK41" s="73"/>
      <c r="NHL41" s="73"/>
      <c r="NHM41" s="73"/>
      <c r="NHN41" s="73"/>
      <c r="NHO41" s="73"/>
      <c r="NHP41" s="73"/>
      <c r="NHQ41" s="73"/>
      <c r="NHR41" s="73"/>
      <c r="NHS41" s="73"/>
      <c r="NHT41" s="73"/>
      <c r="NHU41" s="73"/>
      <c r="NHV41" s="73"/>
      <c r="NHW41" s="73"/>
      <c r="NHX41" s="73"/>
      <c r="NHY41" s="73"/>
      <c r="NHZ41" s="73"/>
      <c r="NIA41" s="73"/>
      <c r="NIB41" s="73"/>
      <c r="NIC41" s="73"/>
      <c r="NID41" s="73"/>
      <c r="NIE41" s="73"/>
      <c r="NIF41" s="73"/>
      <c r="NIG41" s="73"/>
      <c r="NIH41" s="73"/>
      <c r="NII41" s="73"/>
      <c r="NIJ41" s="73"/>
      <c r="NIK41" s="73"/>
      <c r="NIL41" s="73"/>
      <c r="NIM41" s="73"/>
      <c r="NIN41" s="73"/>
      <c r="NIO41" s="73"/>
      <c r="NIP41" s="73"/>
      <c r="NIQ41" s="73"/>
      <c r="NIR41" s="73"/>
      <c r="NIS41" s="73"/>
      <c r="NIT41" s="73"/>
      <c r="NIU41" s="73"/>
      <c r="NIV41" s="73"/>
      <c r="NIW41" s="73"/>
      <c r="NIX41" s="73"/>
      <c r="NIY41" s="73"/>
      <c r="NIZ41" s="73"/>
      <c r="NJA41" s="73"/>
      <c r="NJB41" s="73"/>
      <c r="NJC41" s="73"/>
      <c r="NJD41" s="73"/>
      <c r="NJE41" s="73"/>
      <c r="NJF41" s="73"/>
      <c r="NJG41" s="73"/>
      <c r="NJH41" s="73"/>
      <c r="NJI41" s="73"/>
      <c r="NJJ41" s="73"/>
      <c r="NJK41" s="73"/>
      <c r="NJL41" s="73"/>
      <c r="NJM41" s="73"/>
      <c r="NJN41" s="73"/>
      <c r="NJO41" s="73"/>
      <c r="NJP41" s="73"/>
      <c r="NJQ41" s="73"/>
      <c r="NJR41" s="73"/>
      <c r="NJS41" s="73"/>
      <c r="NJT41" s="73"/>
      <c r="NJU41" s="73"/>
      <c r="NJV41" s="73"/>
      <c r="NJW41" s="73"/>
      <c r="NJX41" s="73"/>
      <c r="NJY41" s="73"/>
      <c r="NJZ41" s="73"/>
      <c r="NKA41" s="73"/>
      <c r="NKB41" s="73"/>
      <c r="NKC41" s="73"/>
      <c r="NKD41" s="73"/>
      <c r="NKE41" s="73"/>
      <c r="NKF41" s="73"/>
      <c r="NKG41" s="73"/>
      <c r="NKH41" s="73"/>
      <c r="NKI41" s="73"/>
      <c r="NKJ41" s="73"/>
      <c r="NKK41" s="73"/>
      <c r="NKL41" s="73"/>
      <c r="NKM41" s="73"/>
      <c r="NKN41" s="73"/>
      <c r="NKO41" s="73"/>
      <c r="NKP41" s="73"/>
      <c r="NKQ41" s="73"/>
      <c r="NKR41" s="73"/>
      <c r="NKS41" s="73"/>
      <c r="NKT41" s="73"/>
      <c r="NKU41" s="73"/>
      <c r="NKV41" s="73"/>
      <c r="NKW41" s="73"/>
      <c r="NKX41" s="73"/>
      <c r="NKY41" s="73"/>
      <c r="NKZ41" s="73"/>
      <c r="NLA41" s="73"/>
      <c r="NLB41" s="73"/>
      <c r="NLC41" s="73"/>
      <c r="NLD41" s="73"/>
      <c r="NLE41" s="73"/>
      <c r="NLF41" s="73"/>
      <c r="NLG41" s="73"/>
      <c r="NLH41" s="73"/>
      <c r="NLI41" s="73"/>
      <c r="NLJ41" s="73"/>
      <c r="NLK41" s="73"/>
      <c r="NLL41" s="73"/>
      <c r="NLM41" s="73"/>
      <c r="NLN41" s="73"/>
      <c r="NLO41" s="73"/>
      <c r="NLP41" s="73"/>
      <c r="NLQ41" s="73"/>
      <c r="NLR41" s="73"/>
      <c r="NLS41" s="73"/>
      <c r="NLT41" s="73"/>
      <c r="NLU41" s="73"/>
      <c r="NLV41" s="73"/>
      <c r="NLW41" s="73"/>
      <c r="NLX41" s="73"/>
      <c r="NLY41" s="73"/>
      <c r="NLZ41" s="73"/>
      <c r="NMA41" s="73"/>
      <c r="NMB41" s="73"/>
      <c r="NMC41" s="73"/>
      <c r="NMD41" s="73"/>
      <c r="NME41" s="73"/>
      <c r="NMF41" s="73"/>
      <c r="NMG41" s="73"/>
      <c r="NMH41" s="73"/>
      <c r="NMI41" s="73"/>
      <c r="NMJ41" s="73"/>
      <c r="NMK41" s="73"/>
      <c r="NML41" s="73"/>
      <c r="NMM41" s="73"/>
      <c r="NMN41" s="73"/>
      <c r="NMO41" s="73"/>
      <c r="NMP41" s="73"/>
      <c r="NMQ41" s="73"/>
      <c r="NMR41" s="73"/>
      <c r="NMS41" s="73"/>
      <c r="NMT41" s="73"/>
      <c r="NMU41" s="73"/>
      <c r="NMV41" s="73"/>
      <c r="NMW41" s="73"/>
      <c r="NMX41" s="73"/>
      <c r="NMY41" s="73"/>
      <c r="NMZ41" s="73"/>
      <c r="NNA41" s="73"/>
      <c r="NNB41" s="73"/>
      <c r="NNC41" s="73"/>
      <c r="NND41" s="73"/>
      <c r="NNE41" s="73"/>
      <c r="NNF41" s="73"/>
      <c r="NNG41" s="73"/>
      <c r="NNH41" s="73"/>
      <c r="NNI41" s="73"/>
      <c r="NNJ41" s="73"/>
      <c r="NNK41" s="73"/>
      <c r="NNL41" s="73"/>
      <c r="NNM41" s="73"/>
      <c r="NNN41" s="73"/>
      <c r="NNO41" s="73"/>
      <c r="NNP41" s="73"/>
      <c r="NNQ41" s="73"/>
      <c r="NNR41" s="73"/>
      <c r="NNS41" s="73"/>
      <c r="NNT41" s="73"/>
      <c r="NNU41" s="73"/>
      <c r="NNV41" s="73"/>
      <c r="NNW41" s="73"/>
      <c r="NNX41" s="73"/>
      <c r="NNY41" s="73"/>
      <c r="NNZ41" s="73"/>
      <c r="NOA41" s="73"/>
      <c r="NOB41" s="73"/>
      <c r="NOC41" s="73"/>
      <c r="NOD41" s="73"/>
      <c r="NOE41" s="73"/>
      <c r="NOF41" s="73"/>
      <c r="NOG41" s="73"/>
      <c r="NOH41" s="73"/>
      <c r="NOI41" s="73"/>
      <c r="NOJ41" s="73"/>
      <c r="NOK41" s="73"/>
      <c r="NOL41" s="73"/>
      <c r="NOM41" s="73"/>
      <c r="NON41" s="73"/>
      <c r="NOO41" s="73"/>
      <c r="NOP41" s="73"/>
      <c r="NOQ41" s="73"/>
      <c r="NOR41" s="73"/>
      <c r="NOS41" s="73"/>
      <c r="NOT41" s="73"/>
      <c r="NOU41" s="73"/>
      <c r="NOV41" s="73"/>
      <c r="NOW41" s="73"/>
      <c r="NOX41" s="73"/>
      <c r="NOY41" s="73"/>
      <c r="NOZ41" s="73"/>
      <c r="NPA41" s="73"/>
      <c r="NPB41" s="73"/>
      <c r="NPC41" s="73"/>
      <c r="NPD41" s="73"/>
      <c r="NPE41" s="73"/>
      <c r="NPF41" s="73"/>
      <c r="NPG41" s="73"/>
      <c r="NPH41" s="73"/>
      <c r="NPI41" s="73"/>
      <c r="NPJ41" s="73"/>
      <c r="NPK41" s="73"/>
      <c r="NPL41" s="73"/>
      <c r="NPM41" s="73"/>
      <c r="NPN41" s="73"/>
      <c r="NPO41" s="73"/>
      <c r="NPP41" s="73"/>
      <c r="NPQ41" s="73"/>
      <c r="NPR41" s="73"/>
      <c r="NPS41" s="73"/>
      <c r="NPT41" s="73"/>
      <c r="NPU41" s="73"/>
      <c r="NPV41" s="73"/>
      <c r="NPW41" s="73"/>
      <c r="NPX41" s="73"/>
      <c r="NPY41" s="73"/>
      <c r="NPZ41" s="73"/>
      <c r="NQA41" s="73"/>
      <c r="NQB41" s="73"/>
      <c r="NQC41" s="73"/>
      <c r="NQD41" s="73"/>
      <c r="NQE41" s="73"/>
      <c r="NQF41" s="73"/>
      <c r="NQG41" s="73"/>
      <c r="NQH41" s="73"/>
      <c r="NQI41" s="73"/>
      <c r="NQJ41" s="73"/>
      <c r="NQK41" s="73"/>
      <c r="NQL41" s="73"/>
      <c r="NQM41" s="73"/>
      <c r="NQN41" s="73"/>
      <c r="NQO41" s="73"/>
      <c r="NQP41" s="73"/>
      <c r="NQQ41" s="73"/>
      <c r="NQR41" s="73"/>
      <c r="NQS41" s="73"/>
      <c r="NQT41" s="73"/>
      <c r="NQU41" s="73"/>
      <c r="NQV41" s="73"/>
      <c r="NQW41" s="73"/>
      <c r="NQX41" s="73"/>
      <c r="NQY41" s="73"/>
      <c r="NQZ41" s="73"/>
      <c r="NRA41" s="73"/>
      <c r="NRB41" s="73"/>
      <c r="NRC41" s="73"/>
      <c r="NRD41" s="73"/>
      <c r="NRE41" s="73"/>
      <c r="NRF41" s="73"/>
      <c r="NRG41" s="73"/>
      <c r="NRH41" s="73"/>
      <c r="NRI41" s="73"/>
      <c r="NRJ41" s="73"/>
      <c r="NRK41" s="73"/>
      <c r="NRL41" s="73"/>
      <c r="NRM41" s="73"/>
      <c r="NRN41" s="73"/>
      <c r="NRO41" s="73"/>
      <c r="NRP41" s="73"/>
      <c r="NRQ41" s="73"/>
      <c r="NRR41" s="73"/>
      <c r="NRS41" s="73"/>
      <c r="NRT41" s="73"/>
      <c r="NRU41" s="73"/>
      <c r="NRV41" s="73"/>
      <c r="NRW41" s="73"/>
      <c r="NRX41" s="73"/>
      <c r="NRY41" s="73"/>
      <c r="NRZ41" s="73"/>
      <c r="NSA41" s="73"/>
      <c r="NSB41" s="73"/>
      <c r="NSC41" s="73"/>
      <c r="NSD41" s="73"/>
      <c r="NSE41" s="73"/>
      <c r="NSF41" s="73"/>
      <c r="NSG41" s="73"/>
      <c r="NSH41" s="73"/>
      <c r="NSI41" s="73"/>
      <c r="NSJ41" s="73"/>
      <c r="NSK41" s="73"/>
      <c r="NSL41" s="73"/>
      <c r="NSM41" s="73"/>
      <c r="NSN41" s="73"/>
      <c r="NSO41" s="73"/>
      <c r="NSP41" s="73"/>
      <c r="NSQ41" s="73"/>
      <c r="NSR41" s="73"/>
      <c r="NSS41" s="73"/>
      <c r="NST41" s="73"/>
      <c r="NSU41" s="73"/>
      <c r="NSV41" s="73"/>
      <c r="NSW41" s="73"/>
      <c r="NSX41" s="73"/>
      <c r="NSY41" s="73"/>
      <c r="NSZ41" s="73"/>
      <c r="NTA41" s="73"/>
      <c r="NTB41" s="73"/>
      <c r="NTC41" s="73"/>
      <c r="NTD41" s="73"/>
      <c r="NTE41" s="73"/>
      <c r="NTF41" s="73"/>
      <c r="NTG41" s="73"/>
      <c r="NTH41" s="73"/>
      <c r="NTI41" s="73"/>
      <c r="NTJ41" s="73"/>
      <c r="NTK41" s="73"/>
      <c r="NTL41" s="73"/>
      <c r="NTM41" s="73"/>
      <c r="NTN41" s="73"/>
      <c r="NTO41" s="73"/>
      <c r="NTP41" s="73"/>
      <c r="NTQ41" s="73"/>
      <c r="NTR41" s="73"/>
      <c r="NTS41" s="73"/>
      <c r="NTT41" s="73"/>
      <c r="NTU41" s="73"/>
      <c r="NTV41" s="73"/>
      <c r="NTW41" s="73"/>
      <c r="NTX41" s="73"/>
      <c r="NTY41" s="73"/>
      <c r="NTZ41" s="73"/>
      <c r="NUA41" s="73"/>
      <c r="NUB41" s="73"/>
      <c r="NUC41" s="73"/>
      <c r="NUD41" s="73"/>
      <c r="NUE41" s="73"/>
      <c r="NUF41" s="73"/>
      <c r="NUG41" s="73"/>
      <c r="NUH41" s="73"/>
      <c r="NUI41" s="73"/>
      <c r="NUJ41" s="73"/>
      <c r="NUK41" s="73"/>
      <c r="NUL41" s="73"/>
      <c r="NUM41" s="73"/>
      <c r="NUN41" s="73"/>
      <c r="NUO41" s="73"/>
      <c r="NUP41" s="73"/>
      <c r="NUQ41" s="73"/>
      <c r="NUR41" s="73"/>
      <c r="NUS41" s="73"/>
      <c r="NUT41" s="73"/>
      <c r="NUU41" s="73"/>
      <c r="NUV41" s="73"/>
      <c r="NUW41" s="73"/>
      <c r="NUX41" s="73"/>
      <c r="NUY41" s="73"/>
      <c r="NUZ41" s="73"/>
      <c r="NVA41" s="73"/>
      <c r="NVB41" s="73"/>
      <c r="NVC41" s="73"/>
      <c r="NVD41" s="73"/>
      <c r="NVE41" s="73"/>
      <c r="NVF41" s="73"/>
      <c r="NVG41" s="73"/>
      <c r="NVH41" s="73"/>
      <c r="NVI41" s="73"/>
      <c r="NVJ41" s="73"/>
      <c r="NVK41" s="73"/>
      <c r="NVL41" s="73"/>
      <c r="NVM41" s="73"/>
      <c r="NVN41" s="73"/>
      <c r="NVO41" s="73"/>
      <c r="NVP41" s="73"/>
      <c r="NVQ41" s="73"/>
      <c r="NVR41" s="73"/>
      <c r="NVS41" s="73"/>
      <c r="NVT41" s="73"/>
      <c r="NVU41" s="73"/>
      <c r="NVV41" s="73"/>
      <c r="NVW41" s="73"/>
      <c r="NVX41" s="73"/>
      <c r="NVY41" s="73"/>
      <c r="NVZ41" s="73"/>
      <c r="NWA41" s="73"/>
      <c r="NWB41" s="73"/>
      <c r="NWC41" s="73"/>
      <c r="NWD41" s="73"/>
      <c r="NWE41" s="73"/>
      <c r="NWF41" s="73"/>
      <c r="NWG41" s="73"/>
      <c r="NWH41" s="73"/>
      <c r="NWI41" s="73"/>
      <c r="NWJ41" s="73"/>
      <c r="NWK41" s="73"/>
      <c r="NWL41" s="73"/>
      <c r="NWM41" s="73"/>
      <c r="NWN41" s="73"/>
      <c r="NWO41" s="73"/>
      <c r="NWP41" s="73"/>
      <c r="NWQ41" s="73"/>
      <c r="NWR41" s="73"/>
      <c r="NWS41" s="73"/>
      <c r="NWT41" s="73"/>
      <c r="NWU41" s="73"/>
      <c r="NWV41" s="73"/>
      <c r="NWW41" s="73"/>
      <c r="NWX41" s="73"/>
      <c r="NWY41" s="73"/>
      <c r="NWZ41" s="73"/>
      <c r="NXA41" s="73"/>
      <c r="NXB41" s="73"/>
      <c r="NXC41" s="73"/>
      <c r="NXD41" s="73"/>
      <c r="NXE41" s="73"/>
      <c r="NXF41" s="73"/>
      <c r="NXG41" s="73"/>
      <c r="NXH41" s="73"/>
      <c r="NXI41" s="73"/>
      <c r="NXJ41" s="73"/>
      <c r="NXK41" s="73"/>
      <c r="NXL41" s="73"/>
      <c r="NXM41" s="73"/>
      <c r="NXN41" s="73"/>
      <c r="NXO41" s="73"/>
      <c r="NXP41" s="73"/>
      <c r="NXQ41" s="73"/>
      <c r="NXR41" s="73"/>
      <c r="NXS41" s="73"/>
      <c r="NXT41" s="73"/>
      <c r="NXU41" s="73"/>
      <c r="NXV41" s="73"/>
      <c r="NXW41" s="73"/>
      <c r="NXX41" s="73"/>
      <c r="NXY41" s="73"/>
      <c r="NXZ41" s="73"/>
      <c r="NYA41" s="73"/>
      <c r="NYB41" s="73"/>
      <c r="NYC41" s="73"/>
      <c r="NYD41" s="73"/>
      <c r="NYE41" s="73"/>
      <c r="NYF41" s="73"/>
      <c r="NYG41" s="73"/>
      <c r="NYH41" s="73"/>
      <c r="NYI41" s="73"/>
      <c r="NYJ41" s="73"/>
      <c r="NYK41" s="73"/>
      <c r="NYL41" s="73"/>
      <c r="NYM41" s="73"/>
      <c r="NYN41" s="73"/>
      <c r="NYO41" s="73"/>
      <c r="NYP41" s="73"/>
      <c r="NYQ41" s="73"/>
      <c r="NYR41" s="73"/>
      <c r="NYS41" s="73"/>
      <c r="NYT41" s="73"/>
      <c r="NYU41" s="73"/>
      <c r="NYV41" s="73"/>
      <c r="NYW41" s="73"/>
      <c r="NYX41" s="73"/>
      <c r="NYY41" s="73"/>
      <c r="NYZ41" s="73"/>
      <c r="NZA41" s="73"/>
      <c r="NZB41" s="73"/>
      <c r="NZC41" s="73"/>
      <c r="NZD41" s="73"/>
      <c r="NZE41" s="73"/>
      <c r="NZF41" s="73"/>
      <c r="NZG41" s="73"/>
      <c r="NZH41" s="73"/>
      <c r="NZI41" s="73"/>
      <c r="NZJ41" s="73"/>
      <c r="NZK41" s="73"/>
      <c r="NZL41" s="73"/>
      <c r="NZM41" s="73"/>
      <c r="NZN41" s="73"/>
      <c r="NZO41" s="73"/>
      <c r="NZP41" s="73"/>
      <c r="NZQ41" s="73"/>
      <c r="NZR41" s="73"/>
      <c r="NZS41" s="73"/>
      <c r="NZT41" s="73"/>
      <c r="NZU41" s="73"/>
      <c r="NZV41" s="73"/>
      <c r="NZW41" s="73"/>
      <c r="NZX41" s="73"/>
      <c r="NZY41" s="73"/>
      <c r="NZZ41" s="73"/>
      <c r="OAA41" s="73"/>
      <c r="OAB41" s="73"/>
      <c r="OAC41" s="73"/>
      <c r="OAD41" s="73"/>
      <c r="OAE41" s="73"/>
      <c r="OAF41" s="73"/>
      <c r="OAG41" s="73"/>
      <c r="OAH41" s="73"/>
      <c r="OAI41" s="73"/>
      <c r="OAJ41" s="73"/>
      <c r="OAK41" s="73"/>
      <c r="OAL41" s="73"/>
      <c r="OAM41" s="73"/>
      <c r="OAN41" s="73"/>
      <c r="OAO41" s="73"/>
      <c r="OAP41" s="73"/>
      <c r="OAQ41" s="73"/>
      <c r="OAR41" s="73"/>
      <c r="OAS41" s="73"/>
      <c r="OAT41" s="73"/>
      <c r="OAU41" s="73"/>
      <c r="OAV41" s="73"/>
      <c r="OAW41" s="73"/>
      <c r="OAX41" s="73"/>
      <c r="OAY41" s="73"/>
      <c r="OAZ41" s="73"/>
      <c r="OBA41" s="73"/>
      <c r="OBB41" s="73"/>
      <c r="OBC41" s="73"/>
      <c r="OBD41" s="73"/>
      <c r="OBE41" s="73"/>
      <c r="OBF41" s="73"/>
      <c r="OBG41" s="73"/>
      <c r="OBH41" s="73"/>
      <c r="OBI41" s="73"/>
      <c r="OBJ41" s="73"/>
      <c r="OBK41" s="73"/>
      <c r="OBL41" s="73"/>
      <c r="OBM41" s="73"/>
      <c r="OBN41" s="73"/>
      <c r="OBO41" s="73"/>
      <c r="OBP41" s="73"/>
      <c r="OBQ41" s="73"/>
      <c r="OBR41" s="73"/>
      <c r="OBS41" s="73"/>
      <c r="OBT41" s="73"/>
      <c r="OBU41" s="73"/>
      <c r="OBV41" s="73"/>
      <c r="OBW41" s="73"/>
      <c r="OBX41" s="73"/>
      <c r="OBY41" s="73"/>
      <c r="OBZ41" s="73"/>
      <c r="OCA41" s="73"/>
      <c r="OCB41" s="73"/>
      <c r="OCC41" s="73"/>
      <c r="OCD41" s="73"/>
      <c r="OCE41" s="73"/>
      <c r="OCF41" s="73"/>
      <c r="OCG41" s="73"/>
      <c r="OCH41" s="73"/>
      <c r="OCI41" s="73"/>
      <c r="OCJ41" s="73"/>
      <c r="OCK41" s="73"/>
      <c r="OCL41" s="73"/>
      <c r="OCM41" s="73"/>
      <c r="OCN41" s="73"/>
      <c r="OCO41" s="73"/>
      <c r="OCP41" s="73"/>
      <c r="OCQ41" s="73"/>
      <c r="OCR41" s="73"/>
      <c r="OCS41" s="73"/>
      <c r="OCT41" s="73"/>
      <c r="OCU41" s="73"/>
      <c r="OCV41" s="73"/>
      <c r="OCW41" s="73"/>
      <c r="OCX41" s="73"/>
      <c r="OCY41" s="73"/>
      <c r="OCZ41" s="73"/>
      <c r="ODA41" s="73"/>
      <c r="ODB41" s="73"/>
      <c r="ODC41" s="73"/>
      <c r="ODD41" s="73"/>
      <c r="ODE41" s="73"/>
      <c r="ODF41" s="73"/>
      <c r="ODG41" s="73"/>
      <c r="ODH41" s="73"/>
      <c r="ODI41" s="73"/>
      <c r="ODJ41" s="73"/>
      <c r="ODK41" s="73"/>
      <c r="ODL41" s="73"/>
      <c r="ODM41" s="73"/>
      <c r="ODN41" s="73"/>
      <c r="ODO41" s="73"/>
      <c r="ODP41" s="73"/>
      <c r="ODQ41" s="73"/>
      <c r="ODR41" s="73"/>
      <c r="ODS41" s="73"/>
      <c r="ODT41" s="73"/>
      <c r="ODU41" s="73"/>
      <c r="ODV41" s="73"/>
      <c r="ODW41" s="73"/>
      <c r="ODX41" s="73"/>
      <c r="ODY41" s="73"/>
      <c r="ODZ41" s="73"/>
      <c r="OEA41" s="73"/>
      <c r="OEB41" s="73"/>
      <c r="OEC41" s="73"/>
      <c r="OED41" s="73"/>
      <c r="OEE41" s="73"/>
      <c r="OEF41" s="73"/>
      <c r="OEG41" s="73"/>
      <c r="OEH41" s="73"/>
      <c r="OEI41" s="73"/>
      <c r="OEJ41" s="73"/>
      <c r="OEK41" s="73"/>
      <c r="OEL41" s="73"/>
      <c r="OEM41" s="73"/>
      <c r="OEN41" s="73"/>
      <c r="OEO41" s="73"/>
      <c r="OEP41" s="73"/>
      <c r="OEQ41" s="73"/>
      <c r="OER41" s="73"/>
      <c r="OES41" s="73"/>
      <c r="OET41" s="73"/>
      <c r="OEU41" s="73"/>
      <c r="OEV41" s="73"/>
      <c r="OEW41" s="73"/>
      <c r="OEX41" s="73"/>
      <c r="OEY41" s="73"/>
      <c r="OEZ41" s="73"/>
      <c r="OFA41" s="73"/>
      <c r="OFB41" s="73"/>
      <c r="OFC41" s="73"/>
      <c r="OFD41" s="73"/>
      <c r="OFE41" s="73"/>
      <c r="OFF41" s="73"/>
      <c r="OFG41" s="73"/>
      <c r="OFH41" s="73"/>
      <c r="OFI41" s="73"/>
      <c r="OFJ41" s="73"/>
      <c r="OFK41" s="73"/>
      <c r="OFL41" s="73"/>
      <c r="OFM41" s="73"/>
      <c r="OFN41" s="73"/>
      <c r="OFO41" s="73"/>
      <c r="OFP41" s="73"/>
      <c r="OFQ41" s="73"/>
      <c r="OFR41" s="73"/>
      <c r="OFS41" s="73"/>
      <c r="OFT41" s="73"/>
      <c r="OFU41" s="73"/>
      <c r="OFV41" s="73"/>
      <c r="OFW41" s="73"/>
      <c r="OFX41" s="73"/>
      <c r="OFY41" s="73"/>
      <c r="OFZ41" s="73"/>
      <c r="OGA41" s="73"/>
      <c r="OGB41" s="73"/>
      <c r="OGC41" s="73"/>
      <c r="OGD41" s="73"/>
      <c r="OGE41" s="73"/>
      <c r="OGF41" s="73"/>
      <c r="OGG41" s="73"/>
      <c r="OGH41" s="73"/>
      <c r="OGI41" s="73"/>
      <c r="OGJ41" s="73"/>
      <c r="OGK41" s="73"/>
      <c r="OGL41" s="73"/>
      <c r="OGM41" s="73"/>
      <c r="OGN41" s="73"/>
      <c r="OGO41" s="73"/>
      <c r="OGP41" s="73"/>
      <c r="OGQ41" s="73"/>
      <c r="OGR41" s="73"/>
      <c r="OGS41" s="73"/>
      <c r="OGT41" s="73"/>
      <c r="OGU41" s="73"/>
      <c r="OGV41" s="73"/>
      <c r="OGW41" s="73"/>
      <c r="OGX41" s="73"/>
      <c r="OGY41" s="73"/>
      <c r="OGZ41" s="73"/>
      <c r="OHA41" s="73"/>
      <c r="OHB41" s="73"/>
      <c r="OHC41" s="73"/>
      <c r="OHD41" s="73"/>
      <c r="OHE41" s="73"/>
      <c r="OHF41" s="73"/>
      <c r="OHG41" s="73"/>
      <c r="OHH41" s="73"/>
      <c r="OHI41" s="73"/>
      <c r="OHJ41" s="73"/>
      <c r="OHK41" s="73"/>
      <c r="OHL41" s="73"/>
      <c r="OHM41" s="73"/>
      <c r="OHN41" s="73"/>
      <c r="OHO41" s="73"/>
      <c r="OHP41" s="73"/>
      <c r="OHQ41" s="73"/>
      <c r="OHR41" s="73"/>
      <c r="OHS41" s="73"/>
      <c r="OHT41" s="73"/>
      <c r="OHU41" s="73"/>
      <c r="OHV41" s="73"/>
      <c r="OHW41" s="73"/>
      <c r="OHX41" s="73"/>
      <c r="OHY41" s="73"/>
      <c r="OHZ41" s="73"/>
      <c r="OIA41" s="73"/>
      <c r="OIB41" s="73"/>
      <c r="OIC41" s="73"/>
      <c r="OID41" s="73"/>
      <c r="OIE41" s="73"/>
      <c r="OIF41" s="73"/>
      <c r="OIG41" s="73"/>
      <c r="OIH41" s="73"/>
      <c r="OII41" s="73"/>
      <c r="OIJ41" s="73"/>
      <c r="OIK41" s="73"/>
      <c r="OIL41" s="73"/>
      <c r="OIM41" s="73"/>
      <c r="OIN41" s="73"/>
      <c r="OIO41" s="73"/>
      <c r="OIP41" s="73"/>
      <c r="OIQ41" s="73"/>
      <c r="OIR41" s="73"/>
      <c r="OIS41" s="73"/>
      <c r="OIT41" s="73"/>
      <c r="OIU41" s="73"/>
      <c r="OIV41" s="73"/>
      <c r="OIW41" s="73"/>
      <c r="OIX41" s="73"/>
      <c r="OIY41" s="73"/>
      <c r="OIZ41" s="73"/>
      <c r="OJA41" s="73"/>
      <c r="OJB41" s="73"/>
      <c r="OJC41" s="73"/>
      <c r="OJD41" s="73"/>
      <c r="OJE41" s="73"/>
      <c r="OJF41" s="73"/>
      <c r="OJG41" s="73"/>
      <c r="OJH41" s="73"/>
      <c r="OJI41" s="73"/>
      <c r="OJJ41" s="73"/>
      <c r="OJK41" s="73"/>
      <c r="OJL41" s="73"/>
      <c r="OJM41" s="73"/>
      <c r="OJN41" s="73"/>
      <c r="OJO41" s="73"/>
      <c r="OJP41" s="73"/>
      <c r="OJQ41" s="73"/>
      <c r="OJR41" s="73"/>
      <c r="OJS41" s="73"/>
      <c r="OJT41" s="73"/>
      <c r="OJU41" s="73"/>
      <c r="OJV41" s="73"/>
      <c r="OJW41" s="73"/>
      <c r="OJX41" s="73"/>
      <c r="OJY41" s="73"/>
      <c r="OJZ41" s="73"/>
      <c r="OKA41" s="73"/>
      <c r="OKB41" s="73"/>
      <c r="OKC41" s="73"/>
      <c r="OKD41" s="73"/>
      <c r="OKE41" s="73"/>
      <c r="OKF41" s="73"/>
      <c r="OKG41" s="73"/>
      <c r="OKH41" s="73"/>
      <c r="OKI41" s="73"/>
      <c r="OKJ41" s="73"/>
      <c r="OKK41" s="73"/>
      <c r="OKL41" s="73"/>
      <c r="OKM41" s="73"/>
      <c r="OKN41" s="73"/>
      <c r="OKO41" s="73"/>
      <c r="OKP41" s="73"/>
      <c r="OKQ41" s="73"/>
      <c r="OKR41" s="73"/>
      <c r="OKS41" s="73"/>
      <c r="OKT41" s="73"/>
      <c r="OKU41" s="73"/>
      <c r="OKV41" s="73"/>
      <c r="OKW41" s="73"/>
      <c r="OKX41" s="73"/>
      <c r="OKY41" s="73"/>
      <c r="OKZ41" s="73"/>
      <c r="OLA41" s="73"/>
      <c r="OLB41" s="73"/>
      <c r="OLC41" s="73"/>
      <c r="OLD41" s="73"/>
      <c r="OLE41" s="73"/>
      <c r="OLF41" s="73"/>
      <c r="OLG41" s="73"/>
      <c r="OLH41" s="73"/>
      <c r="OLI41" s="73"/>
      <c r="OLJ41" s="73"/>
      <c r="OLK41" s="73"/>
      <c r="OLL41" s="73"/>
      <c r="OLM41" s="73"/>
      <c r="OLN41" s="73"/>
      <c r="OLO41" s="73"/>
      <c r="OLP41" s="73"/>
      <c r="OLQ41" s="73"/>
      <c r="OLR41" s="73"/>
      <c r="OLS41" s="73"/>
      <c r="OLT41" s="73"/>
      <c r="OLU41" s="73"/>
      <c r="OLV41" s="73"/>
      <c r="OLW41" s="73"/>
      <c r="OLX41" s="73"/>
      <c r="OLY41" s="73"/>
      <c r="OLZ41" s="73"/>
      <c r="OMA41" s="73"/>
      <c r="OMB41" s="73"/>
      <c r="OMC41" s="73"/>
      <c r="OMD41" s="73"/>
      <c r="OME41" s="73"/>
      <c r="OMF41" s="73"/>
      <c r="OMG41" s="73"/>
      <c r="OMH41" s="73"/>
      <c r="OMI41" s="73"/>
      <c r="OMJ41" s="73"/>
      <c r="OMK41" s="73"/>
      <c r="OML41" s="73"/>
      <c r="OMM41" s="73"/>
      <c r="OMN41" s="73"/>
      <c r="OMO41" s="73"/>
      <c r="OMP41" s="73"/>
      <c r="OMQ41" s="73"/>
      <c r="OMR41" s="73"/>
      <c r="OMS41" s="73"/>
      <c r="OMT41" s="73"/>
      <c r="OMU41" s="73"/>
      <c r="OMV41" s="73"/>
      <c r="OMW41" s="73"/>
      <c r="OMX41" s="73"/>
      <c r="OMY41" s="73"/>
      <c r="OMZ41" s="73"/>
      <c r="ONA41" s="73"/>
      <c r="ONB41" s="73"/>
      <c r="ONC41" s="73"/>
      <c r="OND41" s="73"/>
      <c r="ONE41" s="73"/>
      <c r="ONF41" s="73"/>
      <c r="ONG41" s="73"/>
      <c r="ONH41" s="73"/>
      <c r="ONI41" s="73"/>
      <c r="ONJ41" s="73"/>
      <c r="ONK41" s="73"/>
      <c r="ONL41" s="73"/>
      <c r="ONM41" s="73"/>
      <c r="ONN41" s="73"/>
      <c r="ONO41" s="73"/>
      <c r="ONP41" s="73"/>
      <c r="ONQ41" s="73"/>
      <c r="ONR41" s="73"/>
      <c r="ONS41" s="73"/>
      <c r="ONT41" s="73"/>
      <c r="ONU41" s="73"/>
      <c r="ONV41" s="73"/>
      <c r="ONW41" s="73"/>
      <c r="ONX41" s="73"/>
      <c r="ONY41" s="73"/>
      <c r="ONZ41" s="73"/>
      <c r="OOA41" s="73"/>
      <c r="OOB41" s="73"/>
      <c r="OOC41" s="73"/>
      <c r="OOD41" s="73"/>
      <c r="OOE41" s="73"/>
      <c r="OOF41" s="73"/>
      <c r="OOG41" s="73"/>
      <c r="OOH41" s="73"/>
      <c r="OOI41" s="73"/>
      <c r="OOJ41" s="73"/>
      <c r="OOK41" s="73"/>
      <c r="OOL41" s="73"/>
      <c r="OOM41" s="73"/>
      <c r="OON41" s="73"/>
      <c r="OOO41" s="73"/>
      <c r="OOP41" s="73"/>
      <c r="OOQ41" s="73"/>
      <c r="OOR41" s="73"/>
      <c r="OOS41" s="73"/>
      <c r="OOT41" s="73"/>
      <c r="OOU41" s="73"/>
      <c r="OOV41" s="73"/>
      <c r="OOW41" s="73"/>
      <c r="OOX41" s="73"/>
      <c r="OOY41" s="73"/>
      <c r="OOZ41" s="73"/>
      <c r="OPA41" s="73"/>
      <c r="OPB41" s="73"/>
      <c r="OPC41" s="73"/>
      <c r="OPD41" s="73"/>
      <c r="OPE41" s="73"/>
      <c r="OPF41" s="73"/>
      <c r="OPG41" s="73"/>
      <c r="OPH41" s="73"/>
      <c r="OPI41" s="73"/>
      <c r="OPJ41" s="73"/>
      <c r="OPK41" s="73"/>
      <c r="OPL41" s="73"/>
      <c r="OPM41" s="73"/>
      <c r="OPN41" s="73"/>
      <c r="OPO41" s="73"/>
      <c r="OPP41" s="73"/>
      <c r="OPQ41" s="73"/>
      <c r="OPR41" s="73"/>
      <c r="OPS41" s="73"/>
      <c r="OPT41" s="73"/>
      <c r="OPU41" s="73"/>
      <c r="OPV41" s="73"/>
      <c r="OPW41" s="73"/>
      <c r="OPX41" s="73"/>
      <c r="OPY41" s="73"/>
      <c r="OPZ41" s="73"/>
      <c r="OQA41" s="73"/>
      <c r="OQB41" s="73"/>
      <c r="OQC41" s="73"/>
      <c r="OQD41" s="73"/>
      <c r="OQE41" s="73"/>
      <c r="OQF41" s="73"/>
      <c r="OQG41" s="73"/>
      <c r="OQH41" s="73"/>
      <c r="OQI41" s="73"/>
      <c r="OQJ41" s="73"/>
      <c r="OQK41" s="73"/>
      <c r="OQL41" s="73"/>
      <c r="OQM41" s="73"/>
      <c r="OQN41" s="73"/>
      <c r="OQO41" s="73"/>
      <c r="OQP41" s="73"/>
      <c r="OQQ41" s="73"/>
      <c r="OQR41" s="73"/>
      <c r="OQS41" s="73"/>
      <c r="OQT41" s="73"/>
      <c r="OQU41" s="73"/>
      <c r="OQV41" s="73"/>
      <c r="OQW41" s="73"/>
      <c r="OQX41" s="73"/>
      <c r="OQY41" s="73"/>
      <c r="OQZ41" s="73"/>
      <c r="ORA41" s="73"/>
      <c r="ORB41" s="73"/>
      <c r="ORC41" s="73"/>
      <c r="ORD41" s="73"/>
      <c r="ORE41" s="73"/>
      <c r="ORF41" s="73"/>
      <c r="ORG41" s="73"/>
      <c r="ORH41" s="73"/>
      <c r="ORI41" s="73"/>
      <c r="ORJ41" s="73"/>
      <c r="ORK41" s="73"/>
      <c r="ORL41" s="73"/>
      <c r="ORM41" s="73"/>
      <c r="ORN41" s="73"/>
      <c r="ORO41" s="73"/>
      <c r="ORP41" s="73"/>
      <c r="ORQ41" s="73"/>
      <c r="ORR41" s="73"/>
      <c r="ORS41" s="73"/>
      <c r="ORT41" s="73"/>
      <c r="ORU41" s="73"/>
      <c r="ORV41" s="73"/>
      <c r="ORW41" s="73"/>
      <c r="ORX41" s="73"/>
      <c r="ORY41" s="73"/>
      <c r="ORZ41" s="73"/>
      <c r="OSA41" s="73"/>
      <c r="OSB41" s="73"/>
      <c r="OSC41" s="73"/>
      <c r="OSD41" s="73"/>
      <c r="OSE41" s="73"/>
      <c r="OSF41" s="73"/>
      <c r="OSG41" s="73"/>
      <c r="OSH41" s="73"/>
      <c r="OSI41" s="73"/>
      <c r="OSJ41" s="73"/>
      <c r="OSK41" s="73"/>
      <c r="OSL41" s="73"/>
      <c r="OSM41" s="73"/>
      <c r="OSN41" s="73"/>
      <c r="OSO41" s="73"/>
      <c r="OSP41" s="73"/>
      <c r="OSQ41" s="73"/>
      <c r="OSR41" s="73"/>
      <c r="OSS41" s="73"/>
      <c r="OST41" s="73"/>
      <c r="OSU41" s="73"/>
      <c r="OSV41" s="73"/>
      <c r="OSW41" s="73"/>
      <c r="OSX41" s="73"/>
      <c r="OSY41" s="73"/>
      <c r="OSZ41" s="73"/>
      <c r="OTA41" s="73"/>
      <c r="OTB41" s="73"/>
      <c r="OTC41" s="73"/>
      <c r="OTD41" s="73"/>
      <c r="OTE41" s="73"/>
      <c r="OTF41" s="73"/>
      <c r="OTG41" s="73"/>
      <c r="OTH41" s="73"/>
      <c r="OTI41" s="73"/>
      <c r="OTJ41" s="73"/>
      <c r="OTK41" s="73"/>
      <c r="OTL41" s="73"/>
      <c r="OTM41" s="73"/>
      <c r="OTN41" s="73"/>
      <c r="OTO41" s="73"/>
      <c r="OTP41" s="73"/>
      <c r="OTQ41" s="73"/>
      <c r="OTR41" s="73"/>
      <c r="OTS41" s="73"/>
      <c r="OTT41" s="73"/>
      <c r="OTU41" s="73"/>
      <c r="OTV41" s="73"/>
      <c r="OTW41" s="73"/>
      <c r="OTX41" s="73"/>
      <c r="OTY41" s="73"/>
      <c r="OTZ41" s="73"/>
      <c r="OUA41" s="73"/>
      <c r="OUB41" s="73"/>
      <c r="OUC41" s="73"/>
      <c r="OUD41" s="73"/>
      <c r="OUE41" s="73"/>
      <c r="OUF41" s="73"/>
      <c r="OUG41" s="73"/>
      <c r="OUH41" s="73"/>
      <c r="OUI41" s="73"/>
      <c r="OUJ41" s="73"/>
      <c r="OUK41" s="73"/>
      <c r="OUL41" s="73"/>
      <c r="OUM41" s="73"/>
      <c r="OUN41" s="73"/>
      <c r="OUO41" s="73"/>
      <c r="OUP41" s="73"/>
      <c r="OUQ41" s="73"/>
      <c r="OUR41" s="73"/>
      <c r="OUS41" s="73"/>
      <c r="OUT41" s="73"/>
      <c r="OUU41" s="73"/>
      <c r="OUV41" s="73"/>
      <c r="OUW41" s="73"/>
      <c r="OUX41" s="73"/>
      <c r="OUY41" s="73"/>
      <c r="OUZ41" s="73"/>
      <c r="OVA41" s="73"/>
      <c r="OVB41" s="73"/>
      <c r="OVC41" s="73"/>
      <c r="OVD41" s="73"/>
      <c r="OVE41" s="73"/>
      <c r="OVF41" s="73"/>
      <c r="OVG41" s="73"/>
      <c r="OVH41" s="73"/>
      <c r="OVI41" s="73"/>
      <c r="OVJ41" s="73"/>
      <c r="OVK41" s="73"/>
      <c r="OVL41" s="73"/>
      <c r="OVM41" s="73"/>
      <c r="OVN41" s="73"/>
      <c r="OVO41" s="73"/>
      <c r="OVP41" s="73"/>
      <c r="OVQ41" s="73"/>
      <c r="OVR41" s="73"/>
      <c r="OVS41" s="73"/>
      <c r="OVT41" s="73"/>
      <c r="OVU41" s="73"/>
      <c r="OVV41" s="73"/>
      <c r="OVW41" s="73"/>
      <c r="OVX41" s="73"/>
      <c r="OVY41" s="73"/>
      <c r="OVZ41" s="73"/>
      <c r="OWA41" s="73"/>
      <c r="OWB41" s="73"/>
      <c r="OWC41" s="73"/>
      <c r="OWD41" s="73"/>
      <c r="OWE41" s="73"/>
      <c r="OWF41" s="73"/>
      <c r="OWG41" s="73"/>
      <c r="OWH41" s="73"/>
      <c r="OWI41" s="73"/>
      <c r="OWJ41" s="73"/>
      <c r="OWK41" s="73"/>
      <c r="OWL41" s="73"/>
      <c r="OWM41" s="73"/>
      <c r="OWN41" s="73"/>
      <c r="OWO41" s="73"/>
      <c r="OWP41" s="73"/>
      <c r="OWQ41" s="73"/>
      <c r="OWR41" s="73"/>
      <c r="OWS41" s="73"/>
      <c r="OWT41" s="73"/>
      <c r="OWU41" s="73"/>
      <c r="OWV41" s="73"/>
      <c r="OWW41" s="73"/>
      <c r="OWX41" s="73"/>
      <c r="OWY41" s="73"/>
      <c r="OWZ41" s="73"/>
      <c r="OXA41" s="73"/>
      <c r="OXB41" s="73"/>
      <c r="OXC41" s="73"/>
      <c r="OXD41" s="73"/>
      <c r="OXE41" s="73"/>
      <c r="OXF41" s="73"/>
      <c r="OXG41" s="73"/>
      <c r="OXH41" s="73"/>
      <c r="OXI41" s="73"/>
      <c r="OXJ41" s="73"/>
      <c r="OXK41" s="73"/>
      <c r="OXL41" s="73"/>
      <c r="OXM41" s="73"/>
      <c r="OXN41" s="73"/>
      <c r="OXO41" s="73"/>
      <c r="OXP41" s="73"/>
      <c r="OXQ41" s="73"/>
      <c r="OXR41" s="73"/>
      <c r="OXS41" s="73"/>
      <c r="OXT41" s="73"/>
      <c r="OXU41" s="73"/>
      <c r="OXV41" s="73"/>
      <c r="OXW41" s="73"/>
      <c r="OXX41" s="73"/>
      <c r="OXY41" s="73"/>
      <c r="OXZ41" s="73"/>
      <c r="OYA41" s="73"/>
      <c r="OYB41" s="73"/>
      <c r="OYC41" s="73"/>
      <c r="OYD41" s="73"/>
      <c r="OYE41" s="73"/>
      <c r="OYF41" s="73"/>
      <c r="OYG41" s="73"/>
      <c r="OYH41" s="73"/>
      <c r="OYI41" s="73"/>
      <c r="OYJ41" s="73"/>
      <c r="OYK41" s="73"/>
      <c r="OYL41" s="73"/>
      <c r="OYM41" s="73"/>
      <c r="OYN41" s="73"/>
      <c r="OYO41" s="73"/>
      <c r="OYP41" s="73"/>
      <c r="OYQ41" s="73"/>
      <c r="OYR41" s="73"/>
      <c r="OYS41" s="73"/>
      <c r="OYT41" s="73"/>
      <c r="OYU41" s="73"/>
      <c r="OYV41" s="73"/>
      <c r="OYW41" s="73"/>
      <c r="OYX41" s="73"/>
      <c r="OYY41" s="73"/>
      <c r="OYZ41" s="73"/>
      <c r="OZA41" s="73"/>
      <c r="OZB41" s="73"/>
      <c r="OZC41" s="73"/>
      <c r="OZD41" s="73"/>
      <c r="OZE41" s="73"/>
      <c r="OZF41" s="73"/>
      <c r="OZG41" s="73"/>
      <c r="OZH41" s="73"/>
      <c r="OZI41" s="73"/>
      <c r="OZJ41" s="73"/>
      <c r="OZK41" s="73"/>
      <c r="OZL41" s="73"/>
      <c r="OZM41" s="73"/>
      <c r="OZN41" s="73"/>
      <c r="OZO41" s="73"/>
      <c r="OZP41" s="73"/>
      <c r="OZQ41" s="73"/>
      <c r="OZR41" s="73"/>
      <c r="OZS41" s="73"/>
      <c r="OZT41" s="73"/>
      <c r="OZU41" s="73"/>
      <c r="OZV41" s="73"/>
      <c r="OZW41" s="73"/>
      <c r="OZX41" s="73"/>
      <c r="OZY41" s="73"/>
      <c r="OZZ41" s="73"/>
      <c r="PAA41" s="73"/>
      <c r="PAB41" s="73"/>
      <c r="PAC41" s="73"/>
      <c r="PAD41" s="73"/>
      <c r="PAE41" s="73"/>
      <c r="PAF41" s="73"/>
      <c r="PAG41" s="73"/>
      <c r="PAH41" s="73"/>
      <c r="PAI41" s="73"/>
      <c r="PAJ41" s="73"/>
      <c r="PAK41" s="73"/>
      <c r="PAL41" s="73"/>
      <c r="PAM41" s="73"/>
      <c r="PAN41" s="73"/>
      <c r="PAO41" s="73"/>
      <c r="PAP41" s="73"/>
      <c r="PAQ41" s="73"/>
      <c r="PAR41" s="73"/>
      <c r="PAS41" s="73"/>
      <c r="PAT41" s="73"/>
      <c r="PAU41" s="73"/>
      <c r="PAV41" s="73"/>
      <c r="PAW41" s="73"/>
      <c r="PAX41" s="73"/>
      <c r="PAY41" s="73"/>
      <c r="PAZ41" s="73"/>
      <c r="PBA41" s="73"/>
      <c r="PBB41" s="73"/>
      <c r="PBC41" s="73"/>
      <c r="PBD41" s="73"/>
      <c r="PBE41" s="73"/>
      <c r="PBF41" s="73"/>
      <c r="PBG41" s="73"/>
      <c r="PBH41" s="73"/>
      <c r="PBI41" s="73"/>
      <c r="PBJ41" s="73"/>
      <c r="PBK41" s="73"/>
      <c r="PBL41" s="73"/>
      <c r="PBM41" s="73"/>
      <c r="PBN41" s="73"/>
      <c r="PBO41" s="73"/>
      <c r="PBP41" s="73"/>
      <c r="PBQ41" s="73"/>
      <c r="PBR41" s="73"/>
      <c r="PBS41" s="73"/>
      <c r="PBT41" s="73"/>
      <c r="PBU41" s="73"/>
      <c r="PBV41" s="73"/>
      <c r="PBW41" s="73"/>
      <c r="PBX41" s="73"/>
      <c r="PBY41" s="73"/>
      <c r="PBZ41" s="73"/>
      <c r="PCA41" s="73"/>
      <c r="PCB41" s="73"/>
      <c r="PCC41" s="73"/>
      <c r="PCD41" s="73"/>
      <c r="PCE41" s="73"/>
      <c r="PCF41" s="73"/>
      <c r="PCG41" s="73"/>
      <c r="PCH41" s="73"/>
      <c r="PCI41" s="73"/>
      <c r="PCJ41" s="73"/>
      <c r="PCK41" s="73"/>
      <c r="PCL41" s="73"/>
      <c r="PCM41" s="73"/>
      <c r="PCN41" s="73"/>
      <c r="PCO41" s="73"/>
      <c r="PCP41" s="73"/>
      <c r="PCQ41" s="73"/>
      <c r="PCR41" s="73"/>
      <c r="PCS41" s="73"/>
      <c r="PCT41" s="73"/>
      <c r="PCU41" s="73"/>
      <c r="PCV41" s="73"/>
      <c r="PCW41" s="73"/>
      <c r="PCX41" s="73"/>
      <c r="PCY41" s="73"/>
      <c r="PCZ41" s="73"/>
      <c r="PDA41" s="73"/>
      <c r="PDB41" s="73"/>
      <c r="PDC41" s="73"/>
      <c r="PDD41" s="73"/>
      <c r="PDE41" s="73"/>
      <c r="PDF41" s="73"/>
      <c r="PDG41" s="73"/>
      <c r="PDH41" s="73"/>
      <c r="PDI41" s="73"/>
      <c r="PDJ41" s="73"/>
      <c r="PDK41" s="73"/>
      <c r="PDL41" s="73"/>
      <c r="PDM41" s="73"/>
      <c r="PDN41" s="73"/>
      <c r="PDO41" s="73"/>
      <c r="PDP41" s="73"/>
      <c r="PDQ41" s="73"/>
      <c r="PDR41" s="73"/>
      <c r="PDS41" s="73"/>
      <c r="PDT41" s="73"/>
      <c r="PDU41" s="73"/>
      <c r="PDV41" s="73"/>
      <c r="PDW41" s="73"/>
      <c r="PDX41" s="73"/>
      <c r="PDY41" s="73"/>
      <c r="PDZ41" s="73"/>
      <c r="PEA41" s="73"/>
      <c r="PEB41" s="73"/>
      <c r="PEC41" s="73"/>
      <c r="PED41" s="73"/>
      <c r="PEE41" s="73"/>
      <c r="PEF41" s="73"/>
      <c r="PEG41" s="73"/>
      <c r="PEH41" s="73"/>
      <c r="PEI41" s="73"/>
      <c r="PEJ41" s="73"/>
      <c r="PEK41" s="73"/>
      <c r="PEL41" s="73"/>
      <c r="PEM41" s="73"/>
      <c r="PEN41" s="73"/>
      <c r="PEO41" s="73"/>
      <c r="PEP41" s="73"/>
      <c r="PEQ41" s="73"/>
      <c r="PER41" s="73"/>
      <c r="PES41" s="73"/>
      <c r="PET41" s="73"/>
      <c r="PEU41" s="73"/>
      <c r="PEV41" s="73"/>
      <c r="PEW41" s="73"/>
      <c r="PEX41" s="73"/>
      <c r="PEY41" s="73"/>
      <c r="PEZ41" s="73"/>
      <c r="PFA41" s="73"/>
      <c r="PFB41" s="73"/>
      <c r="PFC41" s="73"/>
      <c r="PFD41" s="73"/>
      <c r="PFE41" s="73"/>
      <c r="PFF41" s="73"/>
      <c r="PFG41" s="73"/>
      <c r="PFH41" s="73"/>
      <c r="PFI41" s="73"/>
      <c r="PFJ41" s="73"/>
      <c r="PFK41" s="73"/>
      <c r="PFL41" s="73"/>
      <c r="PFM41" s="73"/>
      <c r="PFN41" s="73"/>
      <c r="PFO41" s="73"/>
      <c r="PFP41" s="73"/>
      <c r="PFQ41" s="73"/>
      <c r="PFR41" s="73"/>
      <c r="PFS41" s="73"/>
      <c r="PFT41" s="73"/>
      <c r="PFU41" s="73"/>
      <c r="PFV41" s="73"/>
      <c r="PFW41" s="73"/>
      <c r="PFX41" s="73"/>
      <c r="PFY41" s="73"/>
      <c r="PFZ41" s="73"/>
      <c r="PGA41" s="73"/>
      <c r="PGB41" s="73"/>
      <c r="PGC41" s="73"/>
      <c r="PGD41" s="73"/>
      <c r="PGE41" s="73"/>
      <c r="PGF41" s="73"/>
      <c r="PGG41" s="73"/>
      <c r="PGH41" s="73"/>
      <c r="PGI41" s="73"/>
      <c r="PGJ41" s="73"/>
      <c r="PGK41" s="73"/>
      <c r="PGL41" s="73"/>
      <c r="PGM41" s="73"/>
      <c r="PGN41" s="73"/>
      <c r="PGO41" s="73"/>
      <c r="PGP41" s="73"/>
      <c r="PGQ41" s="73"/>
      <c r="PGR41" s="73"/>
      <c r="PGS41" s="73"/>
      <c r="PGT41" s="73"/>
      <c r="PGU41" s="73"/>
      <c r="PGV41" s="73"/>
      <c r="PGW41" s="73"/>
      <c r="PGX41" s="73"/>
      <c r="PGY41" s="73"/>
      <c r="PGZ41" s="73"/>
      <c r="PHA41" s="73"/>
      <c r="PHB41" s="73"/>
      <c r="PHC41" s="73"/>
      <c r="PHD41" s="73"/>
      <c r="PHE41" s="73"/>
      <c r="PHF41" s="73"/>
      <c r="PHG41" s="73"/>
      <c r="PHH41" s="73"/>
      <c r="PHI41" s="73"/>
      <c r="PHJ41" s="73"/>
      <c r="PHK41" s="73"/>
      <c r="PHL41" s="73"/>
      <c r="PHM41" s="73"/>
      <c r="PHN41" s="73"/>
      <c r="PHO41" s="73"/>
      <c r="PHP41" s="73"/>
      <c r="PHQ41" s="73"/>
      <c r="PHR41" s="73"/>
      <c r="PHS41" s="73"/>
      <c r="PHT41" s="73"/>
      <c r="PHU41" s="73"/>
      <c r="PHV41" s="73"/>
      <c r="PHW41" s="73"/>
      <c r="PHX41" s="73"/>
      <c r="PHY41" s="73"/>
      <c r="PHZ41" s="73"/>
      <c r="PIA41" s="73"/>
      <c r="PIB41" s="73"/>
      <c r="PIC41" s="73"/>
      <c r="PID41" s="73"/>
      <c r="PIE41" s="73"/>
      <c r="PIF41" s="73"/>
      <c r="PIG41" s="73"/>
      <c r="PIH41" s="73"/>
      <c r="PII41" s="73"/>
      <c r="PIJ41" s="73"/>
      <c r="PIK41" s="73"/>
      <c r="PIL41" s="73"/>
      <c r="PIM41" s="73"/>
      <c r="PIN41" s="73"/>
      <c r="PIO41" s="73"/>
      <c r="PIP41" s="73"/>
      <c r="PIQ41" s="73"/>
      <c r="PIR41" s="73"/>
      <c r="PIS41" s="73"/>
      <c r="PIT41" s="73"/>
      <c r="PIU41" s="73"/>
      <c r="PIV41" s="73"/>
      <c r="PIW41" s="73"/>
      <c r="PIX41" s="73"/>
      <c r="PIY41" s="73"/>
      <c r="PIZ41" s="73"/>
      <c r="PJA41" s="73"/>
      <c r="PJB41" s="73"/>
      <c r="PJC41" s="73"/>
      <c r="PJD41" s="73"/>
      <c r="PJE41" s="73"/>
      <c r="PJF41" s="73"/>
      <c r="PJG41" s="73"/>
      <c r="PJH41" s="73"/>
      <c r="PJI41" s="73"/>
      <c r="PJJ41" s="73"/>
      <c r="PJK41" s="73"/>
      <c r="PJL41" s="73"/>
      <c r="PJM41" s="73"/>
      <c r="PJN41" s="73"/>
      <c r="PJO41" s="73"/>
      <c r="PJP41" s="73"/>
      <c r="PJQ41" s="73"/>
      <c r="PJR41" s="73"/>
      <c r="PJS41" s="73"/>
      <c r="PJT41" s="73"/>
      <c r="PJU41" s="73"/>
      <c r="PJV41" s="73"/>
      <c r="PJW41" s="73"/>
      <c r="PJX41" s="73"/>
      <c r="PJY41" s="73"/>
      <c r="PJZ41" s="73"/>
      <c r="PKA41" s="73"/>
      <c r="PKB41" s="73"/>
      <c r="PKC41" s="73"/>
      <c r="PKD41" s="73"/>
      <c r="PKE41" s="73"/>
      <c r="PKF41" s="73"/>
      <c r="PKG41" s="73"/>
      <c r="PKH41" s="73"/>
      <c r="PKI41" s="73"/>
      <c r="PKJ41" s="73"/>
      <c r="PKK41" s="73"/>
      <c r="PKL41" s="73"/>
      <c r="PKM41" s="73"/>
      <c r="PKN41" s="73"/>
      <c r="PKO41" s="73"/>
      <c r="PKP41" s="73"/>
      <c r="PKQ41" s="73"/>
      <c r="PKR41" s="73"/>
      <c r="PKS41" s="73"/>
      <c r="PKT41" s="73"/>
      <c r="PKU41" s="73"/>
      <c r="PKV41" s="73"/>
      <c r="PKW41" s="73"/>
      <c r="PKX41" s="73"/>
      <c r="PKY41" s="73"/>
      <c r="PKZ41" s="73"/>
      <c r="PLA41" s="73"/>
      <c r="PLB41" s="73"/>
      <c r="PLC41" s="73"/>
      <c r="PLD41" s="73"/>
      <c r="PLE41" s="73"/>
      <c r="PLF41" s="73"/>
      <c r="PLG41" s="73"/>
      <c r="PLH41" s="73"/>
      <c r="PLI41" s="73"/>
      <c r="PLJ41" s="73"/>
      <c r="PLK41" s="73"/>
      <c r="PLL41" s="73"/>
      <c r="PLM41" s="73"/>
      <c r="PLN41" s="73"/>
      <c r="PLO41" s="73"/>
      <c r="PLP41" s="73"/>
      <c r="PLQ41" s="73"/>
      <c r="PLR41" s="73"/>
      <c r="PLS41" s="73"/>
      <c r="PLT41" s="73"/>
      <c r="PLU41" s="73"/>
      <c r="PLV41" s="73"/>
      <c r="PLW41" s="73"/>
      <c r="PLX41" s="73"/>
      <c r="PLY41" s="73"/>
      <c r="PLZ41" s="73"/>
      <c r="PMA41" s="73"/>
      <c r="PMB41" s="73"/>
      <c r="PMC41" s="73"/>
      <c r="PMD41" s="73"/>
      <c r="PME41" s="73"/>
      <c r="PMF41" s="73"/>
      <c r="PMG41" s="73"/>
      <c r="PMH41" s="73"/>
      <c r="PMI41" s="73"/>
      <c r="PMJ41" s="73"/>
      <c r="PMK41" s="73"/>
      <c r="PML41" s="73"/>
      <c r="PMM41" s="73"/>
      <c r="PMN41" s="73"/>
      <c r="PMO41" s="73"/>
      <c r="PMP41" s="73"/>
      <c r="PMQ41" s="73"/>
      <c r="PMR41" s="73"/>
      <c r="PMS41" s="73"/>
      <c r="PMT41" s="73"/>
      <c r="PMU41" s="73"/>
      <c r="PMV41" s="73"/>
      <c r="PMW41" s="73"/>
      <c r="PMX41" s="73"/>
      <c r="PMY41" s="73"/>
      <c r="PMZ41" s="73"/>
      <c r="PNA41" s="73"/>
      <c r="PNB41" s="73"/>
      <c r="PNC41" s="73"/>
      <c r="PND41" s="73"/>
      <c r="PNE41" s="73"/>
      <c r="PNF41" s="73"/>
      <c r="PNG41" s="73"/>
      <c r="PNH41" s="73"/>
      <c r="PNI41" s="73"/>
      <c r="PNJ41" s="73"/>
      <c r="PNK41" s="73"/>
      <c r="PNL41" s="73"/>
      <c r="PNM41" s="73"/>
      <c r="PNN41" s="73"/>
      <c r="PNO41" s="73"/>
      <c r="PNP41" s="73"/>
      <c r="PNQ41" s="73"/>
      <c r="PNR41" s="73"/>
      <c r="PNS41" s="73"/>
      <c r="PNT41" s="73"/>
      <c r="PNU41" s="73"/>
      <c r="PNV41" s="73"/>
      <c r="PNW41" s="73"/>
      <c r="PNX41" s="73"/>
      <c r="PNY41" s="73"/>
      <c r="PNZ41" s="73"/>
      <c r="POA41" s="73"/>
      <c r="POB41" s="73"/>
      <c r="POC41" s="73"/>
      <c r="POD41" s="73"/>
      <c r="POE41" s="73"/>
      <c r="POF41" s="73"/>
      <c r="POG41" s="73"/>
      <c r="POH41" s="73"/>
      <c r="POI41" s="73"/>
      <c r="POJ41" s="73"/>
      <c r="POK41" s="73"/>
      <c r="POL41" s="73"/>
      <c r="POM41" s="73"/>
      <c r="PON41" s="73"/>
      <c r="POO41" s="73"/>
      <c r="POP41" s="73"/>
      <c r="POQ41" s="73"/>
      <c r="POR41" s="73"/>
      <c r="POS41" s="73"/>
      <c r="POT41" s="73"/>
      <c r="POU41" s="73"/>
      <c r="POV41" s="73"/>
      <c r="POW41" s="73"/>
      <c r="POX41" s="73"/>
      <c r="POY41" s="73"/>
      <c r="POZ41" s="73"/>
      <c r="PPA41" s="73"/>
      <c r="PPB41" s="73"/>
      <c r="PPC41" s="73"/>
      <c r="PPD41" s="73"/>
      <c r="PPE41" s="73"/>
      <c r="PPF41" s="73"/>
      <c r="PPG41" s="73"/>
      <c r="PPH41" s="73"/>
      <c r="PPI41" s="73"/>
      <c r="PPJ41" s="73"/>
      <c r="PPK41" s="73"/>
      <c r="PPL41" s="73"/>
      <c r="PPM41" s="73"/>
      <c r="PPN41" s="73"/>
      <c r="PPO41" s="73"/>
      <c r="PPP41" s="73"/>
      <c r="PPQ41" s="73"/>
      <c r="PPR41" s="73"/>
      <c r="PPS41" s="73"/>
      <c r="PPT41" s="73"/>
      <c r="PPU41" s="73"/>
      <c r="PPV41" s="73"/>
      <c r="PPW41" s="73"/>
      <c r="PPX41" s="73"/>
      <c r="PPY41" s="73"/>
      <c r="PPZ41" s="73"/>
      <c r="PQA41" s="73"/>
      <c r="PQB41" s="73"/>
      <c r="PQC41" s="73"/>
      <c r="PQD41" s="73"/>
      <c r="PQE41" s="73"/>
      <c r="PQF41" s="73"/>
      <c r="PQG41" s="73"/>
      <c r="PQH41" s="73"/>
      <c r="PQI41" s="73"/>
      <c r="PQJ41" s="73"/>
      <c r="PQK41" s="73"/>
      <c r="PQL41" s="73"/>
      <c r="PQM41" s="73"/>
      <c r="PQN41" s="73"/>
      <c r="PQO41" s="73"/>
      <c r="PQP41" s="73"/>
      <c r="PQQ41" s="73"/>
      <c r="PQR41" s="73"/>
      <c r="PQS41" s="73"/>
      <c r="PQT41" s="73"/>
      <c r="PQU41" s="73"/>
      <c r="PQV41" s="73"/>
      <c r="PQW41" s="73"/>
      <c r="PQX41" s="73"/>
      <c r="PQY41" s="73"/>
      <c r="PQZ41" s="73"/>
      <c r="PRA41" s="73"/>
      <c r="PRB41" s="73"/>
      <c r="PRC41" s="73"/>
      <c r="PRD41" s="73"/>
      <c r="PRE41" s="73"/>
      <c r="PRF41" s="73"/>
      <c r="PRG41" s="73"/>
      <c r="PRH41" s="73"/>
      <c r="PRI41" s="73"/>
      <c r="PRJ41" s="73"/>
      <c r="PRK41" s="73"/>
      <c r="PRL41" s="73"/>
      <c r="PRM41" s="73"/>
      <c r="PRN41" s="73"/>
      <c r="PRO41" s="73"/>
      <c r="PRP41" s="73"/>
      <c r="PRQ41" s="73"/>
      <c r="PRR41" s="73"/>
      <c r="PRS41" s="73"/>
      <c r="PRT41" s="73"/>
      <c r="PRU41" s="73"/>
      <c r="PRV41" s="73"/>
      <c r="PRW41" s="73"/>
      <c r="PRX41" s="73"/>
      <c r="PRY41" s="73"/>
      <c r="PRZ41" s="73"/>
      <c r="PSA41" s="73"/>
      <c r="PSB41" s="73"/>
      <c r="PSC41" s="73"/>
      <c r="PSD41" s="73"/>
      <c r="PSE41" s="73"/>
      <c r="PSF41" s="73"/>
      <c r="PSG41" s="73"/>
      <c r="PSH41" s="73"/>
      <c r="PSI41" s="73"/>
      <c r="PSJ41" s="73"/>
      <c r="PSK41" s="73"/>
      <c r="PSL41" s="73"/>
      <c r="PSM41" s="73"/>
      <c r="PSN41" s="73"/>
      <c r="PSO41" s="73"/>
      <c r="PSP41" s="73"/>
      <c r="PSQ41" s="73"/>
      <c r="PSR41" s="73"/>
      <c r="PSS41" s="73"/>
      <c r="PST41" s="73"/>
      <c r="PSU41" s="73"/>
      <c r="PSV41" s="73"/>
      <c r="PSW41" s="73"/>
      <c r="PSX41" s="73"/>
      <c r="PSY41" s="73"/>
      <c r="PSZ41" s="73"/>
      <c r="PTA41" s="73"/>
      <c r="PTB41" s="73"/>
      <c r="PTC41" s="73"/>
      <c r="PTD41" s="73"/>
      <c r="PTE41" s="73"/>
      <c r="PTF41" s="73"/>
      <c r="PTG41" s="73"/>
      <c r="PTH41" s="73"/>
      <c r="PTI41" s="73"/>
      <c r="PTJ41" s="73"/>
      <c r="PTK41" s="73"/>
      <c r="PTL41" s="73"/>
      <c r="PTM41" s="73"/>
      <c r="PTN41" s="73"/>
      <c r="PTO41" s="73"/>
      <c r="PTP41" s="73"/>
      <c r="PTQ41" s="73"/>
      <c r="PTR41" s="73"/>
      <c r="PTS41" s="73"/>
      <c r="PTT41" s="73"/>
      <c r="PTU41" s="73"/>
      <c r="PTV41" s="73"/>
      <c r="PTW41" s="73"/>
      <c r="PTX41" s="73"/>
      <c r="PTY41" s="73"/>
      <c r="PTZ41" s="73"/>
      <c r="PUA41" s="73"/>
      <c r="PUB41" s="73"/>
      <c r="PUC41" s="73"/>
      <c r="PUD41" s="73"/>
      <c r="PUE41" s="73"/>
      <c r="PUF41" s="73"/>
      <c r="PUG41" s="73"/>
      <c r="PUH41" s="73"/>
      <c r="PUI41" s="73"/>
      <c r="PUJ41" s="73"/>
      <c r="PUK41" s="73"/>
      <c r="PUL41" s="73"/>
      <c r="PUM41" s="73"/>
      <c r="PUN41" s="73"/>
      <c r="PUO41" s="73"/>
      <c r="PUP41" s="73"/>
      <c r="PUQ41" s="73"/>
      <c r="PUR41" s="73"/>
      <c r="PUS41" s="73"/>
      <c r="PUT41" s="73"/>
      <c r="PUU41" s="73"/>
      <c r="PUV41" s="73"/>
      <c r="PUW41" s="73"/>
      <c r="PUX41" s="73"/>
      <c r="PUY41" s="73"/>
      <c r="PUZ41" s="73"/>
      <c r="PVA41" s="73"/>
      <c r="PVB41" s="73"/>
      <c r="PVC41" s="73"/>
      <c r="PVD41" s="73"/>
      <c r="PVE41" s="73"/>
      <c r="PVF41" s="73"/>
      <c r="PVG41" s="73"/>
      <c r="PVH41" s="73"/>
      <c r="PVI41" s="73"/>
      <c r="PVJ41" s="73"/>
      <c r="PVK41" s="73"/>
      <c r="PVL41" s="73"/>
      <c r="PVM41" s="73"/>
      <c r="PVN41" s="73"/>
      <c r="PVO41" s="73"/>
      <c r="PVP41" s="73"/>
      <c r="PVQ41" s="73"/>
      <c r="PVR41" s="73"/>
      <c r="PVS41" s="73"/>
      <c r="PVT41" s="73"/>
      <c r="PVU41" s="73"/>
      <c r="PVV41" s="73"/>
      <c r="PVW41" s="73"/>
      <c r="PVX41" s="73"/>
      <c r="PVY41" s="73"/>
      <c r="PVZ41" s="73"/>
      <c r="PWA41" s="73"/>
      <c r="PWB41" s="73"/>
      <c r="PWC41" s="73"/>
      <c r="PWD41" s="73"/>
      <c r="PWE41" s="73"/>
      <c r="PWF41" s="73"/>
      <c r="PWG41" s="73"/>
      <c r="PWH41" s="73"/>
      <c r="PWI41" s="73"/>
      <c r="PWJ41" s="73"/>
      <c r="PWK41" s="73"/>
      <c r="PWL41" s="73"/>
      <c r="PWM41" s="73"/>
      <c r="PWN41" s="73"/>
      <c r="PWO41" s="73"/>
      <c r="PWP41" s="73"/>
      <c r="PWQ41" s="73"/>
      <c r="PWR41" s="73"/>
      <c r="PWS41" s="73"/>
      <c r="PWT41" s="73"/>
      <c r="PWU41" s="73"/>
      <c r="PWV41" s="73"/>
      <c r="PWW41" s="73"/>
      <c r="PWX41" s="73"/>
      <c r="PWY41" s="73"/>
      <c r="PWZ41" s="73"/>
      <c r="PXA41" s="73"/>
      <c r="PXB41" s="73"/>
      <c r="PXC41" s="73"/>
      <c r="PXD41" s="73"/>
      <c r="PXE41" s="73"/>
      <c r="PXF41" s="73"/>
      <c r="PXG41" s="73"/>
      <c r="PXH41" s="73"/>
      <c r="PXI41" s="73"/>
      <c r="PXJ41" s="73"/>
      <c r="PXK41" s="73"/>
      <c r="PXL41" s="73"/>
      <c r="PXM41" s="73"/>
      <c r="PXN41" s="73"/>
      <c r="PXO41" s="73"/>
      <c r="PXP41" s="73"/>
      <c r="PXQ41" s="73"/>
      <c r="PXR41" s="73"/>
      <c r="PXS41" s="73"/>
      <c r="PXT41" s="73"/>
      <c r="PXU41" s="73"/>
      <c r="PXV41" s="73"/>
      <c r="PXW41" s="73"/>
      <c r="PXX41" s="73"/>
      <c r="PXY41" s="73"/>
      <c r="PXZ41" s="73"/>
      <c r="PYA41" s="73"/>
      <c r="PYB41" s="73"/>
      <c r="PYC41" s="73"/>
      <c r="PYD41" s="73"/>
      <c r="PYE41" s="73"/>
      <c r="PYF41" s="73"/>
      <c r="PYG41" s="73"/>
      <c r="PYH41" s="73"/>
      <c r="PYI41" s="73"/>
      <c r="PYJ41" s="73"/>
      <c r="PYK41" s="73"/>
      <c r="PYL41" s="73"/>
      <c r="PYM41" s="73"/>
      <c r="PYN41" s="73"/>
      <c r="PYO41" s="73"/>
      <c r="PYP41" s="73"/>
      <c r="PYQ41" s="73"/>
      <c r="PYR41" s="73"/>
      <c r="PYS41" s="73"/>
      <c r="PYT41" s="73"/>
      <c r="PYU41" s="73"/>
      <c r="PYV41" s="73"/>
      <c r="PYW41" s="73"/>
      <c r="PYX41" s="73"/>
      <c r="PYY41" s="73"/>
      <c r="PYZ41" s="73"/>
      <c r="PZA41" s="73"/>
      <c r="PZB41" s="73"/>
      <c r="PZC41" s="73"/>
      <c r="PZD41" s="73"/>
      <c r="PZE41" s="73"/>
      <c r="PZF41" s="73"/>
      <c r="PZG41" s="73"/>
      <c r="PZH41" s="73"/>
      <c r="PZI41" s="73"/>
      <c r="PZJ41" s="73"/>
      <c r="PZK41" s="73"/>
      <c r="PZL41" s="73"/>
      <c r="PZM41" s="73"/>
      <c r="PZN41" s="73"/>
      <c r="PZO41" s="73"/>
      <c r="PZP41" s="73"/>
      <c r="PZQ41" s="73"/>
      <c r="PZR41" s="73"/>
      <c r="PZS41" s="73"/>
      <c r="PZT41" s="73"/>
      <c r="PZU41" s="73"/>
      <c r="PZV41" s="73"/>
      <c r="PZW41" s="73"/>
      <c r="PZX41" s="73"/>
      <c r="PZY41" s="73"/>
      <c r="PZZ41" s="73"/>
      <c r="QAA41" s="73"/>
      <c r="QAB41" s="73"/>
      <c r="QAC41" s="73"/>
      <c r="QAD41" s="73"/>
      <c r="QAE41" s="73"/>
      <c r="QAF41" s="73"/>
      <c r="QAG41" s="73"/>
      <c r="QAH41" s="73"/>
      <c r="QAI41" s="73"/>
      <c r="QAJ41" s="73"/>
      <c r="QAK41" s="73"/>
      <c r="QAL41" s="73"/>
      <c r="QAM41" s="73"/>
      <c r="QAN41" s="73"/>
      <c r="QAO41" s="73"/>
      <c r="QAP41" s="73"/>
      <c r="QAQ41" s="73"/>
      <c r="QAR41" s="73"/>
      <c r="QAS41" s="73"/>
      <c r="QAT41" s="73"/>
      <c r="QAU41" s="73"/>
      <c r="QAV41" s="73"/>
      <c r="QAW41" s="73"/>
      <c r="QAX41" s="73"/>
      <c r="QAY41" s="73"/>
      <c r="QAZ41" s="73"/>
      <c r="QBA41" s="73"/>
      <c r="QBB41" s="73"/>
      <c r="QBC41" s="73"/>
      <c r="QBD41" s="73"/>
      <c r="QBE41" s="73"/>
      <c r="QBF41" s="73"/>
      <c r="QBG41" s="73"/>
      <c r="QBH41" s="73"/>
      <c r="QBI41" s="73"/>
      <c r="QBJ41" s="73"/>
      <c r="QBK41" s="73"/>
      <c r="QBL41" s="73"/>
      <c r="QBM41" s="73"/>
      <c r="QBN41" s="73"/>
      <c r="QBO41" s="73"/>
      <c r="QBP41" s="73"/>
      <c r="QBQ41" s="73"/>
      <c r="QBR41" s="73"/>
      <c r="QBS41" s="73"/>
      <c r="QBT41" s="73"/>
      <c r="QBU41" s="73"/>
      <c r="QBV41" s="73"/>
      <c r="QBW41" s="73"/>
      <c r="QBX41" s="73"/>
      <c r="QBY41" s="73"/>
      <c r="QBZ41" s="73"/>
      <c r="QCA41" s="73"/>
      <c r="QCB41" s="73"/>
      <c r="QCC41" s="73"/>
      <c r="QCD41" s="73"/>
      <c r="QCE41" s="73"/>
      <c r="QCF41" s="73"/>
      <c r="QCG41" s="73"/>
      <c r="QCH41" s="73"/>
      <c r="QCI41" s="73"/>
      <c r="QCJ41" s="73"/>
      <c r="QCK41" s="73"/>
      <c r="QCL41" s="73"/>
      <c r="QCM41" s="73"/>
      <c r="QCN41" s="73"/>
      <c r="QCO41" s="73"/>
      <c r="QCP41" s="73"/>
      <c r="QCQ41" s="73"/>
      <c r="QCR41" s="73"/>
      <c r="QCS41" s="73"/>
      <c r="QCT41" s="73"/>
      <c r="QCU41" s="73"/>
      <c r="QCV41" s="73"/>
      <c r="QCW41" s="73"/>
      <c r="QCX41" s="73"/>
      <c r="QCY41" s="73"/>
      <c r="QCZ41" s="73"/>
      <c r="QDA41" s="73"/>
      <c r="QDB41" s="73"/>
      <c r="QDC41" s="73"/>
      <c r="QDD41" s="73"/>
      <c r="QDE41" s="73"/>
      <c r="QDF41" s="73"/>
      <c r="QDG41" s="73"/>
      <c r="QDH41" s="73"/>
      <c r="QDI41" s="73"/>
      <c r="QDJ41" s="73"/>
      <c r="QDK41" s="73"/>
      <c r="QDL41" s="73"/>
      <c r="QDM41" s="73"/>
      <c r="QDN41" s="73"/>
      <c r="QDO41" s="73"/>
      <c r="QDP41" s="73"/>
      <c r="QDQ41" s="73"/>
      <c r="QDR41" s="73"/>
      <c r="QDS41" s="73"/>
      <c r="QDT41" s="73"/>
      <c r="QDU41" s="73"/>
      <c r="QDV41" s="73"/>
      <c r="QDW41" s="73"/>
      <c r="QDX41" s="73"/>
      <c r="QDY41" s="73"/>
      <c r="QDZ41" s="73"/>
      <c r="QEA41" s="73"/>
      <c r="QEB41" s="73"/>
      <c r="QEC41" s="73"/>
      <c r="QED41" s="73"/>
      <c r="QEE41" s="73"/>
      <c r="QEF41" s="73"/>
      <c r="QEG41" s="73"/>
      <c r="QEH41" s="73"/>
      <c r="QEI41" s="73"/>
      <c r="QEJ41" s="73"/>
      <c r="QEK41" s="73"/>
      <c r="QEL41" s="73"/>
      <c r="QEM41" s="73"/>
      <c r="QEN41" s="73"/>
      <c r="QEO41" s="73"/>
      <c r="QEP41" s="73"/>
      <c r="QEQ41" s="73"/>
      <c r="QER41" s="73"/>
      <c r="QES41" s="73"/>
      <c r="QET41" s="73"/>
      <c r="QEU41" s="73"/>
      <c r="QEV41" s="73"/>
      <c r="QEW41" s="73"/>
      <c r="QEX41" s="73"/>
      <c r="QEY41" s="73"/>
      <c r="QEZ41" s="73"/>
      <c r="QFA41" s="73"/>
      <c r="QFB41" s="73"/>
      <c r="QFC41" s="73"/>
      <c r="QFD41" s="73"/>
      <c r="QFE41" s="73"/>
      <c r="QFF41" s="73"/>
      <c r="QFG41" s="73"/>
      <c r="QFH41" s="73"/>
      <c r="QFI41" s="73"/>
      <c r="QFJ41" s="73"/>
      <c r="QFK41" s="73"/>
      <c r="QFL41" s="73"/>
      <c r="QFM41" s="73"/>
      <c r="QFN41" s="73"/>
      <c r="QFO41" s="73"/>
      <c r="QFP41" s="73"/>
      <c r="QFQ41" s="73"/>
      <c r="QFR41" s="73"/>
      <c r="QFS41" s="73"/>
      <c r="QFT41" s="73"/>
      <c r="QFU41" s="73"/>
      <c r="QFV41" s="73"/>
      <c r="QFW41" s="73"/>
      <c r="QFX41" s="73"/>
      <c r="QFY41" s="73"/>
      <c r="QFZ41" s="73"/>
      <c r="QGA41" s="73"/>
      <c r="QGB41" s="73"/>
      <c r="QGC41" s="73"/>
      <c r="QGD41" s="73"/>
      <c r="QGE41" s="73"/>
      <c r="QGF41" s="73"/>
      <c r="QGG41" s="73"/>
      <c r="QGH41" s="73"/>
      <c r="QGI41" s="73"/>
      <c r="QGJ41" s="73"/>
      <c r="QGK41" s="73"/>
      <c r="QGL41" s="73"/>
      <c r="QGM41" s="73"/>
      <c r="QGN41" s="73"/>
      <c r="QGO41" s="73"/>
      <c r="QGP41" s="73"/>
      <c r="QGQ41" s="73"/>
      <c r="QGR41" s="73"/>
      <c r="QGS41" s="73"/>
      <c r="QGT41" s="73"/>
      <c r="QGU41" s="73"/>
      <c r="QGV41" s="73"/>
      <c r="QGW41" s="73"/>
      <c r="QGX41" s="73"/>
      <c r="QGY41" s="73"/>
      <c r="QGZ41" s="73"/>
      <c r="QHA41" s="73"/>
      <c r="QHB41" s="73"/>
      <c r="QHC41" s="73"/>
      <c r="QHD41" s="73"/>
      <c r="QHE41" s="73"/>
      <c r="QHF41" s="73"/>
      <c r="QHG41" s="73"/>
      <c r="QHH41" s="73"/>
      <c r="QHI41" s="73"/>
      <c r="QHJ41" s="73"/>
      <c r="QHK41" s="73"/>
      <c r="QHL41" s="73"/>
      <c r="QHM41" s="73"/>
      <c r="QHN41" s="73"/>
      <c r="QHO41" s="73"/>
      <c r="QHP41" s="73"/>
      <c r="QHQ41" s="73"/>
      <c r="QHR41" s="73"/>
      <c r="QHS41" s="73"/>
      <c r="QHT41" s="73"/>
      <c r="QHU41" s="73"/>
      <c r="QHV41" s="73"/>
      <c r="QHW41" s="73"/>
      <c r="QHX41" s="73"/>
      <c r="QHY41" s="73"/>
      <c r="QHZ41" s="73"/>
      <c r="QIA41" s="73"/>
      <c r="QIB41" s="73"/>
      <c r="QIC41" s="73"/>
      <c r="QID41" s="73"/>
      <c r="QIE41" s="73"/>
      <c r="QIF41" s="73"/>
      <c r="QIG41" s="73"/>
      <c r="QIH41" s="73"/>
      <c r="QII41" s="73"/>
      <c r="QIJ41" s="73"/>
      <c r="QIK41" s="73"/>
      <c r="QIL41" s="73"/>
      <c r="QIM41" s="73"/>
      <c r="QIN41" s="73"/>
      <c r="QIO41" s="73"/>
      <c r="QIP41" s="73"/>
      <c r="QIQ41" s="73"/>
      <c r="QIR41" s="73"/>
      <c r="QIS41" s="73"/>
      <c r="QIT41" s="73"/>
      <c r="QIU41" s="73"/>
      <c r="QIV41" s="73"/>
      <c r="QIW41" s="73"/>
      <c r="QIX41" s="73"/>
      <c r="QIY41" s="73"/>
      <c r="QIZ41" s="73"/>
      <c r="QJA41" s="73"/>
      <c r="QJB41" s="73"/>
      <c r="QJC41" s="73"/>
      <c r="QJD41" s="73"/>
      <c r="QJE41" s="73"/>
      <c r="QJF41" s="73"/>
      <c r="QJG41" s="73"/>
      <c r="QJH41" s="73"/>
      <c r="QJI41" s="73"/>
      <c r="QJJ41" s="73"/>
      <c r="QJK41" s="73"/>
      <c r="QJL41" s="73"/>
      <c r="QJM41" s="73"/>
      <c r="QJN41" s="73"/>
      <c r="QJO41" s="73"/>
      <c r="QJP41" s="73"/>
      <c r="QJQ41" s="73"/>
      <c r="QJR41" s="73"/>
      <c r="QJS41" s="73"/>
      <c r="QJT41" s="73"/>
      <c r="QJU41" s="73"/>
      <c r="QJV41" s="73"/>
      <c r="QJW41" s="73"/>
      <c r="QJX41" s="73"/>
      <c r="QJY41" s="73"/>
      <c r="QJZ41" s="73"/>
      <c r="QKA41" s="73"/>
      <c r="QKB41" s="73"/>
      <c r="QKC41" s="73"/>
      <c r="QKD41" s="73"/>
      <c r="QKE41" s="73"/>
      <c r="QKF41" s="73"/>
      <c r="QKG41" s="73"/>
      <c r="QKH41" s="73"/>
      <c r="QKI41" s="73"/>
      <c r="QKJ41" s="73"/>
      <c r="QKK41" s="73"/>
      <c r="QKL41" s="73"/>
      <c r="QKM41" s="73"/>
      <c r="QKN41" s="73"/>
      <c r="QKO41" s="73"/>
      <c r="QKP41" s="73"/>
      <c r="QKQ41" s="73"/>
      <c r="QKR41" s="73"/>
      <c r="QKS41" s="73"/>
      <c r="QKT41" s="73"/>
      <c r="QKU41" s="73"/>
      <c r="QKV41" s="73"/>
      <c r="QKW41" s="73"/>
      <c r="QKX41" s="73"/>
      <c r="QKY41" s="73"/>
      <c r="QKZ41" s="73"/>
      <c r="QLA41" s="73"/>
      <c r="QLB41" s="73"/>
      <c r="QLC41" s="73"/>
      <c r="QLD41" s="73"/>
      <c r="QLE41" s="73"/>
      <c r="QLF41" s="73"/>
      <c r="QLG41" s="73"/>
      <c r="QLH41" s="73"/>
      <c r="QLI41" s="73"/>
      <c r="QLJ41" s="73"/>
      <c r="QLK41" s="73"/>
      <c r="QLL41" s="73"/>
      <c r="QLM41" s="73"/>
      <c r="QLN41" s="73"/>
      <c r="QLO41" s="73"/>
      <c r="QLP41" s="73"/>
      <c r="QLQ41" s="73"/>
      <c r="QLR41" s="73"/>
      <c r="QLS41" s="73"/>
      <c r="QLT41" s="73"/>
      <c r="QLU41" s="73"/>
      <c r="QLV41" s="73"/>
      <c r="QLW41" s="73"/>
      <c r="QLX41" s="73"/>
      <c r="QLY41" s="73"/>
      <c r="QLZ41" s="73"/>
      <c r="QMA41" s="73"/>
      <c r="QMB41" s="73"/>
      <c r="QMC41" s="73"/>
      <c r="QMD41" s="73"/>
      <c r="QME41" s="73"/>
      <c r="QMF41" s="73"/>
      <c r="QMG41" s="73"/>
      <c r="QMH41" s="73"/>
      <c r="QMI41" s="73"/>
      <c r="QMJ41" s="73"/>
      <c r="QMK41" s="73"/>
      <c r="QML41" s="73"/>
      <c r="QMM41" s="73"/>
      <c r="QMN41" s="73"/>
      <c r="QMO41" s="73"/>
      <c r="QMP41" s="73"/>
      <c r="QMQ41" s="73"/>
      <c r="QMR41" s="73"/>
      <c r="QMS41" s="73"/>
      <c r="QMT41" s="73"/>
      <c r="QMU41" s="73"/>
      <c r="QMV41" s="73"/>
      <c r="QMW41" s="73"/>
      <c r="QMX41" s="73"/>
      <c r="QMY41" s="73"/>
      <c r="QMZ41" s="73"/>
      <c r="QNA41" s="73"/>
      <c r="QNB41" s="73"/>
      <c r="QNC41" s="73"/>
      <c r="QND41" s="73"/>
      <c r="QNE41" s="73"/>
      <c r="QNF41" s="73"/>
      <c r="QNG41" s="73"/>
      <c r="QNH41" s="73"/>
      <c r="QNI41" s="73"/>
      <c r="QNJ41" s="73"/>
      <c r="QNK41" s="73"/>
      <c r="QNL41" s="73"/>
      <c r="QNM41" s="73"/>
      <c r="QNN41" s="73"/>
      <c r="QNO41" s="73"/>
      <c r="QNP41" s="73"/>
      <c r="QNQ41" s="73"/>
      <c r="QNR41" s="73"/>
      <c r="QNS41" s="73"/>
      <c r="QNT41" s="73"/>
      <c r="QNU41" s="73"/>
      <c r="QNV41" s="73"/>
      <c r="QNW41" s="73"/>
      <c r="QNX41" s="73"/>
      <c r="QNY41" s="73"/>
      <c r="QNZ41" s="73"/>
      <c r="QOA41" s="73"/>
      <c r="QOB41" s="73"/>
      <c r="QOC41" s="73"/>
      <c r="QOD41" s="73"/>
      <c r="QOE41" s="73"/>
      <c r="QOF41" s="73"/>
      <c r="QOG41" s="73"/>
      <c r="QOH41" s="73"/>
      <c r="QOI41" s="73"/>
      <c r="QOJ41" s="73"/>
      <c r="QOK41" s="73"/>
      <c r="QOL41" s="73"/>
      <c r="QOM41" s="73"/>
      <c r="QON41" s="73"/>
      <c r="QOO41" s="73"/>
      <c r="QOP41" s="73"/>
      <c r="QOQ41" s="73"/>
      <c r="QOR41" s="73"/>
      <c r="QOS41" s="73"/>
      <c r="QOT41" s="73"/>
      <c r="QOU41" s="73"/>
      <c r="QOV41" s="73"/>
      <c r="QOW41" s="73"/>
      <c r="QOX41" s="73"/>
      <c r="QOY41" s="73"/>
      <c r="QOZ41" s="73"/>
      <c r="QPA41" s="73"/>
      <c r="QPB41" s="73"/>
      <c r="QPC41" s="73"/>
      <c r="QPD41" s="73"/>
      <c r="QPE41" s="73"/>
      <c r="QPF41" s="73"/>
      <c r="QPG41" s="73"/>
      <c r="QPH41" s="73"/>
      <c r="QPI41" s="73"/>
      <c r="QPJ41" s="73"/>
      <c r="QPK41" s="73"/>
      <c r="QPL41" s="73"/>
      <c r="QPM41" s="73"/>
      <c r="QPN41" s="73"/>
      <c r="QPO41" s="73"/>
      <c r="QPP41" s="73"/>
      <c r="QPQ41" s="73"/>
      <c r="QPR41" s="73"/>
      <c r="QPS41" s="73"/>
      <c r="QPT41" s="73"/>
      <c r="QPU41" s="73"/>
      <c r="QPV41" s="73"/>
      <c r="QPW41" s="73"/>
      <c r="QPX41" s="73"/>
      <c r="QPY41" s="73"/>
      <c r="QPZ41" s="73"/>
      <c r="QQA41" s="73"/>
      <c r="QQB41" s="73"/>
      <c r="QQC41" s="73"/>
      <c r="QQD41" s="73"/>
      <c r="QQE41" s="73"/>
      <c r="QQF41" s="73"/>
      <c r="QQG41" s="73"/>
      <c r="QQH41" s="73"/>
      <c r="QQI41" s="73"/>
      <c r="QQJ41" s="73"/>
      <c r="QQK41" s="73"/>
      <c r="QQL41" s="73"/>
      <c r="QQM41" s="73"/>
      <c r="QQN41" s="73"/>
      <c r="QQO41" s="73"/>
      <c r="QQP41" s="73"/>
      <c r="QQQ41" s="73"/>
      <c r="QQR41" s="73"/>
      <c r="QQS41" s="73"/>
      <c r="QQT41" s="73"/>
      <c r="QQU41" s="73"/>
      <c r="QQV41" s="73"/>
      <c r="QQW41" s="73"/>
      <c r="QQX41" s="73"/>
      <c r="QQY41" s="73"/>
      <c r="QQZ41" s="73"/>
      <c r="QRA41" s="73"/>
      <c r="QRB41" s="73"/>
      <c r="QRC41" s="73"/>
      <c r="QRD41" s="73"/>
      <c r="QRE41" s="73"/>
      <c r="QRF41" s="73"/>
      <c r="QRG41" s="73"/>
      <c r="QRH41" s="73"/>
      <c r="QRI41" s="73"/>
      <c r="QRJ41" s="73"/>
      <c r="QRK41" s="73"/>
      <c r="QRL41" s="73"/>
      <c r="QRM41" s="73"/>
      <c r="QRN41" s="73"/>
      <c r="QRO41" s="73"/>
      <c r="QRP41" s="73"/>
      <c r="QRQ41" s="73"/>
      <c r="QRR41" s="73"/>
      <c r="QRS41" s="73"/>
      <c r="QRT41" s="73"/>
      <c r="QRU41" s="73"/>
      <c r="QRV41" s="73"/>
      <c r="QRW41" s="73"/>
      <c r="QRX41" s="73"/>
      <c r="QRY41" s="73"/>
      <c r="QRZ41" s="73"/>
      <c r="QSA41" s="73"/>
      <c r="QSB41" s="73"/>
      <c r="QSC41" s="73"/>
      <c r="QSD41" s="73"/>
      <c r="QSE41" s="73"/>
      <c r="QSF41" s="73"/>
      <c r="QSG41" s="73"/>
      <c r="QSH41" s="73"/>
      <c r="QSI41" s="73"/>
      <c r="QSJ41" s="73"/>
      <c r="QSK41" s="73"/>
      <c r="QSL41" s="73"/>
      <c r="QSM41" s="73"/>
      <c r="QSN41" s="73"/>
      <c r="QSO41" s="73"/>
      <c r="QSP41" s="73"/>
      <c r="QSQ41" s="73"/>
      <c r="QSR41" s="73"/>
      <c r="QSS41" s="73"/>
      <c r="QST41" s="73"/>
      <c r="QSU41" s="73"/>
      <c r="QSV41" s="73"/>
      <c r="QSW41" s="73"/>
      <c r="QSX41" s="73"/>
      <c r="QSY41" s="73"/>
      <c r="QSZ41" s="73"/>
      <c r="QTA41" s="73"/>
      <c r="QTB41" s="73"/>
      <c r="QTC41" s="73"/>
      <c r="QTD41" s="73"/>
      <c r="QTE41" s="73"/>
      <c r="QTF41" s="73"/>
      <c r="QTG41" s="73"/>
      <c r="QTH41" s="73"/>
      <c r="QTI41" s="73"/>
      <c r="QTJ41" s="73"/>
      <c r="QTK41" s="73"/>
      <c r="QTL41" s="73"/>
      <c r="QTM41" s="73"/>
      <c r="QTN41" s="73"/>
      <c r="QTO41" s="73"/>
      <c r="QTP41" s="73"/>
      <c r="QTQ41" s="73"/>
      <c r="QTR41" s="73"/>
      <c r="QTS41" s="73"/>
      <c r="QTT41" s="73"/>
      <c r="QTU41" s="73"/>
      <c r="QTV41" s="73"/>
      <c r="QTW41" s="73"/>
      <c r="QTX41" s="73"/>
      <c r="QTY41" s="73"/>
      <c r="QTZ41" s="73"/>
      <c r="QUA41" s="73"/>
      <c r="QUB41" s="73"/>
      <c r="QUC41" s="73"/>
      <c r="QUD41" s="73"/>
      <c r="QUE41" s="73"/>
      <c r="QUF41" s="73"/>
      <c r="QUG41" s="73"/>
      <c r="QUH41" s="73"/>
      <c r="QUI41" s="73"/>
      <c r="QUJ41" s="73"/>
      <c r="QUK41" s="73"/>
      <c r="QUL41" s="73"/>
      <c r="QUM41" s="73"/>
      <c r="QUN41" s="73"/>
      <c r="QUO41" s="73"/>
      <c r="QUP41" s="73"/>
      <c r="QUQ41" s="73"/>
      <c r="QUR41" s="73"/>
      <c r="QUS41" s="73"/>
      <c r="QUT41" s="73"/>
      <c r="QUU41" s="73"/>
      <c r="QUV41" s="73"/>
      <c r="QUW41" s="73"/>
      <c r="QUX41" s="73"/>
      <c r="QUY41" s="73"/>
      <c r="QUZ41" s="73"/>
      <c r="QVA41" s="73"/>
      <c r="QVB41" s="73"/>
      <c r="QVC41" s="73"/>
      <c r="QVD41" s="73"/>
      <c r="QVE41" s="73"/>
      <c r="QVF41" s="73"/>
      <c r="QVG41" s="73"/>
      <c r="QVH41" s="73"/>
      <c r="QVI41" s="73"/>
      <c r="QVJ41" s="73"/>
      <c r="QVK41" s="73"/>
      <c r="QVL41" s="73"/>
      <c r="QVM41" s="73"/>
      <c r="QVN41" s="73"/>
      <c r="QVO41" s="73"/>
      <c r="QVP41" s="73"/>
      <c r="QVQ41" s="73"/>
      <c r="QVR41" s="73"/>
      <c r="QVS41" s="73"/>
      <c r="QVT41" s="73"/>
      <c r="QVU41" s="73"/>
      <c r="QVV41" s="73"/>
      <c r="QVW41" s="73"/>
      <c r="QVX41" s="73"/>
      <c r="QVY41" s="73"/>
      <c r="QVZ41" s="73"/>
      <c r="QWA41" s="73"/>
      <c r="QWB41" s="73"/>
      <c r="QWC41" s="73"/>
      <c r="QWD41" s="73"/>
      <c r="QWE41" s="73"/>
      <c r="QWF41" s="73"/>
      <c r="QWG41" s="73"/>
      <c r="QWH41" s="73"/>
      <c r="QWI41" s="73"/>
      <c r="QWJ41" s="73"/>
      <c r="QWK41" s="73"/>
      <c r="QWL41" s="73"/>
      <c r="QWM41" s="73"/>
      <c r="QWN41" s="73"/>
      <c r="QWO41" s="73"/>
      <c r="QWP41" s="73"/>
      <c r="QWQ41" s="73"/>
      <c r="QWR41" s="73"/>
      <c r="QWS41" s="73"/>
      <c r="QWT41" s="73"/>
      <c r="QWU41" s="73"/>
      <c r="QWV41" s="73"/>
      <c r="QWW41" s="73"/>
      <c r="QWX41" s="73"/>
      <c r="QWY41" s="73"/>
      <c r="QWZ41" s="73"/>
      <c r="QXA41" s="73"/>
      <c r="QXB41" s="73"/>
      <c r="QXC41" s="73"/>
      <c r="QXD41" s="73"/>
      <c r="QXE41" s="73"/>
      <c r="QXF41" s="73"/>
      <c r="QXG41" s="73"/>
      <c r="QXH41" s="73"/>
      <c r="QXI41" s="73"/>
      <c r="QXJ41" s="73"/>
      <c r="QXK41" s="73"/>
      <c r="QXL41" s="73"/>
      <c r="QXM41" s="73"/>
      <c r="QXN41" s="73"/>
      <c r="QXO41" s="73"/>
      <c r="QXP41" s="73"/>
      <c r="QXQ41" s="73"/>
      <c r="QXR41" s="73"/>
      <c r="QXS41" s="73"/>
      <c r="QXT41" s="73"/>
      <c r="QXU41" s="73"/>
      <c r="QXV41" s="73"/>
      <c r="QXW41" s="73"/>
      <c r="QXX41" s="73"/>
      <c r="QXY41" s="73"/>
      <c r="QXZ41" s="73"/>
      <c r="QYA41" s="73"/>
      <c r="QYB41" s="73"/>
      <c r="QYC41" s="73"/>
      <c r="QYD41" s="73"/>
      <c r="QYE41" s="73"/>
      <c r="QYF41" s="73"/>
      <c r="QYG41" s="73"/>
      <c r="QYH41" s="73"/>
      <c r="QYI41" s="73"/>
      <c r="QYJ41" s="73"/>
      <c r="QYK41" s="73"/>
      <c r="QYL41" s="73"/>
      <c r="QYM41" s="73"/>
      <c r="QYN41" s="73"/>
      <c r="QYO41" s="73"/>
      <c r="QYP41" s="73"/>
      <c r="QYQ41" s="73"/>
      <c r="QYR41" s="73"/>
      <c r="QYS41" s="73"/>
      <c r="QYT41" s="73"/>
      <c r="QYU41" s="73"/>
      <c r="QYV41" s="73"/>
      <c r="QYW41" s="73"/>
      <c r="QYX41" s="73"/>
      <c r="QYY41" s="73"/>
      <c r="QYZ41" s="73"/>
      <c r="QZA41" s="73"/>
      <c r="QZB41" s="73"/>
      <c r="QZC41" s="73"/>
      <c r="QZD41" s="73"/>
      <c r="QZE41" s="73"/>
      <c r="QZF41" s="73"/>
      <c r="QZG41" s="73"/>
      <c r="QZH41" s="73"/>
      <c r="QZI41" s="73"/>
      <c r="QZJ41" s="73"/>
      <c r="QZK41" s="73"/>
      <c r="QZL41" s="73"/>
      <c r="QZM41" s="73"/>
      <c r="QZN41" s="73"/>
      <c r="QZO41" s="73"/>
      <c r="QZP41" s="73"/>
      <c r="QZQ41" s="73"/>
      <c r="QZR41" s="73"/>
      <c r="QZS41" s="73"/>
      <c r="QZT41" s="73"/>
      <c r="QZU41" s="73"/>
      <c r="QZV41" s="73"/>
      <c r="QZW41" s="73"/>
      <c r="QZX41" s="73"/>
      <c r="QZY41" s="73"/>
      <c r="QZZ41" s="73"/>
      <c r="RAA41" s="73"/>
      <c r="RAB41" s="73"/>
      <c r="RAC41" s="73"/>
      <c r="RAD41" s="73"/>
      <c r="RAE41" s="73"/>
      <c r="RAF41" s="73"/>
      <c r="RAG41" s="73"/>
      <c r="RAH41" s="73"/>
      <c r="RAI41" s="73"/>
      <c r="RAJ41" s="73"/>
      <c r="RAK41" s="73"/>
      <c r="RAL41" s="73"/>
      <c r="RAM41" s="73"/>
      <c r="RAN41" s="73"/>
      <c r="RAO41" s="73"/>
      <c r="RAP41" s="73"/>
      <c r="RAQ41" s="73"/>
      <c r="RAR41" s="73"/>
      <c r="RAS41" s="73"/>
      <c r="RAT41" s="73"/>
      <c r="RAU41" s="73"/>
      <c r="RAV41" s="73"/>
      <c r="RAW41" s="73"/>
      <c r="RAX41" s="73"/>
      <c r="RAY41" s="73"/>
      <c r="RAZ41" s="73"/>
      <c r="RBA41" s="73"/>
      <c r="RBB41" s="73"/>
      <c r="RBC41" s="73"/>
      <c r="RBD41" s="73"/>
      <c r="RBE41" s="73"/>
      <c r="RBF41" s="73"/>
      <c r="RBG41" s="73"/>
      <c r="RBH41" s="73"/>
      <c r="RBI41" s="73"/>
      <c r="RBJ41" s="73"/>
      <c r="RBK41" s="73"/>
      <c r="RBL41" s="73"/>
      <c r="RBM41" s="73"/>
      <c r="RBN41" s="73"/>
      <c r="RBO41" s="73"/>
      <c r="RBP41" s="73"/>
      <c r="RBQ41" s="73"/>
      <c r="RBR41" s="73"/>
      <c r="RBS41" s="73"/>
      <c r="RBT41" s="73"/>
      <c r="RBU41" s="73"/>
      <c r="RBV41" s="73"/>
      <c r="RBW41" s="73"/>
      <c r="RBX41" s="73"/>
      <c r="RBY41" s="73"/>
      <c r="RBZ41" s="73"/>
      <c r="RCA41" s="73"/>
      <c r="RCB41" s="73"/>
      <c r="RCC41" s="73"/>
      <c r="RCD41" s="73"/>
      <c r="RCE41" s="73"/>
      <c r="RCF41" s="73"/>
      <c r="RCG41" s="73"/>
      <c r="RCH41" s="73"/>
      <c r="RCI41" s="73"/>
      <c r="RCJ41" s="73"/>
      <c r="RCK41" s="73"/>
      <c r="RCL41" s="73"/>
      <c r="RCM41" s="73"/>
      <c r="RCN41" s="73"/>
      <c r="RCO41" s="73"/>
      <c r="RCP41" s="73"/>
      <c r="RCQ41" s="73"/>
      <c r="RCR41" s="73"/>
      <c r="RCS41" s="73"/>
      <c r="RCT41" s="73"/>
      <c r="RCU41" s="73"/>
      <c r="RCV41" s="73"/>
      <c r="RCW41" s="73"/>
      <c r="RCX41" s="73"/>
      <c r="RCY41" s="73"/>
      <c r="RCZ41" s="73"/>
      <c r="RDA41" s="73"/>
      <c r="RDB41" s="73"/>
      <c r="RDC41" s="73"/>
      <c r="RDD41" s="73"/>
      <c r="RDE41" s="73"/>
      <c r="RDF41" s="73"/>
      <c r="RDG41" s="73"/>
      <c r="RDH41" s="73"/>
      <c r="RDI41" s="73"/>
      <c r="RDJ41" s="73"/>
      <c r="RDK41" s="73"/>
      <c r="RDL41" s="73"/>
      <c r="RDM41" s="73"/>
      <c r="RDN41" s="73"/>
      <c r="RDO41" s="73"/>
      <c r="RDP41" s="73"/>
      <c r="RDQ41" s="73"/>
      <c r="RDR41" s="73"/>
      <c r="RDS41" s="73"/>
      <c r="RDT41" s="73"/>
      <c r="RDU41" s="73"/>
      <c r="RDV41" s="73"/>
      <c r="RDW41" s="73"/>
      <c r="RDX41" s="73"/>
      <c r="RDY41" s="73"/>
      <c r="RDZ41" s="73"/>
      <c r="REA41" s="73"/>
      <c r="REB41" s="73"/>
      <c r="REC41" s="73"/>
      <c r="RED41" s="73"/>
      <c r="REE41" s="73"/>
      <c r="REF41" s="73"/>
      <c r="REG41" s="73"/>
      <c r="REH41" s="73"/>
      <c r="REI41" s="73"/>
      <c r="REJ41" s="73"/>
      <c r="REK41" s="73"/>
      <c r="REL41" s="73"/>
      <c r="REM41" s="73"/>
      <c r="REN41" s="73"/>
      <c r="REO41" s="73"/>
      <c r="REP41" s="73"/>
      <c r="REQ41" s="73"/>
      <c r="RER41" s="73"/>
      <c r="RES41" s="73"/>
      <c r="RET41" s="73"/>
      <c r="REU41" s="73"/>
      <c r="REV41" s="73"/>
      <c r="REW41" s="73"/>
      <c r="REX41" s="73"/>
      <c r="REY41" s="73"/>
      <c r="REZ41" s="73"/>
      <c r="RFA41" s="73"/>
      <c r="RFB41" s="73"/>
      <c r="RFC41" s="73"/>
      <c r="RFD41" s="73"/>
      <c r="RFE41" s="73"/>
      <c r="RFF41" s="73"/>
      <c r="RFG41" s="73"/>
      <c r="RFH41" s="73"/>
      <c r="RFI41" s="73"/>
      <c r="RFJ41" s="73"/>
      <c r="RFK41" s="73"/>
      <c r="RFL41" s="73"/>
      <c r="RFM41" s="73"/>
      <c r="RFN41" s="73"/>
      <c r="RFO41" s="73"/>
      <c r="RFP41" s="73"/>
      <c r="RFQ41" s="73"/>
      <c r="RFR41" s="73"/>
      <c r="RFS41" s="73"/>
      <c r="RFT41" s="73"/>
      <c r="RFU41" s="73"/>
      <c r="RFV41" s="73"/>
      <c r="RFW41" s="73"/>
      <c r="RFX41" s="73"/>
      <c r="RFY41" s="73"/>
      <c r="RFZ41" s="73"/>
      <c r="RGA41" s="73"/>
      <c r="RGB41" s="73"/>
      <c r="RGC41" s="73"/>
      <c r="RGD41" s="73"/>
      <c r="RGE41" s="73"/>
      <c r="RGF41" s="73"/>
      <c r="RGG41" s="73"/>
      <c r="RGH41" s="73"/>
      <c r="RGI41" s="73"/>
      <c r="RGJ41" s="73"/>
      <c r="RGK41" s="73"/>
      <c r="RGL41" s="73"/>
      <c r="RGM41" s="73"/>
      <c r="RGN41" s="73"/>
      <c r="RGO41" s="73"/>
      <c r="RGP41" s="73"/>
      <c r="RGQ41" s="73"/>
      <c r="RGR41" s="73"/>
      <c r="RGS41" s="73"/>
      <c r="RGT41" s="73"/>
      <c r="RGU41" s="73"/>
      <c r="RGV41" s="73"/>
      <c r="RGW41" s="73"/>
      <c r="RGX41" s="73"/>
      <c r="RGY41" s="73"/>
      <c r="RGZ41" s="73"/>
      <c r="RHA41" s="73"/>
      <c r="RHB41" s="73"/>
      <c r="RHC41" s="73"/>
      <c r="RHD41" s="73"/>
      <c r="RHE41" s="73"/>
      <c r="RHF41" s="73"/>
      <c r="RHG41" s="73"/>
      <c r="RHH41" s="73"/>
      <c r="RHI41" s="73"/>
      <c r="RHJ41" s="73"/>
      <c r="RHK41" s="73"/>
      <c r="RHL41" s="73"/>
      <c r="RHM41" s="73"/>
      <c r="RHN41" s="73"/>
      <c r="RHO41" s="73"/>
      <c r="RHP41" s="73"/>
      <c r="RHQ41" s="73"/>
      <c r="RHR41" s="73"/>
      <c r="RHS41" s="73"/>
      <c r="RHT41" s="73"/>
      <c r="RHU41" s="73"/>
      <c r="RHV41" s="73"/>
      <c r="RHW41" s="73"/>
      <c r="RHX41" s="73"/>
      <c r="RHY41" s="73"/>
      <c r="RHZ41" s="73"/>
      <c r="RIA41" s="73"/>
      <c r="RIB41" s="73"/>
      <c r="RIC41" s="73"/>
      <c r="RID41" s="73"/>
      <c r="RIE41" s="73"/>
      <c r="RIF41" s="73"/>
      <c r="RIG41" s="73"/>
      <c r="RIH41" s="73"/>
      <c r="RII41" s="73"/>
      <c r="RIJ41" s="73"/>
      <c r="RIK41" s="73"/>
      <c r="RIL41" s="73"/>
      <c r="RIM41" s="73"/>
      <c r="RIN41" s="73"/>
      <c r="RIO41" s="73"/>
      <c r="RIP41" s="73"/>
      <c r="RIQ41" s="73"/>
      <c r="RIR41" s="73"/>
      <c r="RIS41" s="73"/>
      <c r="RIT41" s="73"/>
      <c r="RIU41" s="73"/>
      <c r="RIV41" s="73"/>
      <c r="RIW41" s="73"/>
      <c r="RIX41" s="73"/>
      <c r="RIY41" s="73"/>
      <c r="RIZ41" s="73"/>
      <c r="RJA41" s="73"/>
      <c r="RJB41" s="73"/>
      <c r="RJC41" s="73"/>
      <c r="RJD41" s="73"/>
      <c r="RJE41" s="73"/>
      <c r="RJF41" s="73"/>
      <c r="RJG41" s="73"/>
      <c r="RJH41" s="73"/>
      <c r="RJI41" s="73"/>
      <c r="RJJ41" s="73"/>
      <c r="RJK41" s="73"/>
      <c r="RJL41" s="73"/>
      <c r="RJM41" s="73"/>
      <c r="RJN41" s="73"/>
      <c r="RJO41" s="73"/>
      <c r="RJP41" s="73"/>
      <c r="RJQ41" s="73"/>
      <c r="RJR41" s="73"/>
      <c r="RJS41" s="73"/>
      <c r="RJT41" s="73"/>
      <c r="RJU41" s="73"/>
      <c r="RJV41" s="73"/>
      <c r="RJW41" s="73"/>
      <c r="RJX41" s="73"/>
      <c r="RJY41" s="73"/>
      <c r="RJZ41" s="73"/>
      <c r="RKA41" s="73"/>
      <c r="RKB41" s="73"/>
      <c r="RKC41" s="73"/>
      <c r="RKD41" s="73"/>
      <c r="RKE41" s="73"/>
      <c r="RKF41" s="73"/>
      <c r="RKG41" s="73"/>
      <c r="RKH41" s="73"/>
      <c r="RKI41" s="73"/>
      <c r="RKJ41" s="73"/>
      <c r="RKK41" s="73"/>
      <c r="RKL41" s="73"/>
      <c r="RKM41" s="73"/>
      <c r="RKN41" s="73"/>
      <c r="RKO41" s="73"/>
      <c r="RKP41" s="73"/>
      <c r="RKQ41" s="73"/>
      <c r="RKR41" s="73"/>
      <c r="RKS41" s="73"/>
      <c r="RKT41" s="73"/>
      <c r="RKU41" s="73"/>
      <c r="RKV41" s="73"/>
      <c r="RKW41" s="73"/>
      <c r="RKX41" s="73"/>
      <c r="RKY41" s="73"/>
      <c r="RKZ41" s="73"/>
      <c r="RLA41" s="73"/>
      <c r="RLB41" s="73"/>
      <c r="RLC41" s="73"/>
      <c r="RLD41" s="73"/>
      <c r="RLE41" s="73"/>
      <c r="RLF41" s="73"/>
      <c r="RLG41" s="73"/>
      <c r="RLH41" s="73"/>
      <c r="RLI41" s="73"/>
      <c r="RLJ41" s="73"/>
      <c r="RLK41" s="73"/>
      <c r="RLL41" s="73"/>
      <c r="RLM41" s="73"/>
      <c r="RLN41" s="73"/>
      <c r="RLO41" s="73"/>
      <c r="RLP41" s="73"/>
      <c r="RLQ41" s="73"/>
      <c r="RLR41" s="73"/>
      <c r="RLS41" s="73"/>
      <c r="RLT41" s="73"/>
      <c r="RLU41" s="73"/>
      <c r="RLV41" s="73"/>
      <c r="RLW41" s="73"/>
      <c r="RLX41" s="73"/>
      <c r="RLY41" s="73"/>
      <c r="RLZ41" s="73"/>
      <c r="RMA41" s="73"/>
      <c r="RMB41" s="73"/>
      <c r="RMC41" s="73"/>
      <c r="RMD41" s="73"/>
      <c r="RME41" s="73"/>
      <c r="RMF41" s="73"/>
      <c r="RMG41" s="73"/>
      <c r="RMH41" s="73"/>
      <c r="RMI41" s="73"/>
      <c r="RMJ41" s="73"/>
      <c r="RMK41" s="73"/>
      <c r="RML41" s="73"/>
      <c r="RMM41" s="73"/>
      <c r="RMN41" s="73"/>
      <c r="RMO41" s="73"/>
      <c r="RMP41" s="73"/>
      <c r="RMQ41" s="73"/>
      <c r="RMR41" s="73"/>
      <c r="RMS41" s="73"/>
      <c r="RMT41" s="73"/>
      <c r="RMU41" s="73"/>
      <c r="RMV41" s="73"/>
      <c r="RMW41" s="73"/>
      <c r="RMX41" s="73"/>
      <c r="RMY41" s="73"/>
      <c r="RMZ41" s="73"/>
      <c r="RNA41" s="73"/>
      <c r="RNB41" s="73"/>
      <c r="RNC41" s="73"/>
      <c r="RND41" s="73"/>
      <c r="RNE41" s="73"/>
      <c r="RNF41" s="73"/>
      <c r="RNG41" s="73"/>
      <c r="RNH41" s="73"/>
      <c r="RNI41" s="73"/>
      <c r="RNJ41" s="73"/>
      <c r="RNK41" s="73"/>
      <c r="RNL41" s="73"/>
      <c r="RNM41" s="73"/>
      <c r="RNN41" s="73"/>
      <c r="RNO41" s="73"/>
      <c r="RNP41" s="73"/>
      <c r="RNQ41" s="73"/>
      <c r="RNR41" s="73"/>
      <c r="RNS41" s="73"/>
      <c r="RNT41" s="73"/>
      <c r="RNU41" s="73"/>
      <c r="RNV41" s="73"/>
      <c r="RNW41" s="73"/>
      <c r="RNX41" s="73"/>
      <c r="RNY41" s="73"/>
      <c r="RNZ41" s="73"/>
      <c r="ROA41" s="73"/>
      <c r="ROB41" s="73"/>
      <c r="ROC41" s="73"/>
      <c r="ROD41" s="73"/>
      <c r="ROE41" s="73"/>
      <c r="ROF41" s="73"/>
      <c r="ROG41" s="73"/>
      <c r="ROH41" s="73"/>
      <c r="ROI41" s="73"/>
      <c r="ROJ41" s="73"/>
      <c r="ROK41" s="73"/>
      <c r="ROL41" s="73"/>
      <c r="ROM41" s="73"/>
      <c r="RON41" s="73"/>
      <c r="ROO41" s="73"/>
      <c r="ROP41" s="73"/>
      <c r="ROQ41" s="73"/>
      <c r="ROR41" s="73"/>
      <c r="ROS41" s="73"/>
      <c r="ROT41" s="73"/>
      <c r="ROU41" s="73"/>
      <c r="ROV41" s="73"/>
      <c r="ROW41" s="73"/>
      <c r="ROX41" s="73"/>
      <c r="ROY41" s="73"/>
      <c r="ROZ41" s="73"/>
      <c r="RPA41" s="73"/>
      <c r="RPB41" s="73"/>
      <c r="RPC41" s="73"/>
      <c r="RPD41" s="73"/>
      <c r="RPE41" s="73"/>
      <c r="RPF41" s="73"/>
      <c r="RPG41" s="73"/>
      <c r="RPH41" s="73"/>
      <c r="RPI41" s="73"/>
      <c r="RPJ41" s="73"/>
      <c r="RPK41" s="73"/>
      <c r="RPL41" s="73"/>
      <c r="RPM41" s="73"/>
      <c r="RPN41" s="73"/>
      <c r="RPO41" s="73"/>
      <c r="RPP41" s="73"/>
      <c r="RPQ41" s="73"/>
      <c r="RPR41" s="73"/>
      <c r="RPS41" s="73"/>
      <c r="RPT41" s="73"/>
      <c r="RPU41" s="73"/>
      <c r="RPV41" s="73"/>
      <c r="RPW41" s="73"/>
      <c r="RPX41" s="73"/>
      <c r="RPY41" s="73"/>
      <c r="RPZ41" s="73"/>
      <c r="RQA41" s="73"/>
      <c r="RQB41" s="73"/>
      <c r="RQC41" s="73"/>
      <c r="RQD41" s="73"/>
      <c r="RQE41" s="73"/>
      <c r="RQF41" s="73"/>
      <c r="RQG41" s="73"/>
      <c r="RQH41" s="73"/>
      <c r="RQI41" s="73"/>
      <c r="RQJ41" s="73"/>
      <c r="RQK41" s="73"/>
      <c r="RQL41" s="73"/>
      <c r="RQM41" s="73"/>
      <c r="RQN41" s="73"/>
      <c r="RQO41" s="73"/>
      <c r="RQP41" s="73"/>
      <c r="RQQ41" s="73"/>
      <c r="RQR41" s="73"/>
      <c r="RQS41" s="73"/>
      <c r="RQT41" s="73"/>
      <c r="RQU41" s="73"/>
      <c r="RQV41" s="73"/>
      <c r="RQW41" s="73"/>
      <c r="RQX41" s="73"/>
      <c r="RQY41" s="73"/>
      <c r="RQZ41" s="73"/>
      <c r="RRA41" s="73"/>
      <c r="RRB41" s="73"/>
      <c r="RRC41" s="73"/>
      <c r="RRD41" s="73"/>
      <c r="RRE41" s="73"/>
      <c r="RRF41" s="73"/>
      <c r="RRG41" s="73"/>
      <c r="RRH41" s="73"/>
      <c r="RRI41" s="73"/>
      <c r="RRJ41" s="73"/>
      <c r="RRK41" s="73"/>
      <c r="RRL41" s="73"/>
      <c r="RRM41" s="73"/>
      <c r="RRN41" s="73"/>
      <c r="RRO41" s="73"/>
      <c r="RRP41" s="73"/>
      <c r="RRQ41" s="73"/>
      <c r="RRR41" s="73"/>
      <c r="RRS41" s="73"/>
      <c r="RRT41" s="73"/>
      <c r="RRU41" s="73"/>
      <c r="RRV41" s="73"/>
      <c r="RRW41" s="73"/>
      <c r="RRX41" s="73"/>
      <c r="RRY41" s="73"/>
      <c r="RRZ41" s="73"/>
      <c r="RSA41" s="73"/>
      <c r="RSB41" s="73"/>
      <c r="RSC41" s="73"/>
      <c r="RSD41" s="73"/>
      <c r="RSE41" s="73"/>
      <c r="RSF41" s="73"/>
      <c r="RSG41" s="73"/>
      <c r="RSH41" s="73"/>
      <c r="RSI41" s="73"/>
      <c r="RSJ41" s="73"/>
      <c r="RSK41" s="73"/>
      <c r="RSL41" s="73"/>
      <c r="RSM41" s="73"/>
      <c r="RSN41" s="73"/>
      <c r="RSO41" s="73"/>
      <c r="RSP41" s="73"/>
      <c r="RSQ41" s="73"/>
      <c r="RSR41" s="73"/>
      <c r="RSS41" s="73"/>
      <c r="RST41" s="73"/>
      <c r="RSU41" s="73"/>
      <c r="RSV41" s="73"/>
      <c r="RSW41" s="73"/>
      <c r="RSX41" s="73"/>
      <c r="RSY41" s="73"/>
      <c r="RSZ41" s="73"/>
      <c r="RTA41" s="73"/>
      <c r="RTB41" s="73"/>
      <c r="RTC41" s="73"/>
      <c r="RTD41" s="73"/>
      <c r="RTE41" s="73"/>
      <c r="RTF41" s="73"/>
      <c r="RTG41" s="73"/>
      <c r="RTH41" s="73"/>
      <c r="RTI41" s="73"/>
      <c r="RTJ41" s="73"/>
      <c r="RTK41" s="73"/>
      <c r="RTL41" s="73"/>
      <c r="RTM41" s="73"/>
      <c r="RTN41" s="73"/>
      <c r="RTO41" s="73"/>
      <c r="RTP41" s="73"/>
      <c r="RTQ41" s="73"/>
      <c r="RTR41" s="73"/>
      <c r="RTS41" s="73"/>
      <c r="RTT41" s="73"/>
      <c r="RTU41" s="73"/>
      <c r="RTV41" s="73"/>
      <c r="RTW41" s="73"/>
      <c r="RTX41" s="73"/>
      <c r="RTY41" s="73"/>
      <c r="RTZ41" s="73"/>
      <c r="RUA41" s="73"/>
      <c r="RUB41" s="73"/>
      <c r="RUC41" s="73"/>
      <c r="RUD41" s="73"/>
      <c r="RUE41" s="73"/>
      <c r="RUF41" s="73"/>
      <c r="RUG41" s="73"/>
      <c r="RUH41" s="73"/>
      <c r="RUI41" s="73"/>
      <c r="RUJ41" s="73"/>
      <c r="RUK41" s="73"/>
      <c r="RUL41" s="73"/>
      <c r="RUM41" s="73"/>
      <c r="RUN41" s="73"/>
      <c r="RUO41" s="73"/>
      <c r="RUP41" s="73"/>
      <c r="RUQ41" s="73"/>
      <c r="RUR41" s="73"/>
      <c r="RUS41" s="73"/>
      <c r="RUT41" s="73"/>
      <c r="RUU41" s="73"/>
      <c r="RUV41" s="73"/>
      <c r="RUW41" s="73"/>
      <c r="RUX41" s="73"/>
      <c r="RUY41" s="73"/>
      <c r="RUZ41" s="73"/>
      <c r="RVA41" s="73"/>
      <c r="RVB41" s="73"/>
      <c r="RVC41" s="73"/>
      <c r="RVD41" s="73"/>
      <c r="RVE41" s="73"/>
      <c r="RVF41" s="73"/>
      <c r="RVG41" s="73"/>
      <c r="RVH41" s="73"/>
      <c r="RVI41" s="73"/>
      <c r="RVJ41" s="73"/>
      <c r="RVK41" s="73"/>
      <c r="RVL41" s="73"/>
      <c r="RVM41" s="73"/>
      <c r="RVN41" s="73"/>
      <c r="RVO41" s="73"/>
      <c r="RVP41" s="73"/>
      <c r="RVQ41" s="73"/>
      <c r="RVR41" s="73"/>
      <c r="RVS41" s="73"/>
      <c r="RVT41" s="73"/>
      <c r="RVU41" s="73"/>
      <c r="RVV41" s="73"/>
      <c r="RVW41" s="73"/>
      <c r="RVX41" s="73"/>
      <c r="RVY41" s="73"/>
      <c r="RVZ41" s="73"/>
      <c r="RWA41" s="73"/>
      <c r="RWB41" s="73"/>
      <c r="RWC41" s="73"/>
      <c r="RWD41" s="73"/>
      <c r="RWE41" s="73"/>
      <c r="RWF41" s="73"/>
      <c r="RWG41" s="73"/>
      <c r="RWH41" s="73"/>
      <c r="RWI41" s="73"/>
      <c r="RWJ41" s="73"/>
      <c r="RWK41" s="73"/>
      <c r="RWL41" s="73"/>
      <c r="RWM41" s="73"/>
      <c r="RWN41" s="73"/>
      <c r="RWO41" s="73"/>
      <c r="RWP41" s="73"/>
      <c r="RWQ41" s="73"/>
      <c r="RWR41" s="73"/>
      <c r="RWS41" s="73"/>
      <c r="RWT41" s="73"/>
      <c r="RWU41" s="73"/>
      <c r="RWV41" s="73"/>
      <c r="RWW41" s="73"/>
      <c r="RWX41" s="73"/>
      <c r="RWY41" s="73"/>
      <c r="RWZ41" s="73"/>
      <c r="RXA41" s="73"/>
      <c r="RXB41" s="73"/>
      <c r="RXC41" s="73"/>
      <c r="RXD41" s="73"/>
      <c r="RXE41" s="73"/>
      <c r="RXF41" s="73"/>
      <c r="RXG41" s="73"/>
      <c r="RXH41" s="73"/>
      <c r="RXI41" s="73"/>
      <c r="RXJ41" s="73"/>
      <c r="RXK41" s="73"/>
      <c r="RXL41" s="73"/>
      <c r="RXM41" s="73"/>
      <c r="RXN41" s="73"/>
      <c r="RXO41" s="73"/>
      <c r="RXP41" s="73"/>
      <c r="RXQ41" s="73"/>
      <c r="RXR41" s="73"/>
      <c r="RXS41" s="73"/>
      <c r="RXT41" s="73"/>
      <c r="RXU41" s="73"/>
      <c r="RXV41" s="73"/>
      <c r="RXW41" s="73"/>
      <c r="RXX41" s="73"/>
      <c r="RXY41" s="73"/>
      <c r="RXZ41" s="73"/>
      <c r="RYA41" s="73"/>
      <c r="RYB41" s="73"/>
      <c r="RYC41" s="73"/>
      <c r="RYD41" s="73"/>
      <c r="RYE41" s="73"/>
      <c r="RYF41" s="73"/>
      <c r="RYG41" s="73"/>
      <c r="RYH41" s="73"/>
      <c r="RYI41" s="73"/>
      <c r="RYJ41" s="73"/>
      <c r="RYK41" s="73"/>
      <c r="RYL41" s="73"/>
      <c r="RYM41" s="73"/>
      <c r="RYN41" s="73"/>
      <c r="RYO41" s="73"/>
      <c r="RYP41" s="73"/>
      <c r="RYQ41" s="73"/>
      <c r="RYR41" s="73"/>
      <c r="RYS41" s="73"/>
      <c r="RYT41" s="73"/>
      <c r="RYU41" s="73"/>
      <c r="RYV41" s="73"/>
      <c r="RYW41" s="73"/>
      <c r="RYX41" s="73"/>
      <c r="RYY41" s="73"/>
      <c r="RYZ41" s="73"/>
      <c r="RZA41" s="73"/>
      <c r="RZB41" s="73"/>
      <c r="RZC41" s="73"/>
      <c r="RZD41" s="73"/>
      <c r="RZE41" s="73"/>
      <c r="RZF41" s="73"/>
      <c r="RZG41" s="73"/>
      <c r="RZH41" s="73"/>
      <c r="RZI41" s="73"/>
      <c r="RZJ41" s="73"/>
      <c r="RZK41" s="73"/>
      <c r="RZL41" s="73"/>
      <c r="RZM41" s="73"/>
      <c r="RZN41" s="73"/>
      <c r="RZO41" s="73"/>
      <c r="RZP41" s="73"/>
      <c r="RZQ41" s="73"/>
      <c r="RZR41" s="73"/>
      <c r="RZS41" s="73"/>
      <c r="RZT41" s="73"/>
      <c r="RZU41" s="73"/>
      <c r="RZV41" s="73"/>
      <c r="RZW41" s="73"/>
      <c r="RZX41" s="73"/>
      <c r="RZY41" s="73"/>
      <c r="RZZ41" s="73"/>
      <c r="SAA41" s="73"/>
      <c r="SAB41" s="73"/>
      <c r="SAC41" s="73"/>
      <c r="SAD41" s="73"/>
      <c r="SAE41" s="73"/>
      <c r="SAF41" s="73"/>
      <c r="SAG41" s="73"/>
      <c r="SAH41" s="73"/>
      <c r="SAI41" s="73"/>
      <c r="SAJ41" s="73"/>
      <c r="SAK41" s="73"/>
      <c r="SAL41" s="73"/>
      <c r="SAM41" s="73"/>
      <c r="SAN41" s="73"/>
      <c r="SAO41" s="73"/>
      <c r="SAP41" s="73"/>
      <c r="SAQ41" s="73"/>
      <c r="SAR41" s="73"/>
      <c r="SAS41" s="73"/>
      <c r="SAT41" s="73"/>
      <c r="SAU41" s="73"/>
      <c r="SAV41" s="73"/>
      <c r="SAW41" s="73"/>
      <c r="SAX41" s="73"/>
      <c r="SAY41" s="73"/>
      <c r="SAZ41" s="73"/>
      <c r="SBA41" s="73"/>
      <c r="SBB41" s="73"/>
      <c r="SBC41" s="73"/>
      <c r="SBD41" s="73"/>
      <c r="SBE41" s="73"/>
      <c r="SBF41" s="73"/>
      <c r="SBG41" s="73"/>
      <c r="SBH41" s="73"/>
      <c r="SBI41" s="73"/>
      <c r="SBJ41" s="73"/>
      <c r="SBK41" s="73"/>
      <c r="SBL41" s="73"/>
      <c r="SBM41" s="73"/>
      <c r="SBN41" s="73"/>
      <c r="SBO41" s="73"/>
      <c r="SBP41" s="73"/>
      <c r="SBQ41" s="73"/>
      <c r="SBR41" s="73"/>
      <c r="SBS41" s="73"/>
      <c r="SBT41" s="73"/>
      <c r="SBU41" s="73"/>
      <c r="SBV41" s="73"/>
      <c r="SBW41" s="73"/>
      <c r="SBX41" s="73"/>
      <c r="SBY41" s="73"/>
      <c r="SBZ41" s="73"/>
      <c r="SCA41" s="73"/>
      <c r="SCB41" s="73"/>
      <c r="SCC41" s="73"/>
      <c r="SCD41" s="73"/>
      <c r="SCE41" s="73"/>
      <c r="SCF41" s="73"/>
      <c r="SCG41" s="73"/>
      <c r="SCH41" s="73"/>
      <c r="SCI41" s="73"/>
      <c r="SCJ41" s="73"/>
      <c r="SCK41" s="73"/>
      <c r="SCL41" s="73"/>
      <c r="SCM41" s="73"/>
      <c r="SCN41" s="73"/>
      <c r="SCO41" s="73"/>
      <c r="SCP41" s="73"/>
      <c r="SCQ41" s="73"/>
      <c r="SCR41" s="73"/>
      <c r="SCS41" s="73"/>
      <c r="SCT41" s="73"/>
      <c r="SCU41" s="73"/>
      <c r="SCV41" s="73"/>
      <c r="SCW41" s="73"/>
      <c r="SCX41" s="73"/>
      <c r="SCY41" s="73"/>
      <c r="SCZ41" s="73"/>
      <c r="SDA41" s="73"/>
      <c r="SDB41" s="73"/>
      <c r="SDC41" s="73"/>
      <c r="SDD41" s="73"/>
      <c r="SDE41" s="73"/>
      <c r="SDF41" s="73"/>
      <c r="SDG41" s="73"/>
      <c r="SDH41" s="73"/>
      <c r="SDI41" s="73"/>
      <c r="SDJ41" s="73"/>
      <c r="SDK41" s="73"/>
      <c r="SDL41" s="73"/>
      <c r="SDM41" s="73"/>
      <c r="SDN41" s="73"/>
      <c r="SDO41" s="73"/>
      <c r="SDP41" s="73"/>
      <c r="SDQ41" s="73"/>
      <c r="SDR41" s="73"/>
      <c r="SDS41" s="73"/>
      <c r="SDT41" s="73"/>
      <c r="SDU41" s="73"/>
      <c r="SDV41" s="73"/>
      <c r="SDW41" s="73"/>
      <c r="SDX41" s="73"/>
      <c r="SDY41" s="73"/>
      <c r="SDZ41" s="73"/>
      <c r="SEA41" s="73"/>
      <c r="SEB41" s="73"/>
      <c r="SEC41" s="73"/>
      <c r="SED41" s="73"/>
      <c r="SEE41" s="73"/>
      <c r="SEF41" s="73"/>
      <c r="SEG41" s="73"/>
      <c r="SEH41" s="73"/>
      <c r="SEI41" s="73"/>
      <c r="SEJ41" s="73"/>
      <c r="SEK41" s="73"/>
      <c r="SEL41" s="73"/>
      <c r="SEM41" s="73"/>
      <c r="SEN41" s="73"/>
      <c r="SEO41" s="73"/>
      <c r="SEP41" s="73"/>
      <c r="SEQ41" s="73"/>
      <c r="SER41" s="73"/>
      <c r="SES41" s="73"/>
      <c r="SET41" s="73"/>
      <c r="SEU41" s="73"/>
      <c r="SEV41" s="73"/>
      <c r="SEW41" s="73"/>
      <c r="SEX41" s="73"/>
      <c r="SEY41" s="73"/>
      <c r="SEZ41" s="73"/>
      <c r="SFA41" s="73"/>
      <c r="SFB41" s="73"/>
      <c r="SFC41" s="73"/>
      <c r="SFD41" s="73"/>
      <c r="SFE41" s="73"/>
      <c r="SFF41" s="73"/>
      <c r="SFG41" s="73"/>
      <c r="SFH41" s="73"/>
      <c r="SFI41" s="73"/>
      <c r="SFJ41" s="73"/>
      <c r="SFK41" s="73"/>
      <c r="SFL41" s="73"/>
      <c r="SFM41" s="73"/>
      <c r="SFN41" s="73"/>
      <c r="SFO41" s="73"/>
      <c r="SFP41" s="73"/>
      <c r="SFQ41" s="73"/>
      <c r="SFR41" s="73"/>
      <c r="SFS41" s="73"/>
      <c r="SFT41" s="73"/>
      <c r="SFU41" s="73"/>
      <c r="SFV41" s="73"/>
      <c r="SFW41" s="73"/>
      <c r="SFX41" s="73"/>
      <c r="SFY41" s="73"/>
      <c r="SFZ41" s="73"/>
      <c r="SGA41" s="73"/>
      <c r="SGB41" s="73"/>
      <c r="SGC41" s="73"/>
      <c r="SGD41" s="73"/>
      <c r="SGE41" s="73"/>
      <c r="SGF41" s="73"/>
      <c r="SGG41" s="73"/>
      <c r="SGH41" s="73"/>
      <c r="SGI41" s="73"/>
      <c r="SGJ41" s="73"/>
      <c r="SGK41" s="73"/>
      <c r="SGL41" s="73"/>
      <c r="SGM41" s="73"/>
      <c r="SGN41" s="73"/>
      <c r="SGO41" s="73"/>
      <c r="SGP41" s="73"/>
      <c r="SGQ41" s="73"/>
      <c r="SGR41" s="73"/>
      <c r="SGS41" s="73"/>
      <c r="SGT41" s="73"/>
      <c r="SGU41" s="73"/>
      <c r="SGV41" s="73"/>
      <c r="SGW41" s="73"/>
      <c r="SGX41" s="73"/>
      <c r="SGY41" s="73"/>
      <c r="SGZ41" s="73"/>
      <c r="SHA41" s="73"/>
      <c r="SHB41" s="73"/>
      <c r="SHC41" s="73"/>
      <c r="SHD41" s="73"/>
      <c r="SHE41" s="73"/>
      <c r="SHF41" s="73"/>
      <c r="SHG41" s="73"/>
      <c r="SHH41" s="73"/>
      <c r="SHI41" s="73"/>
      <c r="SHJ41" s="73"/>
      <c r="SHK41" s="73"/>
      <c r="SHL41" s="73"/>
      <c r="SHM41" s="73"/>
      <c r="SHN41" s="73"/>
      <c r="SHO41" s="73"/>
      <c r="SHP41" s="73"/>
      <c r="SHQ41" s="73"/>
      <c r="SHR41" s="73"/>
      <c r="SHS41" s="73"/>
      <c r="SHT41" s="73"/>
      <c r="SHU41" s="73"/>
      <c r="SHV41" s="73"/>
      <c r="SHW41" s="73"/>
      <c r="SHX41" s="73"/>
      <c r="SHY41" s="73"/>
      <c r="SHZ41" s="73"/>
      <c r="SIA41" s="73"/>
      <c r="SIB41" s="73"/>
      <c r="SIC41" s="73"/>
      <c r="SID41" s="73"/>
      <c r="SIE41" s="73"/>
      <c r="SIF41" s="73"/>
      <c r="SIG41" s="73"/>
      <c r="SIH41" s="73"/>
      <c r="SII41" s="73"/>
      <c r="SIJ41" s="73"/>
      <c r="SIK41" s="73"/>
      <c r="SIL41" s="73"/>
      <c r="SIM41" s="73"/>
      <c r="SIN41" s="73"/>
      <c r="SIO41" s="73"/>
      <c r="SIP41" s="73"/>
      <c r="SIQ41" s="73"/>
      <c r="SIR41" s="73"/>
      <c r="SIS41" s="73"/>
      <c r="SIT41" s="73"/>
      <c r="SIU41" s="73"/>
      <c r="SIV41" s="73"/>
      <c r="SIW41" s="73"/>
      <c r="SIX41" s="73"/>
      <c r="SIY41" s="73"/>
      <c r="SIZ41" s="73"/>
      <c r="SJA41" s="73"/>
      <c r="SJB41" s="73"/>
      <c r="SJC41" s="73"/>
      <c r="SJD41" s="73"/>
      <c r="SJE41" s="73"/>
      <c r="SJF41" s="73"/>
      <c r="SJG41" s="73"/>
      <c r="SJH41" s="73"/>
      <c r="SJI41" s="73"/>
      <c r="SJJ41" s="73"/>
      <c r="SJK41" s="73"/>
      <c r="SJL41" s="73"/>
      <c r="SJM41" s="73"/>
      <c r="SJN41" s="73"/>
      <c r="SJO41" s="73"/>
      <c r="SJP41" s="73"/>
      <c r="SJQ41" s="73"/>
      <c r="SJR41" s="73"/>
      <c r="SJS41" s="73"/>
      <c r="SJT41" s="73"/>
      <c r="SJU41" s="73"/>
      <c r="SJV41" s="73"/>
      <c r="SJW41" s="73"/>
      <c r="SJX41" s="73"/>
      <c r="SJY41" s="73"/>
      <c r="SJZ41" s="73"/>
      <c r="SKA41" s="73"/>
      <c r="SKB41" s="73"/>
      <c r="SKC41" s="73"/>
      <c r="SKD41" s="73"/>
      <c r="SKE41" s="73"/>
      <c r="SKF41" s="73"/>
      <c r="SKG41" s="73"/>
      <c r="SKH41" s="73"/>
      <c r="SKI41" s="73"/>
      <c r="SKJ41" s="73"/>
      <c r="SKK41" s="73"/>
      <c r="SKL41" s="73"/>
      <c r="SKM41" s="73"/>
      <c r="SKN41" s="73"/>
      <c r="SKO41" s="73"/>
      <c r="SKP41" s="73"/>
      <c r="SKQ41" s="73"/>
      <c r="SKR41" s="73"/>
      <c r="SKS41" s="73"/>
      <c r="SKT41" s="73"/>
      <c r="SKU41" s="73"/>
      <c r="SKV41" s="73"/>
      <c r="SKW41" s="73"/>
      <c r="SKX41" s="73"/>
      <c r="SKY41" s="73"/>
      <c r="SKZ41" s="73"/>
      <c r="SLA41" s="73"/>
      <c r="SLB41" s="73"/>
      <c r="SLC41" s="73"/>
      <c r="SLD41" s="73"/>
      <c r="SLE41" s="73"/>
      <c r="SLF41" s="73"/>
      <c r="SLG41" s="73"/>
      <c r="SLH41" s="73"/>
      <c r="SLI41" s="73"/>
      <c r="SLJ41" s="73"/>
      <c r="SLK41" s="73"/>
      <c r="SLL41" s="73"/>
      <c r="SLM41" s="73"/>
      <c r="SLN41" s="73"/>
      <c r="SLO41" s="73"/>
      <c r="SLP41" s="73"/>
      <c r="SLQ41" s="73"/>
      <c r="SLR41" s="73"/>
      <c r="SLS41" s="73"/>
      <c r="SLT41" s="73"/>
      <c r="SLU41" s="73"/>
      <c r="SLV41" s="73"/>
      <c r="SLW41" s="73"/>
      <c r="SLX41" s="73"/>
      <c r="SLY41" s="73"/>
      <c r="SLZ41" s="73"/>
      <c r="SMA41" s="73"/>
      <c r="SMB41" s="73"/>
      <c r="SMC41" s="73"/>
      <c r="SMD41" s="73"/>
      <c r="SME41" s="73"/>
      <c r="SMF41" s="73"/>
      <c r="SMG41" s="73"/>
      <c r="SMH41" s="73"/>
      <c r="SMI41" s="73"/>
      <c r="SMJ41" s="73"/>
      <c r="SMK41" s="73"/>
      <c r="SML41" s="73"/>
      <c r="SMM41" s="73"/>
      <c r="SMN41" s="73"/>
      <c r="SMO41" s="73"/>
      <c r="SMP41" s="73"/>
      <c r="SMQ41" s="73"/>
      <c r="SMR41" s="73"/>
      <c r="SMS41" s="73"/>
      <c r="SMT41" s="73"/>
      <c r="SMU41" s="73"/>
      <c r="SMV41" s="73"/>
      <c r="SMW41" s="73"/>
      <c r="SMX41" s="73"/>
      <c r="SMY41" s="73"/>
      <c r="SMZ41" s="73"/>
      <c r="SNA41" s="73"/>
      <c r="SNB41" s="73"/>
      <c r="SNC41" s="73"/>
      <c r="SND41" s="73"/>
      <c r="SNE41" s="73"/>
      <c r="SNF41" s="73"/>
      <c r="SNG41" s="73"/>
      <c r="SNH41" s="73"/>
      <c r="SNI41" s="73"/>
      <c r="SNJ41" s="73"/>
      <c r="SNK41" s="73"/>
      <c r="SNL41" s="73"/>
      <c r="SNM41" s="73"/>
      <c r="SNN41" s="73"/>
      <c r="SNO41" s="73"/>
      <c r="SNP41" s="73"/>
      <c r="SNQ41" s="73"/>
      <c r="SNR41" s="73"/>
      <c r="SNS41" s="73"/>
      <c r="SNT41" s="73"/>
      <c r="SNU41" s="73"/>
      <c r="SNV41" s="73"/>
      <c r="SNW41" s="73"/>
      <c r="SNX41" s="73"/>
      <c r="SNY41" s="73"/>
      <c r="SNZ41" s="73"/>
      <c r="SOA41" s="73"/>
      <c r="SOB41" s="73"/>
      <c r="SOC41" s="73"/>
      <c r="SOD41" s="73"/>
      <c r="SOE41" s="73"/>
      <c r="SOF41" s="73"/>
      <c r="SOG41" s="73"/>
      <c r="SOH41" s="73"/>
      <c r="SOI41" s="73"/>
      <c r="SOJ41" s="73"/>
      <c r="SOK41" s="73"/>
      <c r="SOL41" s="73"/>
      <c r="SOM41" s="73"/>
      <c r="SON41" s="73"/>
      <c r="SOO41" s="73"/>
      <c r="SOP41" s="73"/>
      <c r="SOQ41" s="73"/>
      <c r="SOR41" s="73"/>
      <c r="SOS41" s="73"/>
      <c r="SOT41" s="73"/>
      <c r="SOU41" s="73"/>
      <c r="SOV41" s="73"/>
      <c r="SOW41" s="73"/>
      <c r="SOX41" s="73"/>
      <c r="SOY41" s="73"/>
      <c r="SOZ41" s="73"/>
      <c r="SPA41" s="73"/>
      <c r="SPB41" s="73"/>
      <c r="SPC41" s="73"/>
      <c r="SPD41" s="73"/>
      <c r="SPE41" s="73"/>
      <c r="SPF41" s="73"/>
      <c r="SPG41" s="73"/>
      <c r="SPH41" s="73"/>
      <c r="SPI41" s="73"/>
      <c r="SPJ41" s="73"/>
      <c r="SPK41" s="73"/>
      <c r="SPL41" s="73"/>
      <c r="SPM41" s="73"/>
      <c r="SPN41" s="73"/>
      <c r="SPO41" s="73"/>
      <c r="SPP41" s="73"/>
      <c r="SPQ41" s="73"/>
      <c r="SPR41" s="73"/>
      <c r="SPS41" s="73"/>
      <c r="SPT41" s="73"/>
      <c r="SPU41" s="73"/>
      <c r="SPV41" s="73"/>
      <c r="SPW41" s="73"/>
      <c r="SPX41" s="73"/>
      <c r="SPY41" s="73"/>
      <c r="SPZ41" s="73"/>
      <c r="SQA41" s="73"/>
      <c r="SQB41" s="73"/>
      <c r="SQC41" s="73"/>
      <c r="SQD41" s="73"/>
      <c r="SQE41" s="73"/>
      <c r="SQF41" s="73"/>
      <c r="SQG41" s="73"/>
      <c r="SQH41" s="73"/>
      <c r="SQI41" s="73"/>
      <c r="SQJ41" s="73"/>
      <c r="SQK41" s="73"/>
      <c r="SQL41" s="73"/>
      <c r="SQM41" s="73"/>
      <c r="SQN41" s="73"/>
      <c r="SQO41" s="73"/>
      <c r="SQP41" s="73"/>
      <c r="SQQ41" s="73"/>
      <c r="SQR41" s="73"/>
      <c r="SQS41" s="73"/>
      <c r="SQT41" s="73"/>
      <c r="SQU41" s="73"/>
      <c r="SQV41" s="73"/>
      <c r="SQW41" s="73"/>
      <c r="SQX41" s="73"/>
      <c r="SQY41" s="73"/>
      <c r="SQZ41" s="73"/>
      <c r="SRA41" s="73"/>
      <c r="SRB41" s="73"/>
      <c r="SRC41" s="73"/>
      <c r="SRD41" s="73"/>
      <c r="SRE41" s="73"/>
      <c r="SRF41" s="73"/>
      <c r="SRG41" s="73"/>
      <c r="SRH41" s="73"/>
      <c r="SRI41" s="73"/>
      <c r="SRJ41" s="73"/>
      <c r="SRK41" s="73"/>
      <c r="SRL41" s="73"/>
      <c r="SRM41" s="73"/>
      <c r="SRN41" s="73"/>
      <c r="SRO41" s="73"/>
      <c r="SRP41" s="73"/>
      <c r="SRQ41" s="73"/>
      <c r="SRR41" s="73"/>
      <c r="SRS41" s="73"/>
      <c r="SRT41" s="73"/>
      <c r="SRU41" s="73"/>
      <c r="SRV41" s="73"/>
      <c r="SRW41" s="73"/>
      <c r="SRX41" s="73"/>
      <c r="SRY41" s="73"/>
      <c r="SRZ41" s="73"/>
      <c r="SSA41" s="73"/>
      <c r="SSB41" s="73"/>
      <c r="SSC41" s="73"/>
      <c r="SSD41" s="73"/>
      <c r="SSE41" s="73"/>
      <c r="SSF41" s="73"/>
      <c r="SSG41" s="73"/>
      <c r="SSH41" s="73"/>
      <c r="SSI41" s="73"/>
      <c r="SSJ41" s="73"/>
      <c r="SSK41" s="73"/>
      <c r="SSL41" s="73"/>
      <c r="SSM41" s="73"/>
      <c r="SSN41" s="73"/>
      <c r="SSO41" s="73"/>
      <c r="SSP41" s="73"/>
      <c r="SSQ41" s="73"/>
      <c r="SSR41" s="73"/>
      <c r="SSS41" s="73"/>
      <c r="SST41" s="73"/>
      <c r="SSU41" s="73"/>
      <c r="SSV41" s="73"/>
      <c r="SSW41" s="73"/>
      <c r="SSX41" s="73"/>
      <c r="SSY41" s="73"/>
      <c r="SSZ41" s="73"/>
      <c r="STA41" s="73"/>
      <c r="STB41" s="73"/>
      <c r="STC41" s="73"/>
      <c r="STD41" s="73"/>
      <c r="STE41" s="73"/>
      <c r="STF41" s="73"/>
      <c r="STG41" s="73"/>
      <c r="STH41" s="73"/>
      <c r="STI41" s="73"/>
      <c r="STJ41" s="73"/>
      <c r="STK41" s="73"/>
      <c r="STL41" s="73"/>
      <c r="STM41" s="73"/>
      <c r="STN41" s="73"/>
      <c r="STO41" s="73"/>
      <c r="STP41" s="73"/>
      <c r="STQ41" s="73"/>
      <c r="STR41" s="73"/>
      <c r="STS41" s="73"/>
      <c r="STT41" s="73"/>
      <c r="STU41" s="73"/>
      <c r="STV41" s="73"/>
      <c r="STW41" s="73"/>
      <c r="STX41" s="73"/>
      <c r="STY41" s="73"/>
      <c r="STZ41" s="73"/>
      <c r="SUA41" s="73"/>
      <c r="SUB41" s="73"/>
      <c r="SUC41" s="73"/>
      <c r="SUD41" s="73"/>
      <c r="SUE41" s="73"/>
      <c r="SUF41" s="73"/>
      <c r="SUG41" s="73"/>
      <c r="SUH41" s="73"/>
      <c r="SUI41" s="73"/>
      <c r="SUJ41" s="73"/>
      <c r="SUK41" s="73"/>
      <c r="SUL41" s="73"/>
      <c r="SUM41" s="73"/>
      <c r="SUN41" s="73"/>
      <c r="SUO41" s="73"/>
      <c r="SUP41" s="73"/>
      <c r="SUQ41" s="73"/>
      <c r="SUR41" s="73"/>
      <c r="SUS41" s="73"/>
      <c r="SUT41" s="73"/>
      <c r="SUU41" s="73"/>
      <c r="SUV41" s="73"/>
      <c r="SUW41" s="73"/>
      <c r="SUX41" s="73"/>
      <c r="SUY41" s="73"/>
      <c r="SUZ41" s="73"/>
      <c r="SVA41" s="73"/>
      <c r="SVB41" s="73"/>
      <c r="SVC41" s="73"/>
      <c r="SVD41" s="73"/>
      <c r="SVE41" s="73"/>
      <c r="SVF41" s="73"/>
      <c r="SVG41" s="73"/>
      <c r="SVH41" s="73"/>
      <c r="SVI41" s="73"/>
      <c r="SVJ41" s="73"/>
      <c r="SVK41" s="73"/>
      <c r="SVL41" s="73"/>
      <c r="SVM41" s="73"/>
      <c r="SVN41" s="73"/>
      <c r="SVO41" s="73"/>
      <c r="SVP41" s="73"/>
      <c r="SVQ41" s="73"/>
      <c r="SVR41" s="73"/>
      <c r="SVS41" s="73"/>
      <c r="SVT41" s="73"/>
      <c r="SVU41" s="73"/>
      <c r="SVV41" s="73"/>
      <c r="SVW41" s="73"/>
      <c r="SVX41" s="73"/>
      <c r="SVY41" s="73"/>
      <c r="SVZ41" s="73"/>
      <c r="SWA41" s="73"/>
      <c r="SWB41" s="73"/>
      <c r="SWC41" s="73"/>
      <c r="SWD41" s="73"/>
      <c r="SWE41" s="73"/>
      <c r="SWF41" s="73"/>
      <c r="SWG41" s="73"/>
      <c r="SWH41" s="73"/>
      <c r="SWI41" s="73"/>
      <c r="SWJ41" s="73"/>
      <c r="SWK41" s="73"/>
      <c r="SWL41" s="73"/>
      <c r="SWM41" s="73"/>
      <c r="SWN41" s="73"/>
      <c r="SWO41" s="73"/>
      <c r="SWP41" s="73"/>
      <c r="SWQ41" s="73"/>
      <c r="SWR41" s="73"/>
      <c r="SWS41" s="73"/>
      <c r="SWT41" s="73"/>
      <c r="SWU41" s="73"/>
      <c r="SWV41" s="73"/>
      <c r="SWW41" s="73"/>
      <c r="SWX41" s="73"/>
      <c r="SWY41" s="73"/>
      <c r="SWZ41" s="73"/>
      <c r="SXA41" s="73"/>
      <c r="SXB41" s="73"/>
      <c r="SXC41" s="73"/>
      <c r="SXD41" s="73"/>
      <c r="SXE41" s="73"/>
      <c r="SXF41" s="73"/>
      <c r="SXG41" s="73"/>
      <c r="SXH41" s="73"/>
      <c r="SXI41" s="73"/>
      <c r="SXJ41" s="73"/>
      <c r="SXK41" s="73"/>
      <c r="SXL41" s="73"/>
      <c r="SXM41" s="73"/>
      <c r="SXN41" s="73"/>
      <c r="SXO41" s="73"/>
      <c r="SXP41" s="73"/>
      <c r="SXQ41" s="73"/>
      <c r="SXR41" s="73"/>
      <c r="SXS41" s="73"/>
      <c r="SXT41" s="73"/>
      <c r="SXU41" s="73"/>
      <c r="SXV41" s="73"/>
      <c r="SXW41" s="73"/>
      <c r="SXX41" s="73"/>
      <c r="SXY41" s="73"/>
      <c r="SXZ41" s="73"/>
      <c r="SYA41" s="73"/>
      <c r="SYB41" s="73"/>
      <c r="SYC41" s="73"/>
      <c r="SYD41" s="73"/>
      <c r="SYE41" s="73"/>
      <c r="SYF41" s="73"/>
      <c r="SYG41" s="73"/>
      <c r="SYH41" s="73"/>
      <c r="SYI41" s="73"/>
      <c r="SYJ41" s="73"/>
      <c r="SYK41" s="73"/>
      <c r="SYL41" s="73"/>
      <c r="SYM41" s="73"/>
      <c r="SYN41" s="73"/>
      <c r="SYO41" s="73"/>
      <c r="SYP41" s="73"/>
      <c r="SYQ41" s="73"/>
      <c r="SYR41" s="73"/>
      <c r="SYS41" s="73"/>
      <c r="SYT41" s="73"/>
      <c r="SYU41" s="73"/>
      <c r="SYV41" s="73"/>
      <c r="SYW41" s="73"/>
      <c r="SYX41" s="73"/>
      <c r="SYY41" s="73"/>
      <c r="SYZ41" s="73"/>
      <c r="SZA41" s="73"/>
      <c r="SZB41" s="73"/>
      <c r="SZC41" s="73"/>
      <c r="SZD41" s="73"/>
      <c r="SZE41" s="73"/>
      <c r="SZF41" s="73"/>
      <c r="SZG41" s="73"/>
      <c r="SZH41" s="73"/>
      <c r="SZI41" s="73"/>
      <c r="SZJ41" s="73"/>
      <c r="SZK41" s="73"/>
      <c r="SZL41" s="73"/>
      <c r="SZM41" s="73"/>
      <c r="SZN41" s="73"/>
      <c r="SZO41" s="73"/>
      <c r="SZP41" s="73"/>
      <c r="SZQ41" s="73"/>
      <c r="SZR41" s="73"/>
      <c r="SZS41" s="73"/>
      <c r="SZT41" s="73"/>
      <c r="SZU41" s="73"/>
      <c r="SZV41" s="73"/>
      <c r="SZW41" s="73"/>
      <c r="SZX41" s="73"/>
      <c r="SZY41" s="73"/>
      <c r="SZZ41" s="73"/>
      <c r="TAA41" s="73"/>
      <c r="TAB41" s="73"/>
      <c r="TAC41" s="73"/>
      <c r="TAD41" s="73"/>
      <c r="TAE41" s="73"/>
      <c r="TAF41" s="73"/>
      <c r="TAG41" s="73"/>
      <c r="TAH41" s="73"/>
      <c r="TAI41" s="73"/>
      <c r="TAJ41" s="73"/>
      <c r="TAK41" s="73"/>
      <c r="TAL41" s="73"/>
      <c r="TAM41" s="73"/>
      <c r="TAN41" s="73"/>
      <c r="TAO41" s="73"/>
      <c r="TAP41" s="73"/>
      <c r="TAQ41" s="73"/>
      <c r="TAR41" s="73"/>
      <c r="TAS41" s="73"/>
      <c r="TAT41" s="73"/>
      <c r="TAU41" s="73"/>
      <c r="TAV41" s="73"/>
      <c r="TAW41" s="73"/>
      <c r="TAX41" s="73"/>
      <c r="TAY41" s="73"/>
      <c r="TAZ41" s="73"/>
      <c r="TBA41" s="73"/>
      <c r="TBB41" s="73"/>
      <c r="TBC41" s="73"/>
      <c r="TBD41" s="73"/>
      <c r="TBE41" s="73"/>
      <c r="TBF41" s="73"/>
      <c r="TBG41" s="73"/>
      <c r="TBH41" s="73"/>
      <c r="TBI41" s="73"/>
      <c r="TBJ41" s="73"/>
      <c r="TBK41" s="73"/>
      <c r="TBL41" s="73"/>
      <c r="TBM41" s="73"/>
      <c r="TBN41" s="73"/>
      <c r="TBO41" s="73"/>
      <c r="TBP41" s="73"/>
      <c r="TBQ41" s="73"/>
      <c r="TBR41" s="73"/>
      <c r="TBS41" s="73"/>
      <c r="TBT41" s="73"/>
      <c r="TBU41" s="73"/>
      <c r="TBV41" s="73"/>
      <c r="TBW41" s="73"/>
      <c r="TBX41" s="73"/>
      <c r="TBY41" s="73"/>
      <c r="TBZ41" s="73"/>
      <c r="TCA41" s="73"/>
      <c r="TCB41" s="73"/>
      <c r="TCC41" s="73"/>
      <c r="TCD41" s="73"/>
      <c r="TCE41" s="73"/>
      <c r="TCF41" s="73"/>
      <c r="TCG41" s="73"/>
      <c r="TCH41" s="73"/>
      <c r="TCI41" s="73"/>
      <c r="TCJ41" s="73"/>
      <c r="TCK41" s="73"/>
      <c r="TCL41" s="73"/>
      <c r="TCM41" s="73"/>
      <c r="TCN41" s="73"/>
      <c r="TCO41" s="73"/>
      <c r="TCP41" s="73"/>
      <c r="TCQ41" s="73"/>
      <c r="TCR41" s="73"/>
      <c r="TCS41" s="73"/>
      <c r="TCT41" s="73"/>
      <c r="TCU41" s="73"/>
      <c r="TCV41" s="73"/>
      <c r="TCW41" s="73"/>
      <c r="TCX41" s="73"/>
      <c r="TCY41" s="73"/>
      <c r="TCZ41" s="73"/>
      <c r="TDA41" s="73"/>
      <c r="TDB41" s="73"/>
      <c r="TDC41" s="73"/>
      <c r="TDD41" s="73"/>
      <c r="TDE41" s="73"/>
      <c r="TDF41" s="73"/>
      <c r="TDG41" s="73"/>
      <c r="TDH41" s="73"/>
      <c r="TDI41" s="73"/>
      <c r="TDJ41" s="73"/>
      <c r="TDK41" s="73"/>
      <c r="TDL41" s="73"/>
      <c r="TDM41" s="73"/>
      <c r="TDN41" s="73"/>
      <c r="TDO41" s="73"/>
      <c r="TDP41" s="73"/>
      <c r="TDQ41" s="73"/>
      <c r="TDR41" s="73"/>
      <c r="TDS41" s="73"/>
      <c r="TDT41" s="73"/>
      <c r="TDU41" s="73"/>
      <c r="TDV41" s="73"/>
      <c r="TDW41" s="73"/>
      <c r="TDX41" s="73"/>
      <c r="TDY41" s="73"/>
      <c r="TDZ41" s="73"/>
      <c r="TEA41" s="73"/>
      <c r="TEB41" s="73"/>
      <c r="TEC41" s="73"/>
      <c r="TED41" s="73"/>
      <c r="TEE41" s="73"/>
      <c r="TEF41" s="73"/>
      <c r="TEG41" s="73"/>
      <c r="TEH41" s="73"/>
      <c r="TEI41" s="73"/>
      <c r="TEJ41" s="73"/>
      <c r="TEK41" s="73"/>
      <c r="TEL41" s="73"/>
      <c r="TEM41" s="73"/>
      <c r="TEN41" s="73"/>
      <c r="TEO41" s="73"/>
      <c r="TEP41" s="73"/>
      <c r="TEQ41" s="73"/>
      <c r="TER41" s="73"/>
      <c r="TES41" s="73"/>
      <c r="TET41" s="73"/>
      <c r="TEU41" s="73"/>
      <c r="TEV41" s="73"/>
      <c r="TEW41" s="73"/>
      <c r="TEX41" s="73"/>
      <c r="TEY41" s="73"/>
      <c r="TEZ41" s="73"/>
      <c r="TFA41" s="73"/>
      <c r="TFB41" s="73"/>
      <c r="TFC41" s="73"/>
      <c r="TFD41" s="73"/>
      <c r="TFE41" s="73"/>
      <c r="TFF41" s="73"/>
      <c r="TFG41" s="73"/>
      <c r="TFH41" s="73"/>
      <c r="TFI41" s="73"/>
      <c r="TFJ41" s="73"/>
      <c r="TFK41" s="73"/>
      <c r="TFL41" s="73"/>
      <c r="TFM41" s="73"/>
      <c r="TFN41" s="73"/>
      <c r="TFO41" s="73"/>
      <c r="TFP41" s="73"/>
      <c r="TFQ41" s="73"/>
      <c r="TFR41" s="73"/>
      <c r="TFS41" s="73"/>
      <c r="TFT41" s="73"/>
      <c r="TFU41" s="73"/>
      <c r="TFV41" s="73"/>
      <c r="TFW41" s="73"/>
      <c r="TFX41" s="73"/>
      <c r="TFY41" s="73"/>
      <c r="TFZ41" s="73"/>
      <c r="TGA41" s="73"/>
      <c r="TGB41" s="73"/>
      <c r="TGC41" s="73"/>
      <c r="TGD41" s="73"/>
      <c r="TGE41" s="73"/>
      <c r="TGF41" s="73"/>
      <c r="TGG41" s="73"/>
      <c r="TGH41" s="73"/>
      <c r="TGI41" s="73"/>
      <c r="TGJ41" s="73"/>
      <c r="TGK41" s="73"/>
      <c r="TGL41" s="73"/>
      <c r="TGM41" s="73"/>
      <c r="TGN41" s="73"/>
      <c r="TGO41" s="73"/>
      <c r="TGP41" s="73"/>
      <c r="TGQ41" s="73"/>
      <c r="TGR41" s="73"/>
      <c r="TGS41" s="73"/>
      <c r="TGT41" s="73"/>
      <c r="TGU41" s="73"/>
      <c r="TGV41" s="73"/>
      <c r="TGW41" s="73"/>
      <c r="TGX41" s="73"/>
      <c r="TGY41" s="73"/>
      <c r="TGZ41" s="73"/>
      <c r="THA41" s="73"/>
      <c r="THB41" s="73"/>
      <c r="THC41" s="73"/>
      <c r="THD41" s="73"/>
      <c r="THE41" s="73"/>
      <c r="THF41" s="73"/>
      <c r="THG41" s="73"/>
      <c r="THH41" s="73"/>
      <c r="THI41" s="73"/>
      <c r="THJ41" s="73"/>
      <c r="THK41" s="73"/>
      <c r="THL41" s="73"/>
      <c r="THM41" s="73"/>
      <c r="THN41" s="73"/>
      <c r="THO41" s="73"/>
      <c r="THP41" s="73"/>
      <c r="THQ41" s="73"/>
      <c r="THR41" s="73"/>
      <c r="THS41" s="73"/>
      <c r="THT41" s="73"/>
      <c r="THU41" s="73"/>
      <c r="THV41" s="73"/>
      <c r="THW41" s="73"/>
      <c r="THX41" s="73"/>
      <c r="THY41" s="73"/>
      <c r="THZ41" s="73"/>
      <c r="TIA41" s="73"/>
      <c r="TIB41" s="73"/>
      <c r="TIC41" s="73"/>
      <c r="TID41" s="73"/>
      <c r="TIE41" s="73"/>
      <c r="TIF41" s="73"/>
      <c r="TIG41" s="73"/>
      <c r="TIH41" s="73"/>
      <c r="TII41" s="73"/>
      <c r="TIJ41" s="73"/>
      <c r="TIK41" s="73"/>
      <c r="TIL41" s="73"/>
      <c r="TIM41" s="73"/>
      <c r="TIN41" s="73"/>
      <c r="TIO41" s="73"/>
      <c r="TIP41" s="73"/>
      <c r="TIQ41" s="73"/>
      <c r="TIR41" s="73"/>
      <c r="TIS41" s="73"/>
      <c r="TIT41" s="73"/>
      <c r="TIU41" s="73"/>
      <c r="TIV41" s="73"/>
      <c r="TIW41" s="73"/>
      <c r="TIX41" s="73"/>
      <c r="TIY41" s="73"/>
      <c r="TIZ41" s="73"/>
      <c r="TJA41" s="73"/>
      <c r="TJB41" s="73"/>
      <c r="TJC41" s="73"/>
      <c r="TJD41" s="73"/>
      <c r="TJE41" s="73"/>
      <c r="TJF41" s="73"/>
      <c r="TJG41" s="73"/>
      <c r="TJH41" s="73"/>
      <c r="TJI41" s="73"/>
      <c r="TJJ41" s="73"/>
      <c r="TJK41" s="73"/>
      <c r="TJL41" s="73"/>
      <c r="TJM41" s="73"/>
      <c r="TJN41" s="73"/>
      <c r="TJO41" s="73"/>
      <c r="TJP41" s="73"/>
      <c r="TJQ41" s="73"/>
      <c r="TJR41" s="73"/>
      <c r="TJS41" s="73"/>
      <c r="TJT41" s="73"/>
      <c r="TJU41" s="73"/>
      <c r="TJV41" s="73"/>
      <c r="TJW41" s="73"/>
      <c r="TJX41" s="73"/>
      <c r="TJY41" s="73"/>
      <c r="TJZ41" s="73"/>
      <c r="TKA41" s="73"/>
      <c r="TKB41" s="73"/>
      <c r="TKC41" s="73"/>
      <c r="TKD41" s="73"/>
      <c r="TKE41" s="73"/>
      <c r="TKF41" s="73"/>
      <c r="TKG41" s="73"/>
      <c r="TKH41" s="73"/>
      <c r="TKI41" s="73"/>
      <c r="TKJ41" s="73"/>
      <c r="TKK41" s="73"/>
      <c r="TKL41" s="73"/>
      <c r="TKM41" s="73"/>
      <c r="TKN41" s="73"/>
      <c r="TKO41" s="73"/>
      <c r="TKP41" s="73"/>
      <c r="TKQ41" s="73"/>
      <c r="TKR41" s="73"/>
      <c r="TKS41" s="73"/>
      <c r="TKT41" s="73"/>
      <c r="TKU41" s="73"/>
      <c r="TKV41" s="73"/>
      <c r="TKW41" s="73"/>
      <c r="TKX41" s="73"/>
      <c r="TKY41" s="73"/>
      <c r="TKZ41" s="73"/>
      <c r="TLA41" s="73"/>
      <c r="TLB41" s="73"/>
      <c r="TLC41" s="73"/>
      <c r="TLD41" s="73"/>
      <c r="TLE41" s="73"/>
      <c r="TLF41" s="73"/>
      <c r="TLG41" s="73"/>
      <c r="TLH41" s="73"/>
      <c r="TLI41" s="73"/>
      <c r="TLJ41" s="73"/>
      <c r="TLK41" s="73"/>
      <c r="TLL41" s="73"/>
      <c r="TLM41" s="73"/>
      <c r="TLN41" s="73"/>
      <c r="TLO41" s="73"/>
      <c r="TLP41" s="73"/>
      <c r="TLQ41" s="73"/>
      <c r="TLR41" s="73"/>
      <c r="TLS41" s="73"/>
      <c r="TLT41" s="73"/>
      <c r="TLU41" s="73"/>
      <c r="TLV41" s="73"/>
      <c r="TLW41" s="73"/>
      <c r="TLX41" s="73"/>
      <c r="TLY41" s="73"/>
      <c r="TLZ41" s="73"/>
      <c r="TMA41" s="73"/>
      <c r="TMB41" s="73"/>
      <c r="TMC41" s="73"/>
      <c r="TMD41" s="73"/>
      <c r="TME41" s="73"/>
      <c r="TMF41" s="73"/>
      <c r="TMG41" s="73"/>
      <c r="TMH41" s="73"/>
      <c r="TMI41" s="73"/>
      <c r="TMJ41" s="73"/>
      <c r="TMK41" s="73"/>
      <c r="TML41" s="73"/>
      <c r="TMM41" s="73"/>
      <c r="TMN41" s="73"/>
      <c r="TMO41" s="73"/>
      <c r="TMP41" s="73"/>
      <c r="TMQ41" s="73"/>
      <c r="TMR41" s="73"/>
      <c r="TMS41" s="73"/>
      <c r="TMT41" s="73"/>
      <c r="TMU41" s="73"/>
      <c r="TMV41" s="73"/>
      <c r="TMW41" s="73"/>
      <c r="TMX41" s="73"/>
      <c r="TMY41" s="73"/>
      <c r="TMZ41" s="73"/>
      <c r="TNA41" s="73"/>
      <c r="TNB41" s="73"/>
      <c r="TNC41" s="73"/>
      <c r="TND41" s="73"/>
      <c r="TNE41" s="73"/>
      <c r="TNF41" s="73"/>
      <c r="TNG41" s="73"/>
      <c r="TNH41" s="73"/>
      <c r="TNI41" s="73"/>
      <c r="TNJ41" s="73"/>
      <c r="TNK41" s="73"/>
      <c r="TNL41" s="73"/>
      <c r="TNM41" s="73"/>
      <c r="TNN41" s="73"/>
      <c r="TNO41" s="73"/>
      <c r="TNP41" s="73"/>
      <c r="TNQ41" s="73"/>
      <c r="TNR41" s="73"/>
      <c r="TNS41" s="73"/>
      <c r="TNT41" s="73"/>
      <c r="TNU41" s="73"/>
      <c r="TNV41" s="73"/>
      <c r="TNW41" s="73"/>
      <c r="TNX41" s="73"/>
      <c r="TNY41" s="73"/>
      <c r="TNZ41" s="73"/>
      <c r="TOA41" s="73"/>
      <c r="TOB41" s="73"/>
      <c r="TOC41" s="73"/>
      <c r="TOD41" s="73"/>
      <c r="TOE41" s="73"/>
      <c r="TOF41" s="73"/>
      <c r="TOG41" s="73"/>
      <c r="TOH41" s="73"/>
      <c r="TOI41" s="73"/>
      <c r="TOJ41" s="73"/>
      <c r="TOK41" s="73"/>
      <c r="TOL41" s="73"/>
      <c r="TOM41" s="73"/>
      <c r="TON41" s="73"/>
      <c r="TOO41" s="73"/>
      <c r="TOP41" s="73"/>
      <c r="TOQ41" s="73"/>
      <c r="TOR41" s="73"/>
      <c r="TOS41" s="73"/>
      <c r="TOT41" s="73"/>
      <c r="TOU41" s="73"/>
      <c r="TOV41" s="73"/>
      <c r="TOW41" s="73"/>
      <c r="TOX41" s="73"/>
      <c r="TOY41" s="73"/>
      <c r="TOZ41" s="73"/>
      <c r="TPA41" s="73"/>
      <c r="TPB41" s="73"/>
      <c r="TPC41" s="73"/>
      <c r="TPD41" s="73"/>
      <c r="TPE41" s="73"/>
      <c r="TPF41" s="73"/>
      <c r="TPG41" s="73"/>
      <c r="TPH41" s="73"/>
      <c r="TPI41" s="73"/>
      <c r="TPJ41" s="73"/>
      <c r="TPK41" s="73"/>
      <c r="TPL41" s="73"/>
      <c r="TPM41" s="73"/>
      <c r="TPN41" s="73"/>
      <c r="TPO41" s="73"/>
      <c r="TPP41" s="73"/>
      <c r="TPQ41" s="73"/>
      <c r="TPR41" s="73"/>
      <c r="TPS41" s="73"/>
      <c r="TPT41" s="73"/>
      <c r="TPU41" s="73"/>
      <c r="TPV41" s="73"/>
      <c r="TPW41" s="73"/>
      <c r="TPX41" s="73"/>
      <c r="TPY41" s="73"/>
      <c r="TPZ41" s="73"/>
      <c r="TQA41" s="73"/>
      <c r="TQB41" s="73"/>
      <c r="TQC41" s="73"/>
      <c r="TQD41" s="73"/>
      <c r="TQE41" s="73"/>
      <c r="TQF41" s="73"/>
      <c r="TQG41" s="73"/>
      <c r="TQH41" s="73"/>
      <c r="TQI41" s="73"/>
      <c r="TQJ41" s="73"/>
      <c r="TQK41" s="73"/>
      <c r="TQL41" s="73"/>
      <c r="TQM41" s="73"/>
      <c r="TQN41" s="73"/>
      <c r="TQO41" s="73"/>
      <c r="TQP41" s="73"/>
      <c r="TQQ41" s="73"/>
      <c r="TQR41" s="73"/>
      <c r="TQS41" s="73"/>
      <c r="TQT41" s="73"/>
      <c r="TQU41" s="73"/>
      <c r="TQV41" s="73"/>
      <c r="TQW41" s="73"/>
      <c r="TQX41" s="73"/>
      <c r="TQY41" s="73"/>
      <c r="TQZ41" s="73"/>
      <c r="TRA41" s="73"/>
      <c r="TRB41" s="73"/>
      <c r="TRC41" s="73"/>
      <c r="TRD41" s="73"/>
      <c r="TRE41" s="73"/>
      <c r="TRF41" s="73"/>
      <c r="TRG41" s="73"/>
      <c r="TRH41" s="73"/>
      <c r="TRI41" s="73"/>
      <c r="TRJ41" s="73"/>
      <c r="TRK41" s="73"/>
      <c r="TRL41" s="73"/>
      <c r="TRM41" s="73"/>
      <c r="TRN41" s="73"/>
      <c r="TRO41" s="73"/>
      <c r="TRP41" s="73"/>
      <c r="TRQ41" s="73"/>
      <c r="TRR41" s="73"/>
      <c r="TRS41" s="73"/>
      <c r="TRT41" s="73"/>
      <c r="TRU41" s="73"/>
      <c r="TRV41" s="73"/>
      <c r="TRW41" s="73"/>
      <c r="TRX41" s="73"/>
      <c r="TRY41" s="73"/>
      <c r="TRZ41" s="73"/>
      <c r="TSA41" s="73"/>
      <c r="TSB41" s="73"/>
      <c r="TSC41" s="73"/>
      <c r="TSD41" s="73"/>
      <c r="TSE41" s="73"/>
      <c r="TSF41" s="73"/>
      <c r="TSG41" s="73"/>
      <c r="TSH41" s="73"/>
      <c r="TSI41" s="73"/>
      <c r="TSJ41" s="73"/>
      <c r="TSK41" s="73"/>
      <c r="TSL41" s="73"/>
      <c r="TSM41" s="73"/>
      <c r="TSN41" s="73"/>
      <c r="TSO41" s="73"/>
      <c r="TSP41" s="73"/>
      <c r="TSQ41" s="73"/>
      <c r="TSR41" s="73"/>
      <c r="TSS41" s="73"/>
      <c r="TST41" s="73"/>
      <c r="TSU41" s="73"/>
      <c r="TSV41" s="73"/>
      <c r="TSW41" s="73"/>
      <c r="TSX41" s="73"/>
      <c r="TSY41" s="73"/>
      <c r="TSZ41" s="73"/>
      <c r="TTA41" s="73"/>
      <c r="TTB41" s="73"/>
      <c r="TTC41" s="73"/>
      <c r="TTD41" s="73"/>
      <c r="TTE41" s="73"/>
      <c r="TTF41" s="73"/>
      <c r="TTG41" s="73"/>
      <c r="TTH41" s="73"/>
      <c r="TTI41" s="73"/>
      <c r="TTJ41" s="73"/>
      <c r="TTK41" s="73"/>
      <c r="TTL41" s="73"/>
      <c r="TTM41" s="73"/>
      <c r="TTN41" s="73"/>
      <c r="TTO41" s="73"/>
      <c r="TTP41" s="73"/>
      <c r="TTQ41" s="73"/>
      <c r="TTR41" s="73"/>
      <c r="TTS41" s="73"/>
      <c r="TTT41" s="73"/>
      <c r="TTU41" s="73"/>
      <c r="TTV41" s="73"/>
      <c r="TTW41" s="73"/>
      <c r="TTX41" s="73"/>
      <c r="TTY41" s="73"/>
      <c r="TTZ41" s="73"/>
      <c r="TUA41" s="73"/>
      <c r="TUB41" s="73"/>
      <c r="TUC41" s="73"/>
      <c r="TUD41" s="73"/>
      <c r="TUE41" s="73"/>
      <c r="TUF41" s="73"/>
      <c r="TUG41" s="73"/>
      <c r="TUH41" s="73"/>
      <c r="TUI41" s="73"/>
      <c r="TUJ41" s="73"/>
      <c r="TUK41" s="73"/>
      <c r="TUL41" s="73"/>
      <c r="TUM41" s="73"/>
      <c r="TUN41" s="73"/>
      <c r="TUO41" s="73"/>
      <c r="TUP41" s="73"/>
      <c r="TUQ41" s="73"/>
      <c r="TUR41" s="73"/>
      <c r="TUS41" s="73"/>
      <c r="TUT41" s="73"/>
      <c r="TUU41" s="73"/>
      <c r="TUV41" s="73"/>
      <c r="TUW41" s="73"/>
      <c r="TUX41" s="73"/>
      <c r="TUY41" s="73"/>
      <c r="TUZ41" s="73"/>
      <c r="TVA41" s="73"/>
      <c r="TVB41" s="73"/>
      <c r="TVC41" s="73"/>
      <c r="TVD41" s="73"/>
      <c r="TVE41" s="73"/>
      <c r="TVF41" s="73"/>
      <c r="TVG41" s="73"/>
      <c r="TVH41" s="73"/>
      <c r="TVI41" s="73"/>
      <c r="TVJ41" s="73"/>
      <c r="TVK41" s="73"/>
      <c r="TVL41" s="73"/>
      <c r="TVM41" s="73"/>
      <c r="TVN41" s="73"/>
      <c r="TVO41" s="73"/>
      <c r="TVP41" s="73"/>
      <c r="TVQ41" s="73"/>
      <c r="TVR41" s="73"/>
      <c r="TVS41" s="73"/>
      <c r="TVT41" s="73"/>
      <c r="TVU41" s="73"/>
      <c r="TVV41" s="73"/>
      <c r="TVW41" s="73"/>
      <c r="TVX41" s="73"/>
      <c r="TVY41" s="73"/>
      <c r="TVZ41" s="73"/>
      <c r="TWA41" s="73"/>
      <c r="TWB41" s="73"/>
      <c r="TWC41" s="73"/>
      <c r="TWD41" s="73"/>
      <c r="TWE41" s="73"/>
      <c r="TWF41" s="73"/>
      <c r="TWG41" s="73"/>
      <c r="TWH41" s="73"/>
      <c r="TWI41" s="73"/>
      <c r="TWJ41" s="73"/>
      <c r="TWK41" s="73"/>
      <c r="TWL41" s="73"/>
      <c r="TWM41" s="73"/>
      <c r="TWN41" s="73"/>
      <c r="TWO41" s="73"/>
      <c r="TWP41" s="73"/>
      <c r="TWQ41" s="73"/>
      <c r="TWR41" s="73"/>
      <c r="TWS41" s="73"/>
      <c r="TWT41" s="73"/>
      <c r="TWU41" s="73"/>
      <c r="TWV41" s="73"/>
      <c r="TWW41" s="73"/>
      <c r="TWX41" s="73"/>
      <c r="TWY41" s="73"/>
      <c r="TWZ41" s="73"/>
      <c r="TXA41" s="73"/>
      <c r="TXB41" s="73"/>
      <c r="TXC41" s="73"/>
      <c r="TXD41" s="73"/>
      <c r="TXE41" s="73"/>
      <c r="TXF41" s="73"/>
      <c r="TXG41" s="73"/>
      <c r="TXH41" s="73"/>
      <c r="TXI41" s="73"/>
      <c r="TXJ41" s="73"/>
      <c r="TXK41" s="73"/>
      <c r="TXL41" s="73"/>
      <c r="TXM41" s="73"/>
      <c r="TXN41" s="73"/>
      <c r="TXO41" s="73"/>
      <c r="TXP41" s="73"/>
      <c r="TXQ41" s="73"/>
      <c r="TXR41" s="73"/>
      <c r="TXS41" s="73"/>
      <c r="TXT41" s="73"/>
      <c r="TXU41" s="73"/>
      <c r="TXV41" s="73"/>
      <c r="TXW41" s="73"/>
      <c r="TXX41" s="73"/>
      <c r="TXY41" s="73"/>
      <c r="TXZ41" s="73"/>
      <c r="TYA41" s="73"/>
      <c r="TYB41" s="73"/>
      <c r="TYC41" s="73"/>
      <c r="TYD41" s="73"/>
      <c r="TYE41" s="73"/>
      <c r="TYF41" s="73"/>
      <c r="TYG41" s="73"/>
      <c r="TYH41" s="73"/>
      <c r="TYI41" s="73"/>
      <c r="TYJ41" s="73"/>
      <c r="TYK41" s="73"/>
      <c r="TYL41" s="73"/>
      <c r="TYM41" s="73"/>
      <c r="TYN41" s="73"/>
      <c r="TYO41" s="73"/>
      <c r="TYP41" s="73"/>
      <c r="TYQ41" s="73"/>
      <c r="TYR41" s="73"/>
      <c r="TYS41" s="73"/>
      <c r="TYT41" s="73"/>
      <c r="TYU41" s="73"/>
      <c r="TYV41" s="73"/>
      <c r="TYW41" s="73"/>
      <c r="TYX41" s="73"/>
      <c r="TYY41" s="73"/>
      <c r="TYZ41" s="73"/>
      <c r="TZA41" s="73"/>
      <c r="TZB41" s="73"/>
      <c r="TZC41" s="73"/>
      <c r="TZD41" s="73"/>
      <c r="TZE41" s="73"/>
      <c r="TZF41" s="73"/>
      <c r="TZG41" s="73"/>
      <c r="TZH41" s="73"/>
      <c r="TZI41" s="73"/>
      <c r="TZJ41" s="73"/>
      <c r="TZK41" s="73"/>
      <c r="TZL41" s="73"/>
      <c r="TZM41" s="73"/>
      <c r="TZN41" s="73"/>
      <c r="TZO41" s="73"/>
      <c r="TZP41" s="73"/>
      <c r="TZQ41" s="73"/>
      <c r="TZR41" s="73"/>
      <c r="TZS41" s="73"/>
      <c r="TZT41" s="73"/>
      <c r="TZU41" s="73"/>
      <c r="TZV41" s="73"/>
      <c r="TZW41" s="73"/>
      <c r="TZX41" s="73"/>
      <c r="TZY41" s="73"/>
      <c r="TZZ41" s="73"/>
      <c r="UAA41" s="73"/>
      <c r="UAB41" s="73"/>
      <c r="UAC41" s="73"/>
      <c r="UAD41" s="73"/>
      <c r="UAE41" s="73"/>
      <c r="UAF41" s="73"/>
      <c r="UAG41" s="73"/>
      <c r="UAH41" s="73"/>
      <c r="UAI41" s="73"/>
      <c r="UAJ41" s="73"/>
      <c r="UAK41" s="73"/>
      <c r="UAL41" s="73"/>
      <c r="UAM41" s="73"/>
      <c r="UAN41" s="73"/>
      <c r="UAO41" s="73"/>
      <c r="UAP41" s="73"/>
      <c r="UAQ41" s="73"/>
      <c r="UAR41" s="73"/>
      <c r="UAS41" s="73"/>
      <c r="UAT41" s="73"/>
      <c r="UAU41" s="73"/>
      <c r="UAV41" s="73"/>
      <c r="UAW41" s="73"/>
      <c r="UAX41" s="73"/>
      <c r="UAY41" s="73"/>
      <c r="UAZ41" s="73"/>
      <c r="UBA41" s="73"/>
      <c r="UBB41" s="73"/>
      <c r="UBC41" s="73"/>
      <c r="UBD41" s="73"/>
      <c r="UBE41" s="73"/>
      <c r="UBF41" s="73"/>
      <c r="UBG41" s="73"/>
      <c r="UBH41" s="73"/>
      <c r="UBI41" s="73"/>
      <c r="UBJ41" s="73"/>
      <c r="UBK41" s="73"/>
      <c r="UBL41" s="73"/>
      <c r="UBM41" s="73"/>
      <c r="UBN41" s="73"/>
      <c r="UBO41" s="73"/>
      <c r="UBP41" s="73"/>
      <c r="UBQ41" s="73"/>
      <c r="UBR41" s="73"/>
      <c r="UBS41" s="73"/>
      <c r="UBT41" s="73"/>
      <c r="UBU41" s="73"/>
      <c r="UBV41" s="73"/>
      <c r="UBW41" s="73"/>
      <c r="UBX41" s="73"/>
      <c r="UBY41" s="73"/>
      <c r="UBZ41" s="73"/>
      <c r="UCA41" s="73"/>
      <c r="UCB41" s="73"/>
      <c r="UCC41" s="73"/>
      <c r="UCD41" s="73"/>
      <c r="UCE41" s="73"/>
      <c r="UCF41" s="73"/>
      <c r="UCG41" s="73"/>
      <c r="UCH41" s="73"/>
      <c r="UCI41" s="73"/>
      <c r="UCJ41" s="73"/>
      <c r="UCK41" s="73"/>
      <c r="UCL41" s="73"/>
      <c r="UCM41" s="73"/>
      <c r="UCN41" s="73"/>
      <c r="UCO41" s="73"/>
      <c r="UCP41" s="73"/>
      <c r="UCQ41" s="73"/>
      <c r="UCR41" s="73"/>
      <c r="UCS41" s="73"/>
      <c r="UCT41" s="73"/>
      <c r="UCU41" s="73"/>
      <c r="UCV41" s="73"/>
      <c r="UCW41" s="73"/>
      <c r="UCX41" s="73"/>
      <c r="UCY41" s="73"/>
      <c r="UCZ41" s="73"/>
      <c r="UDA41" s="73"/>
      <c r="UDB41" s="73"/>
      <c r="UDC41" s="73"/>
      <c r="UDD41" s="73"/>
      <c r="UDE41" s="73"/>
      <c r="UDF41" s="73"/>
      <c r="UDG41" s="73"/>
      <c r="UDH41" s="73"/>
      <c r="UDI41" s="73"/>
      <c r="UDJ41" s="73"/>
      <c r="UDK41" s="73"/>
      <c r="UDL41" s="73"/>
      <c r="UDM41" s="73"/>
      <c r="UDN41" s="73"/>
      <c r="UDO41" s="73"/>
      <c r="UDP41" s="73"/>
      <c r="UDQ41" s="73"/>
      <c r="UDR41" s="73"/>
      <c r="UDS41" s="73"/>
      <c r="UDT41" s="73"/>
      <c r="UDU41" s="73"/>
      <c r="UDV41" s="73"/>
      <c r="UDW41" s="73"/>
      <c r="UDX41" s="73"/>
      <c r="UDY41" s="73"/>
      <c r="UDZ41" s="73"/>
      <c r="UEA41" s="73"/>
      <c r="UEB41" s="73"/>
      <c r="UEC41" s="73"/>
      <c r="UED41" s="73"/>
      <c r="UEE41" s="73"/>
      <c r="UEF41" s="73"/>
      <c r="UEG41" s="73"/>
      <c r="UEH41" s="73"/>
      <c r="UEI41" s="73"/>
      <c r="UEJ41" s="73"/>
      <c r="UEK41" s="73"/>
      <c r="UEL41" s="73"/>
      <c r="UEM41" s="73"/>
      <c r="UEN41" s="73"/>
      <c r="UEO41" s="73"/>
      <c r="UEP41" s="73"/>
      <c r="UEQ41" s="73"/>
      <c r="UER41" s="73"/>
      <c r="UES41" s="73"/>
      <c r="UET41" s="73"/>
      <c r="UEU41" s="73"/>
      <c r="UEV41" s="73"/>
      <c r="UEW41" s="73"/>
      <c r="UEX41" s="73"/>
      <c r="UEY41" s="73"/>
      <c r="UEZ41" s="73"/>
      <c r="UFA41" s="73"/>
      <c r="UFB41" s="73"/>
      <c r="UFC41" s="73"/>
      <c r="UFD41" s="73"/>
      <c r="UFE41" s="73"/>
      <c r="UFF41" s="73"/>
      <c r="UFG41" s="73"/>
      <c r="UFH41" s="73"/>
      <c r="UFI41" s="73"/>
      <c r="UFJ41" s="73"/>
      <c r="UFK41" s="73"/>
      <c r="UFL41" s="73"/>
      <c r="UFM41" s="73"/>
      <c r="UFN41" s="73"/>
      <c r="UFO41" s="73"/>
      <c r="UFP41" s="73"/>
      <c r="UFQ41" s="73"/>
      <c r="UFR41" s="73"/>
      <c r="UFS41" s="73"/>
      <c r="UFT41" s="73"/>
      <c r="UFU41" s="73"/>
      <c r="UFV41" s="73"/>
      <c r="UFW41" s="73"/>
      <c r="UFX41" s="73"/>
      <c r="UFY41" s="73"/>
      <c r="UFZ41" s="73"/>
      <c r="UGA41" s="73"/>
      <c r="UGB41" s="73"/>
      <c r="UGC41" s="73"/>
      <c r="UGD41" s="73"/>
      <c r="UGE41" s="73"/>
      <c r="UGF41" s="73"/>
      <c r="UGG41" s="73"/>
      <c r="UGH41" s="73"/>
      <c r="UGI41" s="73"/>
      <c r="UGJ41" s="73"/>
      <c r="UGK41" s="73"/>
      <c r="UGL41" s="73"/>
      <c r="UGM41" s="73"/>
      <c r="UGN41" s="73"/>
      <c r="UGO41" s="73"/>
      <c r="UGP41" s="73"/>
      <c r="UGQ41" s="73"/>
      <c r="UGR41" s="73"/>
      <c r="UGS41" s="73"/>
      <c r="UGT41" s="73"/>
      <c r="UGU41" s="73"/>
      <c r="UGV41" s="73"/>
      <c r="UGW41" s="73"/>
      <c r="UGX41" s="73"/>
      <c r="UGY41" s="73"/>
      <c r="UGZ41" s="73"/>
      <c r="UHA41" s="73"/>
      <c r="UHB41" s="73"/>
      <c r="UHC41" s="73"/>
      <c r="UHD41" s="73"/>
      <c r="UHE41" s="73"/>
      <c r="UHF41" s="73"/>
      <c r="UHG41" s="73"/>
      <c r="UHH41" s="73"/>
      <c r="UHI41" s="73"/>
      <c r="UHJ41" s="73"/>
      <c r="UHK41" s="73"/>
      <c r="UHL41" s="73"/>
      <c r="UHM41" s="73"/>
      <c r="UHN41" s="73"/>
      <c r="UHO41" s="73"/>
      <c r="UHP41" s="73"/>
      <c r="UHQ41" s="73"/>
      <c r="UHR41" s="73"/>
      <c r="UHS41" s="73"/>
      <c r="UHT41" s="73"/>
      <c r="UHU41" s="73"/>
      <c r="UHV41" s="73"/>
      <c r="UHW41" s="73"/>
      <c r="UHX41" s="73"/>
      <c r="UHY41" s="73"/>
      <c r="UHZ41" s="73"/>
      <c r="UIA41" s="73"/>
      <c r="UIB41" s="73"/>
      <c r="UIC41" s="73"/>
      <c r="UID41" s="73"/>
      <c r="UIE41" s="73"/>
      <c r="UIF41" s="73"/>
      <c r="UIG41" s="73"/>
      <c r="UIH41" s="73"/>
      <c r="UII41" s="73"/>
      <c r="UIJ41" s="73"/>
      <c r="UIK41" s="73"/>
      <c r="UIL41" s="73"/>
      <c r="UIM41" s="73"/>
      <c r="UIN41" s="73"/>
      <c r="UIO41" s="73"/>
      <c r="UIP41" s="73"/>
      <c r="UIQ41" s="73"/>
      <c r="UIR41" s="73"/>
      <c r="UIS41" s="73"/>
      <c r="UIT41" s="73"/>
      <c r="UIU41" s="73"/>
      <c r="UIV41" s="73"/>
      <c r="UIW41" s="73"/>
      <c r="UIX41" s="73"/>
      <c r="UIY41" s="73"/>
      <c r="UIZ41" s="73"/>
      <c r="UJA41" s="73"/>
      <c r="UJB41" s="73"/>
      <c r="UJC41" s="73"/>
      <c r="UJD41" s="73"/>
      <c r="UJE41" s="73"/>
      <c r="UJF41" s="73"/>
      <c r="UJG41" s="73"/>
      <c r="UJH41" s="73"/>
      <c r="UJI41" s="73"/>
      <c r="UJJ41" s="73"/>
      <c r="UJK41" s="73"/>
      <c r="UJL41" s="73"/>
      <c r="UJM41" s="73"/>
      <c r="UJN41" s="73"/>
      <c r="UJO41" s="73"/>
      <c r="UJP41" s="73"/>
      <c r="UJQ41" s="73"/>
      <c r="UJR41" s="73"/>
      <c r="UJS41" s="73"/>
      <c r="UJT41" s="73"/>
      <c r="UJU41" s="73"/>
      <c r="UJV41" s="73"/>
      <c r="UJW41" s="73"/>
      <c r="UJX41" s="73"/>
      <c r="UJY41" s="73"/>
      <c r="UJZ41" s="73"/>
      <c r="UKA41" s="73"/>
      <c r="UKB41" s="73"/>
      <c r="UKC41" s="73"/>
      <c r="UKD41" s="73"/>
      <c r="UKE41" s="73"/>
      <c r="UKF41" s="73"/>
      <c r="UKG41" s="73"/>
      <c r="UKH41" s="73"/>
      <c r="UKI41" s="73"/>
      <c r="UKJ41" s="73"/>
      <c r="UKK41" s="73"/>
      <c r="UKL41" s="73"/>
      <c r="UKM41" s="73"/>
      <c r="UKN41" s="73"/>
      <c r="UKO41" s="73"/>
      <c r="UKP41" s="73"/>
      <c r="UKQ41" s="73"/>
      <c r="UKR41" s="73"/>
      <c r="UKS41" s="73"/>
      <c r="UKT41" s="73"/>
      <c r="UKU41" s="73"/>
      <c r="UKV41" s="73"/>
      <c r="UKW41" s="73"/>
      <c r="UKX41" s="73"/>
      <c r="UKY41" s="73"/>
      <c r="UKZ41" s="73"/>
      <c r="ULA41" s="73"/>
      <c r="ULB41" s="73"/>
      <c r="ULC41" s="73"/>
      <c r="ULD41" s="73"/>
      <c r="ULE41" s="73"/>
      <c r="ULF41" s="73"/>
      <c r="ULG41" s="73"/>
      <c r="ULH41" s="73"/>
      <c r="ULI41" s="73"/>
      <c r="ULJ41" s="73"/>
      <c r="ULK41" s="73"/>
      <c r="ULL41" s="73"/>
      <c r="ULM41" s="73"/>
      <c r="ULN41" s="73"/>
      <c r="ULO41" s="73"/>
      <c r="ULP41" s="73"/>
      <c r="ULQ41" s="73"/>
      <c r="ULR41" s="73"/>
      <c r="ULS41" s="73"/>
      <c r="ULT41" s="73"/>
      <c r="ULU41" s="73"/>
      <c r="ULV41" s="73"/>
      <c r="ULW41" s="73"/>
      <c r="ULX41" s="73"/>
      <c r="ULY41" s="73"/>
      <c r="ULZ41" s="73"/>
      <c r="UMA41" s="73"/>
      <c r="UMB41" s="73"/>
      <c r="UMC41" s="73"/>
      <c r="UMD41" s="73"/>
      <c r="UME41" s="73"/>
      <c r="UMF41" s="73"/>
      <c r="UMG41" s="73"/>
      <c r="UMH41" s="73"/>
      <c r="UMI41" s="73"/>
      <c r="UMJ41" s="73"/>
      <c r="UMK41" s="73"/>
      <c r="UML41" s="73"/>
      <c r="UMM41" s="73"/>
      <c r="UMN41" s="73"/>
      <c r="UMO41" s="73"/>
      <c r="UMP41" s="73"/>
      <c r="UMQ41" s="73"/>
      <c r="UMR41" s="73"/>
      <c r="UMS41" s="73"/>
      <c r="UMT41" s="73"/>
      <c r="UMU41" s="73"/>
      <c r="UMV41" s="73"/>
      <c r="UMW41" s="73"/>
      <c r="UMX41" s="73"/>
      <c r="UMY41" s="73"/>
      <c r="UMZ41" s="73"/>
      <c r="UNA41" s="73"/>
      <c r="UNB41" s="73"/>
      <c r="UNC41" s="73"/>
      <c r="UND41" s="73"/>
      <c r="UNE41" s="73"/>
      <c r="UNF41" s="73"/>
      <c r="UNG41" s="73"/>
      <c r="UNH41" s="73"/>
      <c r="UNI41" s="73"/>
      <c r="UNJ41" s="73"/>
      <c r="UNK41" s="73"/>
      <c r="UNL41" s="73"/>
      <c r="UNM41" s="73"/>
      <c r="UNN41" s="73"/>
      <c r="UNO41" s="73"/>
      <c r="UNP41" s="73"/>
      <c r="UNQ41" s="73"/>
      <c r="UNR41" s="73"/>
      <c r="UNS41" s="73"/>
      <c r="UNT41" s="73"/>
      <c r="UNU41" s="73"/>
      <c r="UNV41" s="73"/>
      <c r="UNW41" s="73"/>
      <c r="UNX41" s="73"/>
      <c r="UNY41" s="73"/>
      <c r="UNZ41" s="73"/>
      <c r="UOA41" s="73"/>
      <c r="UOB41" s="73"/>
      <c r="UOC41" s="73"/>
      <c r="UOD41" s="73"/>
      <c r="UOE41" s="73"/>
      <c r="UOF41" s="73"/>
      <c r="UOG41" s="73"/>
      <c r="UOH41" s="73"/>
      <c r="UOI41" s="73"/>
      <c r="UOJ41" s="73"/>
      <c r="UOK41" s="73"/>
      <c r="UOL41" s="73"/>
      <c r="UOM41" s="73"/>
      <c r="UON41" s="73"/>
      <c r="UOO41" s="73"/>
      <c r="UOP41" s="73"/>
      <c r="UOQ41" s="73"/>
      <c r="UOR41" s="73"/>
      <c r="UOS41" s="73"/>
      <c r="UOT41" s="73"/>
      <c r="UOU41" s="73"/>
      <c r="UOV41" s="73"/>
      <c r="UOW41" s="73"/>
      <c r="UOX41" s="73"/>
      <c r="UOY41" s="73"/>
      <c r="UOZ41" s="73"/>
      <c r="UPA41" s="73"/>
      <c r="UPB41" s="73"/>
      <c r="UPC41" s="73"/>
      <c r="UPD41" s="73"/>
      <c r="UPE41" s="73"/>
      <c r="UPF41" s="73"/>
      <c r="UPG41" s="73"/>
      <c r="UPH41" s="73"/>
      <c r="UPI41" s="73"/>
      <c r="UPJ41" s="73"/>
      <c r="UPK41" s="73"/>
      <c r="UPL41" s="73"/>
      <c r="UPM41" s="73"/>
      <c r="UPN41" s="73"/>
      <c r="UPO41" s="73"/>
      <c r="UPP41" s="73"/>
      <c r="UPQ41" s="73"/>
      <c r="UPR41" s="73"/>
      <c r="UPS41" s="73"/>
      <c r="UPT41" s="73"/>
      <c r="UPU41" s="73"/>
      <c r="UPV41" s="73"/>
      <c r="UPW41" s="73"/>
      <c r="UPX41" s="73"/>
      <c r="UPY41" s="73"/>
      <c r="UPZ41" s="73"/>
      <c r="UQA41" s="73"/>
      <c r="UQB41" s="73"/>
      <c r="UQC41" s="73"/>
      <c r="UQD41" s="73"/>
      <c r="UQE41" s="73"/>
      <c r="UQF41" s="73"/>
      <c r="UQG41" s="73"/>
      <c r="UQH41" s="73"/>
      <c r="UQI41" s="73"/>
      <c r="UQJ41" s="73"/>
      <c r="UQK41" s="73"/>
      <c r="UQL41" s="73"/>
      <c r="UQM41" s="73"/>
      <c r="UQN41" s="73"/>
      <c r="UQO41" s="73"/>
      <c r="UQP41" s="73"/>
      <c r="UQQ41" s="73"/>
      <c r="UQR41" s="73"/>
      <c r="UQS41" s="73"/>
      <c r="UQT41" s="73"/>
      <c r="UQU41" s="73"/>
      <c r="UQV41" s="73"/>
      <c r="UQW41" s="73"/>
      <c r="UQX41" s="73"/>
      <c r="UQY41" s="73"/>
      <c r="UQZ41" s="73"/>
      <c r="URA41" s="73"/>
      <c r="URB41" s="73"/>
      <c r="URC41" s="73"/>
      <c r="URD41" s="73"/>
      <c r="URE41" s="73"/>
      <c r="URF41" s="73"/>
      <c r="URG41" s="73"/>
      <c r="URH41" s="73"/>
      <c r="URI41" s="73"/>
      <c r="URJ41" s="73"/>
      <c r="URK41" s="73"/>
      <c r="URL41" s="73"/>
      <c r="URM41" s="73"/>
      <c r="URN41" s="73"/>
      <c r="URO41" s="73"/>
      <c r="URP41" s="73"/>
      <c r="URQ41" s="73"/>
      <c r="URR41" s="73"/>
      <c r="URS41" s="73"/>
      <c r="URT41" s="73"/>
      <c r="URU41" s="73"/>
      <c r="URV41" s="73"/>
      <c r="URW41" s="73"/>
      <c r="URX41" s="73"/>
      <c r="URY41" s="73"/>
      <c r="URZ41" s="73"/>
      <c r="USA41" s="73"/>
      <c r="USB41" s="73"/>
      <c r="USC41" s="73"/>
      <c r="USD41" s="73"/>
      <c r="USE41" s="73"/>
      <c r="USF41" s="73"/>
      <c r="USG41" s="73"/>
      <c r="USH41" s="73"/>
      <c r="USI41" s="73"/>
      <c r="USJ41" s="73"/>
      <c r="USK41" s="73"/>
      <c r="USL41" s="73"/>
      <c r="USM41" s="73"/>
      <c r="USN41" s="73"/>
      <c r="USO41" s="73"/>
      <c r="USP41" s="73"/>
      <c r="USQ41" s="73"/>
      <c r="USR41" s="73"/>
      <c r="USS41" s="73"/>
      <c r="UST41" s="73"/>
      <c r="USU41" s="73"/>
      <c r="USV41" s="73"/>
      <c r="USW41" s="73"/>
      <c r="USX41" s="73"/>
      <c r="USY41" s="73"/>
      <c r="USZ41" s="73"/>
      <c r="UTA41" s="73"/>
      <c r="UTB41" s="73"/>
      <c r="UTC41" s="73"/>
      <c r="UTD41" s="73"/>
      <c r="UTE41" s="73"/>
      <c r="UTF41" s="73"/>
      <c r="UTG41" s="73"/>
      <c r="UTH41" s="73"/>
      <c r="UTI41" s="73"/>
      <c r="UTJ41" s="73"/>
      <c r="UTK41" s="73"/>
      <c r="UTL41" s="73"/>
      <c r="UTM41" s="73"/>
      <c r="UTN41" s="73"/>
      <c r="UTO41" s="73"/>
      <c r="UTP41" s="73"/>
      <c r="UTQ41" s="73"/>
      <c r="UTR41" s="73"/>
      <c r="UTS41" s="73"/>
      <c r="UTT41" s="73"/>
      <c r="UTU41" s="73"/>
      <c r="UTV41" s="73"/>
      <c r="UTW41" s="73"/>
      <c r="UTX41" s="73"/>
      <c r="UTY41" s="73"/>
      <c r="UTZ41" s="73"/>
      <c r="UUA41" s="73"/>
      <c r="UUB41" s="73"/>
      <c r="UUC41" s="73"/>
      <c r="UUD41" s="73"/>
      <c r="UUE41" s="73"/>
      <c r="UUF41" s="73"/>
      <c r="UUG41" s="73"/>
      <c r="UUH41" s="73"/>
      <c r="UUI41" s="73"/>
      <c r="UUJ41" s="73"/>
      <c r="UUK41" s="73"/>
      <c r="UUL41" s="73"/>
      <c r="UUM41" s="73"/>
      <c r="UUN41" s="73"/>
      <c r="UUO41" s="73"/>
      <c r="UUP41" s="73"/>
      <c r="UUQ41" s="73"/>
      <c r="UUR41" s="73"/>
      <c r="UUS41" s="73"/>
      <c r="UUT41" s="73"/>
      <c r="UUU41" s="73"/>
      <c r="UUV41" s="73"/>
      <c r="UUW41" s="73"/>
      <c r="UUX41" s="73"/>
      <c r="UUY41" s="73"/>
      <c r="UUZ41" s="73"/>
      <c r="UVA41" s="73"/>
      <c r="UVB41" s="73"/>
      <c r="UVC41" s="73"/>
      <c r="UVD41" s="73"/>
      <c r="UVE41" s="73"/>
      <c r="UVF41" s="73"/>
      <c r="UVG41" s="73"/>
      <c r="UVH41" s="73"/>
      <c r="UVI41" s="73"/>
      <c r="UVJ41" s="73"/>
      <c r="UVK41" s="73"/>
      <c r="UVL41" s="73"/>
      <c r="UVM41" s="73"/>
      <c r="UVN41" s="73"/>
      <c r="UVO41" s="73"/>
      <c r="UVP41" s="73"/>
      <c r="UVQ41" s="73"/>
      <c r="UVR41" s="73"/>
      <c r="UVS41" s="73"/>
      <c r="UVT41" s="73"/>
      <c r="UVU41" s="73"/>
      <c r="UVV41" s="73"/>
      <c r="UVW41" s="73"/>
      <c r="UVX41" s="73"/>
      <c r="UVY41" s="73"/>
      <c r="UVZ41" s="73"/>
      <c r="UWA41" s="73"/>
      <c r="UWB41" s="73"/>
      <c r="UWC41" s="73"/>
      <c r="UWD41" s="73"/>
      <c r="UWE41" s="73"/>
      <c r="UWF41" s="73"/>
      <c r="UWG41" s="73"/>
      <c r="UWH41" s="73"/>
      <c r="UWI41" s="73"/>
      <c r="UWJ41" s="73"/>
      <c r="UWK41" s="73"/>
      <c r="UWL41" s="73"/>
      <c r="UWM41" s="73"/>
      <c r="UWN41" s="73"/>
      <c r="UWO41" s="73"/>
      <c r="UWP41" s="73"/>
      <c r="UWQ41" s="73"/>
      <c r="UWR41" s="73"/>
      <c r="UWS41" s="73"/>
      <c r="UWT41" s="73"/>
      <c r="UWU41" s="73"/>
      <c r="UWV41" s="73"/>
      <c r="UWW41" s="73"/>
      <c r="UWX41" s="73"/>
      <c r="UWY41" s="73"/>
      <c r="UWZ41" s="73"/>
      <c r="UXA41" s="73"/>
      <c r="UXB41" s="73"/>
      <c r="UXC41" s="73"/>
      <c r="UXD41" s="73"/>
      <c r="UXE41" s="73"/>
      <c r="UXF41" s="73"/>
      <c r="UXG41" s="73"/>
      <c r="UXH41" s="73"/>
      <c r="UXI41" s="73"/>
      <c r="UXJ41" s="73"/>
      <c r="UXK41" s="73"/>
      <c r="UXL41" s="73"/>
      <c r="UXM41" s="73"/>
      <c r="UXN41" s="73"/>
      <c r="UXO41" s="73"/>
      <c r="UXP41" s="73"/>
      <c r="UXQ41" s="73"/>
      <c r="UXR41" s="73"/>
      <c r="UXS41" s="73"/>
      <c r="UXT41" s="73"/>
      <c r="UXU41" s="73"/>
      <c r="UXV41" s="73"/>
      <c r="UXW41" s="73"/>
      <c r="UXX41" s="73"/>
      <c r="UXY41" s="73"/>
      <c r="UXZ41" s="73"/>
      <c r="UYA41" s="73"/>
      <c r="UYB41" s="73"/>
      <c r="UYC41" s="73"/>
      <c r="UYD41" s="73"/>
      <c r="UYE41" s="73"/>
      <c r="UYF41" s="73"/>
      <c r="UYG41" s="73"/>
      <c r="UYH41" s="73"/>
      <c r="UYI41" s="73"/>
      <c r="UYJ41" s="73"/>
      <c r="UYK41" s="73"/>
      <c r="UYL41" s="73"/>
      <c r="UYM41" s="73"/>
      <c r="UYN41" s="73"/>
      <c r="UYO41" s="73"/>
      <c r="UYP41" s="73"/>
      <c r="UYQ41" s="73"/>
      <c r="UYR41" s="73"/>
      <c r="UYS41" s="73"/>
      <c r="UYT41" s="73"/>
      <c r="UYU41" s="73"/>
      <c r="UYV41" s="73"/>
      <c r="UYW41" s="73"/>
      <c r="UYX41" s="73"/>
      <c r="UYY41" s="73"/>
      <c r="UYZ41" s="73"/>
      <c r="UZA41" s="73"/>
      <c r="UZB41" s="73"/>
      <c r="UZC41" s="73"/>
      <c r="UZD41" s="73"/>
      <c r="UZE41" s="73"/>
      <c r="UZF41" s="73"/>
      <c r="UZG41" s="73"/>
      <c r="UZH41" s="73"/>
      <c r="UZI41" s="73"/>
      <c r="UZJ41" s="73"/>
      <c r="UZK41" s="73"/>
      <c r="UZL41" s="73"/>
      <c r="UZM41" s="73"/>
      <c r="UZN41" s="73"/>
      <c r="UZO41" s="73"/>
      <c r="UZP41" s="73"/>
      <c r="UZQ41" s="73"/>
      <c r="UZR41" s="73"/>
      <c r="UZS41" s="73"/>
      <c r="UZT41" s="73"/>
      <c r="UZU41" s="73"/>
      <c r="UZV41" s="73"/>
      <c r="UZW41" s="73"/>
      <c r="UZX41" s="73"/>
      <c r="UZY41" s="73"/>
      <c r="UZZ41" s="73"/>
      <c r="VAA41" s="73"/>
      <c r="VAB41" s="73"/>
      <c r="VAC41" s="73"/>
      <c r="VAD41" s="73"/>
      <c r="VAE41" s="73"/>
      <c r="VAF41" s="73"/>
      <c r="VAG41" s="73"/>
      <c r="VAH41" s="73"/>
      <c r="VAI41" s="73"/>
      <c r="VAJ41" s="73"/>
      <c r="VAK41" s="73"/>
      <c r="VAL41" s="73"/>
      <c r="VAM41" s="73"/>
      <c r="VAN41" s="73"/>
      <c r="VAO41" s="73"/>
      <c r="VAP41" s="73"/>
      <c r="VAQ41" s="73"/>
      <c r="VAR41" s="73"/>
      <c r="VAS41" s="73"/>
      <c r="VAT41" s="73"/>
      <c r="VAU41" s="73"/>
      <c r="VAV41" s="73"/>
      <c r="VAW41" s="73"/>
      <c r="VAX41" s="73"/>
      <c r="VAY41" s="73"/>
      <c r="VAZ41" s="73"/>
      <c r="VBA41" s="73"/>
      <c r="VBB41" s="73"/>
      <c r="VBC41" s="73"/>
      <c r="VBD41" s="73"/>
      <c r="VBE41" s="73"/>
      <c r="VBF41" s="73"/>
      <c r="VBG41" s="73"/>
      <c r="VBH41" s="73"/>
      <c r="VBI41" s="73"/>
      <c r="VBJ41" s="73"/>
      <c r="VBK41" s="73"/>
      <c r="VBL41" s="73"/>
      <c r="VBM41" s="73"/>
      <c r="VBN41" s="73"/>
      <c r="VBO41" s="73"/>
      <c r="VBP41" s="73"/>
      <c r="VBQ41" s="73"/>
      <c r="VBR41" s="73"/>
      <c r="VBS41" s="73"/>
      <c r="VBT41" s="73"/>
      <c r="VBU41" s="73"/>
      <c r="VBV41" s="73"/>
      <c r="VBW41" s="73"/>
      <c r="VBX41" s="73"/>
      <c r="VBY41" s="73"/>
      <c r="VBZ41" s="73"/>
      <c r="VCA41" s="73"/>
      <c r="VCB41" s="73"/>
      <c r="VCC41" s="73"/>
      <c r="VCD41" s="73"/>
      <c r="VCE41" s="73"/>
      <c r="VCF41" s="73"/>
      <c r="VCG41" s="73"/>
      <c r="VCH41" s="73"/>
      <c r="VCI41" s="73"/>
      <c r="VCJ41" s="73"/>
      <c r="VCK41" s="73"/>
      <c r="VCL41" s="73"/>
      <c r="VCM41" s="73"/>
      <c r="VCN41" s="73"/>
      <c r="VCO41" s="73"/>
      <c r="VCP41" s="73"/>
      <c r="VCQ41" s="73"/>
      <c r="VCR41" s="73"/>
      <c r="VCS41" s="73"/>
      <c r="VCT41" s="73"/>
      <c r="VCU41" s="73"/>
      <c r="VCV41" s="73"/>
      <c r="VCW41" s="73"/>
      <c r="VCX41" s="73"/>
      <c r="VCY41" s="73"/>
      <c r="VCZ41" s="73"/>
      <c r="VDA41" s="73"/>
      <c r="VDB41" s="73"/>
      <c r="VDC41" s="73"/>
      <c r="VDD41" s="73"/>
      <c r="VDE41" s="73"/>
      <c r="VDF41" s="73"/>
      <c r="VDG41" s="73"/>
      <c r="VDH41" s="73"/>
      <c r="VDI41" s="73"/>
      <c r="VDJ41" s="73"/>
      <c r="VDK41" s="73"/>
      <c r="VDL41" s="73"/>
      <c r="VDM41" s="73"/>
      <c r="VDN41" s="73"/>
      <c r="VDO41" s="73"/>
      <c r="VDP41" s="73"/>
      <c r="VDQ41" s="73"/>
      <c r="VDR41" s="73"/>
      <c r="VDS41" s="73"/>
      <c r="VDT41" s="73"/>
      <c r="VDU41" s="73"/>
      <c r="VDV41" s="73"/>
      <c r="VDW41" s="73"/>
      <c r="VDX41" s="73"/>
      <c r="VDY41" s="73"/>
      <c r="VDZ41" s="73"/>
      <c r="VEA41" s="73"/>
      <c r="VEB41" s="73"/>
      <c r="VEC41" s="73"/>
      <c r="VED41" s="73"/>
      <c r="VEE41" s="73"/>
      <c r="VEF41" s="73"/>
      <c r="VEG41" s="73"/>
      <c r="VEH41" s="73"/>
      <c r="VEI41" s="73"/>
      <c r="VEJ41" s="73"/>
      <c r="VEK41" s="73"/>
      <c r="VEL41" s="73"/>
      <c r="VEM41" s="73"/>
      <c r="VEN41" s="73"/>
      <c r="VEO41" s="73"/>
      <c r="VEP41" s="73"/>
      <c r="VEQ41" s="73"/>
      <c r="VER41" s="73"/>
      <c r="VES41" s="73"/>
      <c r="VET41" s="73"/>
      <c r="VEU41" s="73"/>
      <c r="VEV41" s="73"/>
      <c r="VEW41" s="73"/>
      <c r="VEX41" s="73"/>
      <c r="VEY41" s="73"/>
      <c r="VEZ41" s="73"/>
      <c r="VFA41" s="73"/>
      <c r="VFB41" s="73"/>
      <c r="VFC41" s="73"/>
      <c r="VFD41" s="73"/>
      <c r="VFE41" s="73"/>
      <c r="VFF41" s="73"/>
      <c r="VFG41" s="73"/>
      <c r="VFH41" s="73"/>
      <c r="VFI41" s="73"/>
      <c r="VFJ41" s="73"/>
      <c r="VFK41" s="73"/>
      <c r="VFL41" s="73"/>
      <c r="VFM41" s="73"/>
      <c r="VFN41" s="73"/>
      <c r="VFO41" s="73"/>
      <c r="VFP41" s="73"/>
      <c r="VFQ41" s="73"/>
      <c r="VFR41" s="73"/>
      <c r="VFS41" s="73"/>
      <c r="VFT41" s="73"/>
      <c r="VFU41" s="73"/>
      <c r="VFV41" s="73"/>
      <c r="VFW41" s="73"/>
      <c r="VFX41" s="73"/>
      <c r="VFY41" s="73"/>
      <c r="VFZ41" s="73"/>
      <c r="VGA41" s="73"/>
      <c r="VGB41" s="73"/>
      <c r="VGC41" s="73"/>
      <c r="VGD41" s="73"/>
      <c r="VGE41" s="73"/>
      <c r="VGF41" s="73"/>
      <c r="VGG41" s="73"/>
      <c r="VGH41" s="73"/>
      <c r="VGI41" s="73"/>
      <c r="VGJ41" s="73"/>
      <c r="VGK41" s="73"/>
      <c r="VGL41" s="73"/>
      <c r="VGM41" s="73"/>
      <c r="VGN41" s="73"/>
      <c r="VGO41" s="73"/>
      <c r="VGP41" s="73"/>
      <c r="VGQ41" s="73"/>
      <c r="VGR41" s="73"/>
      <c r="VGS41" s="73"/>
      <c r="VGT41" s="73"/>
      <c r="VGU41" s="73"/>
      <c r="VGV41" s="73"/>
      <c r="VGW41" s="73"/>
      <c r="VGX41" s="73"/>
      <c r="VGY41" s="73"/>
      <c r="VGZ41" s="73"/>
      <c r="VHA41" s="73"/>
      <c r="VHB41" s="73"/>
      <c r="VHC41" s="73"/>
      <c r="VHD41" s="73"/>
      <c r="VHE41" s="73"/>
      <c r="VHF41" s="73"/>
      <c r="VHG41" s="73"/>
      <c r="VHH41" s="73"/>
      <c r="VHI41" s="73"/>
      <c r="VHJ41" s="73"/>
      <c r="VHK41" s="73"/>
      <c r="VHL41" s="73"/>
      <c r="VHM41" s="73"/>
      <c r="VHN41" s="73"/>
      <c r="VHO41" s="73"/>
      <c r="VHP41" s="73"/>
      <c r="VHQ41" s="73"/>
      <c r="VHR41" s="73"/>
      <c r="VHS41" s="73"/>
      <c r="VHT41" s="73"/>
      <c r="VHU41" s="73"/>
      <c r="VHV41" s="73"/>
      <c r="VHW41" s="73"/>
      <c r="VHX41" s="73"/>
      <c r="VHY41" s="73"/>
      <c r="VHZ41" s="73"/>
      <c r="VIA41" s="73"/>
      <c r="VIB41" s="73"/>
      <c r="VIC41" s="73"/>
      <c r="VID41" s="73"/>
      <c r="VIE41" s="73"/>
      <c r="VIF41" s="73"/>
      <c r="VIG41" s="73"/>
      <c r="VIH41" s="73"/>
      <c r="VII41" s="73"/>
      <c r="VIJ41" s="73"/>
      <c r="VIK41" s="73"/>
      <c r="VIL41" s="73"/>
      <c r="VIM41" s="73"/>
      <c r="VIN41" s="73"/>
      <c r="VIO41" s="73"/>
      <c r="VIP41" s="73"/>
      <c r="VIQ41" s="73"/>
      <c r="VIR41" s="73"/>
      <c r="VIS41" s="73"/>
      <c r="VIT41" s="73"/>
      <c r="VIU41" s="73"/>
      <c r="VIV41" s="73"/>
      <c r="VIW41" s="73"/>
      <c r="VIX41" s="73"/>
      <c r="VIY41" s="73"/>
      <c r="VIZ41" s="73"/>
      <c r="VJA41" s="73"/>
      <c r="VJB41" s="73"/>
      <c r="VJC41" s="73"/>
      <c r="VJD41" s="73"/>
      <c r="VJE41" s="73"/>
      <c r="VJF41" s="73"/>
      <c r="VJG41" s="73"/>
      <c r="VJH41" s="73"/>
      <c r="VJI41" s="73"/>
      <c r="VJJ41" s="73"/>
      <c r="VJK41" s="73"/>
      <c r="VJL41" s="73"/>
      <c r="VJM41" s="73"/>
      <c r="VJN41" s="73"/>
      <c r="VJO41" s="73"/>
      <c r="VJP41" s="73"/>
      <c r="VJQ41" s="73"/>
      <c r="VJR41" s="73"/>
      <c r="VJS41" s="73"/>
      <c r="VJT41" s="73"/>
      <c r="VJU41" s="73"/>
      <c r="VJV41" s="73"/>
      <c r="VJW41" s="73"/>
      <c r="VJX41" s="73"/>
      <c r="VJY41" s="73"/>
      <c r="VJZ41" s="73"/>
      <c r="VKA41" s="73"/>
      <c r="VKB41" s="73"/>
      <c r="VKC41" s="73"/>
      <c r="VKD41" s="73"/>
      <c r="VKE41" s="73"/>
      <c r="VKF41" s="73"/>
      <c r="VKG41" s="73"/>
      <c r="VKH41" s="73"/>
      <c r="VKI41" s="73"/>
      <c r="VKJ41" s="73"/>
      <c r="VKK41" s="73"/>
      <c r="VKL41" s="73"/>
      <c r="VKM41" s="73"/>
      <c r="VKN41" s="73"/>
      <c r="VKO41" s="73"/>
      <c r="VKP41" s="73"/>
      <c r="VKQ41" s="73"/>
      <c r="VKR41" s="73"/>
      <c r="VKS41" s="73"/>
      <c r="VKT41" s="73"/>
      <c r="VKU41" s="73"/>
      <c r="VKV41" s="73"/>
      <c r="VKW41" s="73"/>
      <c r="VKX41" s="73"/>
      <c r="VKY41" s="73"/>
      <c r="VKZ41" s="73"/>
      <c r="VLA41" s="73"/>
      <c r="VLB41" s="73"/>
      <c r="VLC41" s="73"/>
      <c r="VLD41" s="73"/>
      <c r="VLE41" s="73"/>
      <c r="VLF41" s="73"/>
      <c r="VLG41" s="73"/>
      <c r="VLH41" s="73"/>
      <c r="VLI41" s="73"/>
      <c r="VLJ41" s="73"/>
      <c r="VLK41" s="73"/>
      <c r="VLL41" s="73"/>
      <c r="VLM41" s="73"/>
      <c r="VLN41" s="73"/>
      <c r="VLO41" s="73"/>
      <c r="VLP41" s="73"/>
      <c r="VLQ41" s="73"/>
      <c r="VLR41" s="73"/>
      <c r="VLS41" s="73"/>
      <c r="VLT41" s="73"/>
      <c r="VLU41" s="73"/>
      <c r="VLV41" s="73"/>
      <c r="VLW41" s="73"/>
      <c r="VLX41" s="73"/>
      <c r="VLY41" s="73"/>
      <c r="VLZ41" s="73"/>
      <c r="VMA41" s="73"/>
      <c r="VMB41" s="73"/>
      <c r="VMC41" s="73"/>
      <c r="VMD41" s="73"/>
      <c r="VME41" s="73"/>
      <c r="VMF41" s="73"/>
      <c r="VMG41" s="73"/>
      <c r="VMH41" s="73"/>
      <c r="VMI41" s="73"/>
      <c r="VMJ41" s="73"/>
      <c r="VMK41" s="73"/>
      <c r="VML41" s="73"/>
      <c r="VMM41" s="73"/>
      <c r="VMN41" s="73"/>
      <c r="VMO41" s="73"/>
      <c r="VMP41" s="73"/>
      <c r="VMQ41" s="73"/>
      <c r="VMR41" s="73"/>
      <c r="VMS41" s="73"/>
      <c r="VMT41" s="73"/>
      <c r="VMU41" s="73"/>
      <c r="VMV41" s="73"/>
      <c r="VMW41" s="73"/>
      <c r="VMX41" s="73"/>
      <c r="VMY41" s="73"/>
      <c r="VMZ41" s="73"/>
      <c r="VNA41" s="73"/>
      <c r="VNB41" s="73"/>
      <c r="VNC41" s="73"/>
      <c r="VND41" s="73"/>
      <c r="VNE41" s="73"/>
      <c r="VNF41" s="73"/>
      <c r="VNG41" s="73"/>
      <c r="VNH41" s="73"/>
      <c r="VNI41" s="73"/>
      <c r="VNJ41" s="73"/>
      <c r="VNK41" s="73"/>
      <c r="VNL41" s="73"/>
      <c r="VNM41" s="73"/>
      <c r="VNN41" s="73"/>
      <c r="VNO41" s="73"/>
      <c r="VNP41" s="73"/>
      <c r="VNQ41" s="73"/>
      <c r="VNR41" s="73"/>
      <c r="VNS41" s="73"/>
      <c r="VNT41" s="73"/>
      <c r="VNU41" s="73"/>
      <c r="VNV41" s="73"/>
      <c r="VNW41" s="73"/>
      <c r="VNX41" s="73"/>
      <c r="VNY41" s="73"/>
      <c r="VNZ41" s="73"/>
      <c r="VOA41" s="73"/>
      <c r="VOB41" s="73"/>
      <c r="VOC41" s="73"/>
      <c r="VOD41" s="73"/>
      <c r="VOE41" s="73"/>
      <c r="VOF41" s="73"/>
      <c r="VOG41" s="73"/>
      <c r="VOH41" s="73"/>
      <c r="VOI41" s="73"/>
      <c r="VOJ41" s="73"/>
      <c r="VOK41" s="73"/>
      <c r="VOL41" s="73"/>
      <c r="VOM41" s="73"/>
      <c r="VON41" s="73"/>
      <c r="VOO41" s="73"/>
      <c r="VOP41" s="73"/>
      <c r="VOQ41" s="73"/>
      <c r="VOR41" s="73"/>
      <c r="VOS41" s="73"/>
      <c r="VOT41" s="73"/>
      <c r="VOU41" s="73"/>
      <c r="VOV41" s="73"/>
      <c r="VOW41" s="73"/>
      <c r="VOX41" s="73"/>
      <c r="VOY41" s="73"/>
      <c r="VOZ41" s="73"/>
      <c r="VPA41" s="73"/>
      <c r="VPB41" s="73"/>
      <c r="VPC41" s="73"/>
      <c r="VPD41" s="73"/>
      <c r="VPE41" s="73"/>
      <c r="VPF41" s="73"/>
      <c r="VPG41" s="73"/>
      <c r="VPH41" s="73"/>
      <c r="VPI41" s="73"/>
      <c r="VPJ41" s="73"/>
      <c r="VPK41" s="73"/>
      <c r="VPL41" s="73"/>
      <c r="VPM41" s="73"/>
      <c r="VPN41" s="73"/>
      <c r="VPO41" s="73"/>
      <c r="VPP41" s="73"/>
      <c r="VPQ41" s="73"/>
      <c r="VPR41" s="73"/>
      <c r="VPS41" s="73"/>
      <c r="VPT41" s="73"/>
      <c r="VPU41" s="73"/>
      <c r="VPV41" s="73"/>
      <c r="VPW41" s="73"/>
      <c r="VPX41" s="73"/>
      <c r="VPY41" s="73"/>
      <c r="VPZ41" s="73"/>
      <c r="VQA41" s="73"/>
      <c r="VQB41" s="73"/>
      <c r="VQC41" s="73"/>
      <c r="VQD41" s="73"/>
      <c r="VQE41" s="73"/>
      <c r="VQF41" s="73"/>
      <c r="VQG41" s="73"/>
      <c r="VQH41" s="73"/>
      <c r="VQI41" s="73"/>
      <c r="VQJ41" s="73"/>
      <c r="VQK41" s="73"/>
      <c r="VQL41" s="73"/>
      <c r="VQM41" s="73"/>
      <c r="VQN41" s="73"/>
      <c r="VQO41" s="73"/>
      <c r="VQP41" s="73"/>
      <c r="VQQ41" s="73"/>
      <c r="VQR41" s="73"/>
      <c r="VQS41" s="73"/>
      <c r="VQT41" s="73"/>
      <c r="VQU41" s="73"/>
      <c r="VQV41" s="73"/>
      <c r="VQW41" s="73"/>
      <c r="VQX41" s="73"/>
      <c r="VQY41" s="73"/>
      <c r="VQZ41" s="73"/>
      <c r="VRA41" s="73"/>
      <c r="VRB41" s="73"/>
      <c r="VRC41" s="73"/>
      <c r="VRD41" s="73"/>
      <c r="VRE41" s="73"/>
      <c r="VRF41" s="73"/>
      <c r="VRG41" s="73"/>
      <c r="VRH41" s="73"/>
      <c r="VRI41" s="73"/>
      <c r="VRJ41" s="73"/>
      <c r="VRK41" s="73"/>
      <c r="VRL41" s="73"/>
      <c r="VRM41" s="73"/>
      <c r="VRN41" s="73"/>
      <c r="VRO41" s="73"/>
      <c r="VRP41" s="73"/>
      <c r="VRQ41" s="73"/>
      <c r="VRR41" s="73"/>
      <c r="VRS41" s="73"/>
      <c r="VRT41" s="73"/>
      <c r="VRU41" s="73"/>
      <c r="VRV41" s="73"/>
      <c r="VRW41" s="73"/>
      <c r="VRX41" s="73"/>
      <c r="VRY41" s="73"/>
      <c r="VRZ41" s="73"/>
      <c r="VSA41" s="73"/>
      <c r="VSB41" s="73"/>
      <c r="VSC41" s="73"/>
      <c r="VSD41" s="73"/>
      <c r="VSE41" s="73"/>
      <c r="VSF41" s="73"/>
      <c r="VSG41" s="73"/>
      <c r="VSH41" s="73"/>
      <c r="VSI41" s="73"/>
      <c r="VSJ41" s="73"/>
      <c r="VSK41" s="73"/>
      <c r="VSL41" s="73"/>
      <c r="VSM41" s="73"/>
      <c r="VSN41" s="73"/>
      <c r="VSO41" s="73"/>
      <c r="VSP41" s="73"/>
      <c r="VSQ41" s="73"/>
      <c r="VSR41" s="73"/>
      <c r="VSS41" s="73"/>
      <c r="VST41" s="73"/>
      <c r="VSU41" s="73"/>
      <c r="VSV41" s="73"/>
      <c r="VSW41" s="73"/>
      <c r="VSX41" s="73"/>
      <c r="VSY41" s="73"/>
      <c r="VSZ41" s="73"/>
      <c r="VTA41" s="73"/>
      <c r="VTB41" s="73"/>
      <c r="VTC41" s="73"/>
      <c r="VTD41" s="73"/>
      <c r="VTE41" s="73"/>
      <c r="VTF41" s="73"/>
      <c r="VTG41" s="73"/>
      <c r="VTH41" s="73"/>
      <c r="VTI41" s="73"/>
      <c r="VTJ41" s="73"/>
      <c r="VTK41" s="73"/>
      <c r="VTL41" s="73"/>
      <c r="VTM41" s="73"/>
      <c r="VTN41" s="73"/>
      <c r="VTO41" s="73"/>
      <c r="VTP41" s="73"/>
      <c r="VTQ41" s="73"/>
      <c r="VTR41" s="73"/>
      <c r="VTS41" s="73"/>
      <c r="VTT41" s="73"/>
      <c r="VTU41" s="73"/>
      <c r="VTV41" s="73"/>
      <c r="VTW41" s="73"/>
      <c r="VTX41" s="73"/>
      <c r="VTY41" s="73"/>
      <c r="VTZ41" s="73"/>
      <c r="VUA41" s="73"/>
      <c r="VUB41" s="73"/>
      <c r="VUC41" s="73"/>
      <c r="VUD41" s="73"/>
      <c r="VUE41" s="73"/>
      <c r="VUF41" s="73"/>
      <c r="VUG41" s="73"/>
      <c r="VUH41" s="73"/>
      <c r="VUI41" s="73"/>
      <c r="VUJ41" s="73"/>
      <c r="VUK41" s="73"/>
      <c r="VUL41" s="73"/>
      <c r="VUM41" s="73"/>
      <c r="VUN41" s="73"/>
      <c r="VUO41" s="73"/>
      <c r="VUP41" s="73"/>
      <c r="VUQ41" s="73"/>
      <c r="VUR41" s="73"/>
      <c r="VUS41" s="73"/>
      <c r="VUT41" s="73"/>
      <c r="VUU41" s="73"/>
      <c r="VUV41" s="73"/>
      <c r="VUW41" s="73"/>
      <c r="VUX41" s="73"/>
      <c r="VUY41" s="73"/>
      <c r="VUZ41" s="73"/>
      <c r="VVA41" s="73"/>
      <c r="VVB41" s="73"/>
      <c r="VVC41" s="73"/>
      <c r="VVD41" s="73"/>
      <c r="VVE41" s="73"/>
      <c r="VVF41" s="73"/>
      <c r="VVG41" s="73"/>
      <c r="VVH41" s="73"/>
      <c r="VVI41" s="73"/>
      <c r="VVJ41" s="73"/>
      <c r="VVK41" s="73"/>
      <c r="VVL41" s="73"/>
      <c r="VVM41" s="73"/>
      <c r="VVN41" s="73"/>
      <c r="VVO41" s="73"/>
      <c r="VVP41" s="73"/>
      <c r="VVQ41" s="73"/>
      <c r="VVR41" s="73"/>
      <c r="VVS41" s="73"/>
      <c r="VVT41" s="73"/>
      <c r="VVU41" s="73"/>
      <c r="VVV41" s="73"/>
      <c r="VVW41" s="73"/>
      <c r="VVX41" s="73"/>
      <c r="VVY41" s="73"/>
      <c r="VVZ41" s="73"/>
      <c r="VWA41" s="73"/>
      <c r="VWB41" s="73"/>
      <c r="VWC41" s="73"/>
      <c r="VWD41" s="73"/>
      <c r="VWE41" s="73"/>
      <c r="VWF41" s="73"/>
      <c r="VWG41" s="73"/>
      <c r="VWH41" s="73"/>
      <c r="VWI41" s="73"/>
      <c r="VWJ41" s="73"/>
      <c r="VWK41" s="73"/>
      <c r="VWL41" s="73"/>
      <c r="VWM41" s="73"/>
      <c r="VWN41" s="73"/>
      <c r="VWO41" s="73"/>
      <c r="VWP41" s="73"/>
      <c r="VWQ41" s="73"/>
      <c r="VWR41" s="73"/>
      <c r="VWS41" s="73"/>
      <c r="VWT41" s="73"/>
      <c r="VWU41" s="73"/>
      <c r="VWV41" s="73"/>
      <c r="VWW41" s="73"/>
      <c r="VWX41" s="73"/>
      <c r="VWY41" s="73"/>
      <c r="VWZ41" s="73"/>
      <c r="VXA41" s="73"/>
      <c r="VXB41" s="73"/>
      <c r="VXC41" s="73"/>
      <c r="VXD41" s="73"/>
      <c r="VXE41" s="73"/>
      <c r="VXF41" s="73"/>
      <c r="VXG41" s="73"/>
      <c r="VXH41" s="73"/>
      <c r="VXI41" s="73"/>
      <c r="VXJ41" s="73"/>
      <c r="VXK41" s="73"/>
      <c r="VXL41" s="73"/>
      <c r="VXM41" s="73"/>
      <c r="VXN41" s="73"/>
      <c r="VXO41" s="73"/>
      <c r="VXP41" s="73"/>
      <c r="VXQ41" s="73"/>
      <c r="VXR41" s="73"/>
      <c r="VXS41" s="73"/>
      <c r="VXT41" s="73"/>
      <c r="VXU41" s="73"/>
      <c r="VXV41" s="73"/>
      <c r="VXW41" s="73"/>
      <c r="VXX41" s="73"/>
      <c r="VXY41" s="73"/>
      <c r="VXZ41" s="73"/>
      <c r="VYA41" s="73"/>
      <c r="VYB41" s="73"/>
      <c r="VYC41" s="73"/>
      <c r="VYD41" s="73"/>
      <c r="VYE41" s="73"/>
      <c r="VYF41" s="73"/>
      <c r="VYG41" s="73"/>
      <c r="VYH41" s="73"/>
      <c r="VYI41" s="73"/>
      <c r="VYJ41" s="73"/>
      <c r="VYK41" s="73"/>
      <c r="VYL41" s="73"/>
      <c r="VYM41" s="73"/>
      <c r="VYN41" s="73"/>
      <c r="VYO41" s="73"/>
      <c r="VYP41" s="73"/>
      <c r="VYQ41" s="73"/>
      <c r="VYR41" s="73"/>
      <c r="VYS41" s="73"/>
      <c r="VYT41" s="73"/>
      <c r="VYU41" s="73"/>
      <c r="VYV41" s="73"/>
      <c r="VYW41" s="73"/>
      <c r="VYX41" s="73"/>
      <c r="VYY41" s="73"/>
      <c r="VYZ41" s="73"/>
      <c r="VZA41" s="73"/>
      <c r="VZB41" s="73"/>
      <c r="VZC41" s="73"/>
      <c r="VZD41" s="73"/>
      <c r="VZE41" s="73"/>
      <c r="VZF41" s="73"/>
      <c r="VZG41" s="73"/>
      <c r="VZH41" s="73"/>
      <c r="VZI41" s="73"/>
      <c r="VZJ41" s="73"/>
      <c r="VZK41" s="73"/>
      <c r="VZL41" s="73"/>
      <c r="VZM41" s="73"/>
      <c r="VZN41" s="73"/>
      <c r="VZO41" s="73"/>
      <c r="VZP41" s="73"/>
      <c r="VZQ41" s="73"/>
      <c r="VZR41" s="73"/>
      <c r="VZS41" s="73"/>
      <c r="VZT41" s="73"/>
      <c r="VZU41" s="73"/>
      <c r="VZV41" s="73"/>
      <c r="VZW41" s="73"/>
      <c r="VZX41" s="73"/>
      <c r="VZY41" s="73"/>
      <c r="VZZ41" s="73"/>
      <c r="WAA41" s="73"/>
      <c r="WAB41" s="73"/>
      <c r="WAC41" s="73"/>
      <c r="WAD41" s="73"/>
      <c r="WAE41" s="73"/>
      <c r="WAF41" s="73"/>
      <c r="WAG41" s="73"/>
      <c r="WAH41" s="73"/>
      <c r="WAI41" s="73"/>
      <c r="WAJ41" s="73"/>
      <c r="WAK41" s="73"/>
      <c r="WAL41" s="73"/>
      <c r="WAM41" s="73"/>
      <c r="WAN41" s="73"/>
      <c r="WAO41" s="73"/>
      <c r="WAP41" s="73"/>
      <c r="WAQ41" s="73"/>
      <c r="WAR41" s="73"/>
      <c r="WAS41" s="73"/>
      <c r="WAT41" s="73"/>
      <c r="WAU41" s="73"/>
      <c r="WAV41" s="73"/>
      <c r="WAW41" s="73"/>
      <c r="WAX41" s="73"/>
      <c r="WAY41" s="73"/>
      <c r="WAZ41" s="73"/>
      <c r="WBA41" s="73"/>
      <c r="WBB41" s="73"/>
      <c r="WBC41" s="73"/>
      <c r="WBD41" s="73"/>
      <c r="WBE41" s="73"/>
      <c r="WBF41" s="73"/>
      <c r="WBG41" s="73"/>
      <c r="WBH41" s="73"/>
      <c r="WBI41" s="73"/>
      <c r="WBJ41" s="73"/>
      <c r="WBK41" s="73"/>
      <c r="WBL41" s="73"/>
      <c r="WBM41" s="73"/>
      <c r="WBN41" s="73"/>
      <c r="WBO41" s="73"/>
      <c r="WBP41" s="73"/>
      <c r="WBQ41" s="73"/>
      <c r="WBR41" s="73"/>
      <c r="WBS41" s="73"/>
      <c r="WBT41" s="73"/>
      <c r="WBU41" s="73"/>
      <c r="WBV41" s="73"/>
      <c r="WBW41" s="73"/>
      <c r="WBX41" s="73"/>
      <c r="WBY41" s="73"/>
      <c r="WBZ41" s="73"/>
      <c r="WCA41" s="73"/>
      <c r="WCB41" s="73"/>
      <c r="WCC41" s="73"/>
      <c r="WCD41" s="73"/>
      <c r="WCE41" s="73"/>
      <c r="WCF41" s="73"/>
      <c r="WCG41" s="73"/>
      <c r="WCH41" s="73"/>
      <c r="WCI41" s="73"/>
      <c r="WCJ41" s="73"/>
      <c r="WCK41" s="73"/>
      <c r="WCL41" s="73"/>
      <c r="WCM41" s="73"/>
      <c r="WCN41" s="73"/>
      <c r="WCO41" s="73"/>
      <c r="WCP41" s="73"/>
      <c r="WCQ41" s="73"/>
      <c r="WCR41" s="73"/>
      <c r="WCS41" s="73"/>
      <c r="WCT41" s="73"/>
      <c r="WCU41" s="73"/>
      <c r="WCV41" s="73"/>
      <c r="WCW41" s="73"/>
      <c r="WCX41" s="73"/>
      <c r="WCY41" s="73"/>
      <c r="WCZ41" s="73"/>
      <c r="WDA41" s="73"/>
      <c r="WDB41" s="73"/>
      <c r="WDC41" s="73"/>
      <c r="WDD41" s="73"/>
      <c r="WDE41" s="73"/>
      <c r="WDF41" s="73"/>
      <c r="WDG41" s="73"/>
      <c r="WDH41" s="73"/>
      <c r="WDI41" s="73"/>
      <c r="WDJ41" s="73"/>
      <c r="WDK41" s="73"/>
      <c r="WDL41" s="73"/>
      <c r="WDM41" s="73"/>
      <c r="WDN41" s="73"/>
      <c r="WDO41" s="73"/>
      <c r="WDP41" s="73"/>
      <c r="WDQ41" s="73"/>
      <c r="WDR41" s="73"/>
      <c r="WDS41" s="73"/>
      <c r="WDT41" s="73"/>
      <c r="WDU41" s="73"/>
      <c r="WDV41" s="73"/>
      <c r="WDW41" s="73"/>
      <c r="WDX41" s="73"/>
      <c r="WDY41" s="73"/>
      <c r="WDZ41" s="73"/>
      <c r="WEA41" s="73"/>
      <c r="WEB41" s="73"/>
      <c r="WEC41" s="73"/>
      <c r="WED41" s="73"/>
      <c r="WEE41" s="73"/>
      <c r="WEF41" s="73"/>
      <c r="WEG41" s="73"/>
      <c r="WEH41" s="73"/>
      <c r="WEI41" s="73"/>
      <c r="WEJ41" s="73"/>
      <c r="WEK41" s="73"/>
      <c r="WEL41" s="73"/>
      <c r="WEM41" s="73"/>
      <c r="WEN41" s="73"/>
      <c r="WEO41" s="73"/>
      <c r="WEP41" s="73"/>
      <c r="WEQ41" s="73"/>
      <c r="WER41" s="73"/>
      <c r="WES41" s="73"/>
      <c r="WET41" s="73"/>
      <c r="WEU41" s="73"/>
      <c r="WEV41" s="73"/>
      <c r="WEW41" s="73"/>
      <c r="WEX41" s="73"/>
      <c r="WEY41" s="73"/>
      <c r="WEZ41" s="73"/>
      <c r="WFA41" s="73"/>
      <c r="WFB41" s="73"/>
      <c r="WFC41" s="73"/>
      <c r="WFD41" s="73"/>
      <c r="WFE41" s="73"/>
      <c r="WFF41" s="73"/>
      <c r="WFG41" s="73"/>
      <c r="WFH41" s="73"/>
      <c r="WFI41" s="73"/>
      <c r="WFJ41" s="73"/>
      <c r="WFK41" s="73"/>
      <c r="WFL41" s="73"/>
      <c r="WFM41" s="73"/>
      <c r="WFN41" s="73"/>
      <c r="WFO41" s="73"/>
      <c r="WFP41" s="73"/>
      <c r="WFQ41" s="73"/>
      <c r="WFR41" s="73"/>
      <c r="WFS41" s="73"/>
      <c r="WFT41" s="73"/>
      <c r="WFU41" s="73"/>
      <c r="WFV41" s="73"/>
      <c r="WFW41" s="73"/>
      <c r="WFX41" s="73"/>
      <c r="WFY41" s="73"/>
      <c r="WFZ41" s="73"/>
      <c r="WGA41" s="73"/>
      <c r="WGB41" s="73"/>
      <c r="WGC41" s="73"/>
      <c r="WGD41" s="73"/>
      <c r="WGE41" s="73"/>
      <c r="WGF41" s="73"/>
      <c r="WGG41" s="73"/>
      <c r="WGH41" s="73"/>
      <c r="WGI41" s="73"/>
      <c r="WGJ41" s="73"/>
      <c r="WGK41" s="73"/>
      <c r="WGL41" s="73"/>
      <c r="WGM41" s="73"/>
      <c r="WGN41" s="73"/>
      <c r="WGO41" s="73"/>
      <c r="WGP41" s="73"/>
      <c r="WGQ41" s="73"/>
      <c r="WGR41" s="73"/>
      <c r="WGS41" s="73"/>
      <c r="WGT41" s="73"/>
      <c r="WGU41" s="73"/>
      <c r="WGV41" s="73"/>
      <c r="WGW41" s="73"/>
      <c r="WGX41" s="73"/>
      <c r="WGY41" s="73"/>
      <c r="WGZ41" s="73"/>
      <c r="WHA41" s="73"/>
      <c r="WHB41" s="73"/>
      <c r="WHC41" s="73"/>
      <c r="WHD41" s="73"/>
      <c r="WHE41" s="73"/>
      <c r="WHF41" s="73"/>
      <c r="WHG41" s="73"/>
      <c r="WHH41" s="73"/>
      <c r="WHI41" s="73"/>
      <c r="WHJ41" s="73"/>
      <c r="WHK41" s="73"/>
      <c r="WHL41" s="73"/>
      <c r="WHM41" s="73"/>
      <c r="WHN41" s="73"/>
      <c r="WHO41" s="73"/>
      <c r="WHP41" s="73"/>
      <c r="WHQ41" s="73"/>
      <c r="WHR41" s="73"/>
      <c r="WHS41" s="73"/>
      <c r="WHT41" s="73"/>
      <c r="WHU41" s="73"/>
      <c r="WHV41" s="73"/>
      <c r="WHW41" s="73"/>
      <c r="WHX41" s="73"/>
      <c r="WHY41" s="73"/>
      <c r="WHZ41" s="73"/>
      <c r="WIA41" s="73"/>
      <c r="WIB41" s="73"/>
      <c r="WIC41" s="73"/>
      <c r="WID41" s="73"/>
      <c r="WIE41" s="73"/>
      <c r="WIF41" s="73"/>
      <c r="WIG41" s="73"/>
      <c r="WIH41" s="73"/>
      <c r="WII41" s="73"/>
      <c r="WIJ41" s="73"/>
      <c r="WIK41" s="73"/>
      <c r="WIL41" s="73"/>
      <c r="WIM41" s="73"/>
      <c r="WIN41" s="73"/>
      <c r="WIO41" s="73"/>
      <c r="WIP41" s="73"/>
      <c r="WIQ41" s="73"/>
      <c r="WIR41" s="73"/>
      <c r="WIS41" s="73"/>
      <c r="WIT41" s="73"/>
      <c r="WIU41" s="73"/>
      <c r="WIV41" s="73"/>
      <c r="WIW41" s="73"/>
      <c r="WIX41" s="73"/>
      <c r="WIY41" s="73"/>
      <c r="WIZ41" s="73"/>
      <c r="WJA41" s="73"/>
      <c r="WJB41" s="73"/>
      <c r="WJC41" s="73"/>
      <c r="WJD41" s="73"/>
      <c r="WJE41" s="73"/>
      <c r="WJF41" s="73"/>
      <c r="WJG41" s="73"/>
      <c r="WJH41" s="73"/>
      <c r="WJI41" s="73"/>
      <c r="WJJ41" s="73"/>
      <c r="WJK41" s="73"/>
      <c r="WJL41" s="73"/>
      <c r="WJM41" s="73"/>
      <c r="WJN41" s="73"/>
      <c r="WJO41" s="73"/>
      <c r="WJP41" s="73"/>
      <c r="WJQ41" s="73"/>
      <c r="WJR41" s="73"/>
      <c r="WJS41" s="73"/>
      <c r="WJT41" s="73"/>
      <c r="WJU41" s="73"/>
      <c r="WJV41" s="73"/>
      <c r="WJW41" s="73"/>
      <c r="WJX41" s="73"/>
      <c r="WJY41" s="73"/>
      <c r="WJZ41" s="73"/>
      <c r="WKA41" s="73"/>
      <c r="WKB41" s="73"/>
      <c r="WKC41" s="73"/>
      <c r="WKD41" s="73"/>
      <c r="WKE41" s="73"/>
      <c r="WKF41" s="73"/>
      <c r="WKG41" s="73"/>
      <c r="WKH41" s="73"/>
      <c r="WKI41" s="73"/>
      <c r="WKJ41" s="73"/>
      <c r="WKK41" s="73"/>
      <c r="WKL41" s="73"/>
      <c r="WKM41" s="73"/>
      <c r="WKN41" s="73"/>
      <c r="WKO41" s="73"/>
      <c r="WKP41" s="73"/>
      <c r="WKQ41" s="73"/>
      <c r="WKR41" s="73"/>
      <c r="WKS41" s="73"/>
      <c r="WKT41" s="73"/>
      <c r="WKU41" s="73"/>
      <c r="WKV41" s="73"/>
      <c r="WKW41" s="73"/>
      <c r="WKX41" s="73"/>
      <c r="WKY41" s="73"/>
      <c r="WKZ41" s="73"/>
      <c r="WLA41" s="73"/>
      <c r="WLB41" s="73"/>
      <c r="WLC41" s="73"/>
      <c r="WLD41" s="73"/>
      <c r="WLE41" s="73"/>
      <c r="WLF41" s="73"/>
      <c r="WLG41" s="73"/>
      <c r="WLH41" s="73"/>
      <c r="WLI41" s="73"/>
      <c r="WLJ41" s="73"/>
      <c r="WLK41" s="73"/>
      <c r="WLL41" s="73"/>
      <c r="WLM41" s="73"/>
      <c r="WLN41" s="73"/>
      <c r="WLO41" s="73"/>
      <c r="WLP41" s="73"/>
      <c r="WLQ41" s="73"/>
      <c r="WLR41" s="73"/>
      <c r="WLS41" s="73"/>
      <c r="WLT41" s="73"/>
      <c r="WLU41" s="73"/>
      <c r="WLV41" s="73"/>
      <c r="WLW41" s="73"/>
      <c r="WLX41" s="73"/>
      <c r="WLY41" s="73"/>
      <c r="WLZ41" s="73"/>
      <c r="WMA41" s="73"/>
      <c r="WMB41" s="73"/>
      <c r="WMC41" s="73"/>
      <c r="WMD41" s="73"/>
      <c r="WME41" s="73"/>
      <c r="WMF41" s="73"/>
      <c r="WMG41" s="73"/>
      <c r="WMH41" s="73"/>
      <c r="WMI41" s="73"/>
      <c r="WMJ41" s="73"/>
      <c r="WMK41" s="73"/>
      <c r="WML41" s="73"/>
      <c r="WMM41" s="73"/>
      <c r="WMN41" s="73"/>
      <c r="WMO41" s="73"/>
      <c r="WMP41" s="73"/>
      <c r="WMQ41" s="73"/>
      <c r="WMR41" s="73"/>
      <c r="WMS41" s="73"/>
      <c r="WMT41" s="73"/>
      <c r="WMU41" s="73"/>
      <c r="WMV41" s="73"/>
      <c r="WMW41" s="73"/>
      <c r="WMX41" s="73"/>
      <c r="WMY41" s="73"/>
      <c r="WMZ41" s="73"/>
      <c r="WNA41" s="73"/>
      <c r="WNB41" s="73"/>
      <c r="WNC41" s="73"/>
      <c r="WND41" s="73"/>
      <c r="WNE41" s="73"/>
      <c r="WNF41" s="73"/>
      <c r="WNG41" s="73"/>
      <c r="WNH41" s="73"/>
      <c r="WNI41" s="73"/>
      <c r="WNJ41" s="73"/>
      <c r="WNK41" s="73"/>
      <c r="WNL41" s="73"/>
      <c r="WNM41" s="73"/>
      <c r="WNN41" s="73"/>
      <c r="WNO41" s="73"/>
      <c r="WNP41" s="73"/>
      <c r="WNQ41" s="73"/>
      <c r="WNR41" s="73"/>
      <c r="WNS41" s="73"/>
      <c r="WNT41" s="73"/>
      <c r="WNU41" s="73"/>
      <c r="WNV41" s="73"/>
      <c r="WNW41" s="73"/>
      <c r="WNX41" s="73"/>
      <c r="WNY41" s="73"/>
      <c r="WNZ41" s="73"/>
      <c r="WOA41" s="73"/>
      <c r="WOB41" s="73"/>
      <c r="WOC41" s="73"/>
      <c r="WOD41" s="73"/>
      <c r="WOE41" s="73"/>
      <c r="WOF41" s="73"/>
      <c r="WOG41" s="73"/>
      <c r="WOH41" s="73"/>
      <c r="WOI41" s="73"/>
      <c r="WOJ41" s="73"/>
      <c r="WOK41" s="73"/>
      <c r="WOL41" s="73"/>
      <c r="WOM41" s="73"/>
      <c r="WON41" s="73"/>
      <c r="WOO41" s="73"/>
      <c r="WOP41" s="73"/>
      <c r="WOQ41" s="73"/>
      <c r="WOR41" s="73"/>
      <c r="WOS41" s="73"/>
      <c r="WOT41" s="73"/>
      <c r="WOU41" s="73"/>
      <c r="WOV41" s="73"/>
      <c r="WOW41" s="73"/>
      <c r="WOX41" s="73"/>
      <c r="WOY41" s="73"/>
      <c r="WOZ41" s="73"/>
      <c r="WPA41" s="73"/>
      <c r="WPB41" s="73"/>
      <c r="WPC41" s="73"/>
      <c r="WPD41" s="73"/>
      <c r="WPE41" s="73"/>
      <c r="WPF41" s="73"/>
      <c r="WPG41" s="73"/>
      <c r="WPH41" s="73"/>
      <c r="WPI41" s="73"/>
      <c r="WPJ41" s="73"/>
      <c r="WPK41" s="73"/>
      <c r="WPL41" s="73"/>
      <c r="WPM41" s="73"/>
      <c r="WPN41" s="73"/>
      <c r="WPO41" s="73"/>
      <c r="WPP41" s="73"/>
      <c r="WPQ41" s="73"/>
      <c r="WPR41" s="73"/>
      <c r="WPS41" s="73"/>
      <c r="WPT41" s="73"/>
      <c r="WPU41" s="73"/>
      <c r="WPV41" s="73"/>
      <c r="WPW41" s="73"/>
      <c r="WPX41" s="73"/>
      <c r="WPY41" s="73"/>
      <c r="WPZ41" s="73"/>
      <c r="WQA41" s="73"/>
      <c r="WQB41" s="73"/>
      <c r="WQC41" s="73"/>
      <c r="WQD41" s="73"/>
      <c r="WQE41" s="73"/>
      <c r="WQF41" s="73"/>
      <c r="WQG41" s="73"/>
      <c r="WQH41" s="73"/>
      <c r="WQI41" s="73"/>
      <c r="WQJ41" s="73"/>
      <c r="WQK41" s="73"/>
      <c r="WQL41" s="73"/>
      <c r="WQM41" s="73"/>
      <c r="WQN41" s="73"/>
      <c r="WQO41" s="73"/>
      <c r="WQP41" s="73"/>
      <c r="WQQ41" s="73"/>
      <c r="WQR41" s="73"/>
      <c r="WQS41" s="73"/>
      <c r="WQT41" s="73"/>
      <c r="WQU41" s="73"/>
      <c r="WQV41" s="73"/>
      <c r="WQW41" s="73"/>
      <c r="WQX41" s="73"/>
      <c r="WQY41" s="73"/>
      <c r="WQZ41" s="73"/>
      <c r="WRA41" s="73"/>
      <c r="WRB41" s="73"/>
      <c r="WRC41" s="73"/>
      <c r="WRD41" s="73"/>
      <c r="WRE41" s="73"/>
      <c r="WRF41" s="73"/>
      <c r="WRG41" s="73"/>
      <c r="WRH41" s="73"/>
      <c r="WRI41" s="73"/>
      <c r="WRJ41" s="73"/>
      <c r="WRK41" s="73"/>
      <c r="WRL41" s="73"/>
      <c r="WRM41" s="73"/>
      <c r="WRN41" s="73"/>
      <c r="WRO41" s="73"/>
      <c r="WRP41" s="73"/>
      <c r="WRQ41" s="73"/>
      <c r="WRR41" s="73"/>
      <c r="WRS41" s="73"/>
      <c r="WRT41" s="73"/>
      <c r="WRU41" s="73"/>
      <c r="WRV41" s="73"/>
      <c r="WRW41" s="73"/>
      <c r="WRX41" s="73"/>
      <c r="WRY41" s="73"/>
      <c r="WRZ41" s="73"/>
      <c r="WSA41" s="73"/>
      <c r="WSB41" s="73"/>
      <c r="WSC41" s="73"/>
      <c r="WSD41" s="73"/>
      <c r="WSE41" s="73"/>
      <c r="WSF41" s="73"/>
      <c r="WSG41" s="73"/>
      <c r="WSH41" s="73"/>
      <c r="WSI41" s="73"/>
      <c r="WSJ41" s="73"/>
      <c r="WSK41" s="73"/>
      <c r="WSL41" s="73"/>
      <c r="WSM41" s="73"/>
      <c r="WSN41" s="73"/>
      <c r="WSO41" s="73"/>
      <c r="WSP41" s="73"/>
      <c r="WSQ41" s="73"/>
      <c r="WSR41" s="73"/>
      <c r="WSS41" s="73"/>
      <c r="WST41" s="73"/>
      <c r="WSU41" s="73"/>
      <c r="WSV41" s="73"/>
      <c r="WSW41" s="73"/>
      <c r="WSX41" s="73"/>
      <c r="WSY41" s="73"/>
      <c r="WSZ41" s="73"/>
      <c r="WTA41" s="73"/>
      <c r="WTB41" s="73"/>
      <c r="WTC41" s="73"/>
      <c r="WTD41" s="73"/>
      <c r="WTE41" s="73"/>
      <c r="WTF41" s="73"/>
      <c r="WTG41" s="73"/>
      <c r="WTH41" s="73"/>
      <c r="WTI41" s="73"/>
      <c r="WTJ41" s="73"/>
      <c r="WTK41" s="73"/>
      <c r="WTL41" s="73"/>
      <c r="WTM41" s="73"/>
      <c r="WTN41" s="73"/>
      <c r="WTO41" s="73"/>
      <c r="WTP41" s="73"/>
      <c r="WTQ41" s="73"/>
      <c r="WTR41" s="73"/>
      <c r="WTS41" s="73"/>
      <c r="WTT41" s="73"/>
      <c r="WTU41" s="73"/>
      <c r="WTV41" s="73"/>
      <c r="WTW41" s="73"/>
      <c r="WTX41" s="73"/>
      <c r="WTY41" s="73"/>
      <c r="WTZ41" s="73"/>
      <c r="WUA41" s="73"/>
      <c r="WUB41" s="73"/>
      <c r="WUC41" s="73"/>
      <c r="WUD41" s="73"/>
      <c r="WUE41" s="73"/>
      <c r="WUF41" s="73"/>
      <c r="WUG41" s="73"/>
      <c r="WUH41" s="73"/>
      <c r="WUI41" s="73"/>
      <c r="WUJ41" s="73"/>
      <c r="WUK41" s="73"/>
      <c r="WUL41" s="73"/>
      <c r="WUM41" s="73"/>
      <c r="WUN41" s="73"/>
      <c r="WUO41" s="73"/>
      <c r="WUP41" s="73"/>
      <c r="WUQ41" s="73"/>
      <c r="WUR41" s="73"/>
      <c r="WUS41" s="73"/>
      <c r="WUT41" s="73"/>
      <c r="WUU41" s="73"/>
      <c r="WUV41" s="73"/>
      <c r="WUW41" s="73"/>
      <c r="WUX41" s="73"/>
      <c r="WUY41" s="73"/>
      <c r="WUZ41" s="73"/>
      <c r="WVA41" s="73"/>
      <c r="WVB41" s="73"/>
      <c r="WVC41" s="73"/>
      <c r="WVD41" s="73"/>
      <c r="WVE41" s="73"/>
      <c r="WVF41" s="73"/>
      <c r="WVG41" s="73"/>
      <c r="WVH41" s="73"/>
      <c r="WVI41" s="73"/>
      <c r="WVJ41" s="73"/>
      <c r="WVK41" s="73"/>
      <c r="WVL41" s="73"/>
      <c r="WVM41" s="73"/>
      <c r="WVN41" s="73"/>
      <c r="WVO41" s="73"/>
      <c r="WVP41" s="73"/>
      <c r="WVQ41" s="73"/>
      <c r="WVR41" s="73"/>
      <c r="WVS41" s="73"/>
      <c r="WVT41" s="73"/>
      <c r="WVU41" s="73"/>
      <c r="WVV41" s="73"/>
      <c r="WVW41" s="73"/>
      <c r="WVX41" s="73"/>
      <c r="WVY41" s="73"/>
      <c r="WVZ41" s="73"/>
      <c r="WWA41" s="73"/>
      <c r="WWB41" s="73"/>
      <c r="WWC41" s="73"/>
      <c r="WWD41" s="73"/>
      <c r="WWE41" s="73"/>
      <c r="WWF41" s="73"/>
      <c r="WWG41" s="73"/>
      <c r="WWH41" s="73"/>
      <c r="WWI41" s="73"/>
      <c r="WWJ41" s="73"/>
      <c r="WWK41" s="73"/>
      <c r="WWL41" s="73"/>
      <c r="WWM41" s="73"/>
      <c r="WWN41" s="73"/>
      <c r="WWO41" s="73"/>
      <c r="WWP41" s="73"/>
      <c r="WWQ41" s="73"/>
      <c r="WWR41" s="73"/>
      <c r="WWS41" s="73"/>
      <c r="WWT41" s="73"/>
      <c r="WWU41" s="73"/>
      <c r="WWV41" s="73"/>
      <c r="WWW41" s="73"/>
      <c r="WWX41" s="73"/>
      <c r="WWY41" s="73"/>
      <c r="WWZ41" s="73"/>
      <c r="WXA41" s="73"/>
      <c r="WXB41" s="73"/>
      <c r="WXC41" s="73"/>
      <c r="WXD41" s="73"/>
      <c r="WXE41" s="73"/>
      <c r="WXF41" s="73"/>
      <c r="WXG41" s="73"/>
      <c r="WXH41" s="73"/>
      <c r="WXI41" s="73"/>
      <c r="WXJ41" s="73"/>
      <c r="WXK41" s="73"/>
      <c r="WXL41" s="73"/>
      <c r="WXM41" s="73"/>
      <c r="WXN41" s="73"/>
      <c r="WXO41" s="73"/>
      <c r="WXP41" s="73"/>
      <c r="WXQ41" s="73"/>
      <c r="WXR41" s="73"/>
      <c r="WXS41" s="73"/>
      <c r="WXT41" s="73"/>
      <c r="WXU41" s="73"/>
      <c r="WXV41" s="73"/>
      <c r="WXW41" s="73"/>
      <c r="WXX41" s="73"/>
      <c r="WXY41" s="73"/>
      <c r="WXZ41" s="73"/>
      <c r="WYA41" s="73"/>
      <c r="WYB41" s="73"/>
      <c r="WYC41" s="73"/>
      <c r="WYD41" s="73"/>
      <c r="WYE41" s="73"/>
      <c r="WYF41" s="73"/>
      <c r="WYG41" s="73"/>
      <c r="WYH41" s="73"/>
      <c r="WYI41" s="73"/>
      <c r="WYJ41" s="73"/>
      <c r="WYK41" s="73"/>
      <c r="WYL41" s="73"/>
      <c r="WYM41" s="73"/>
      <c r="WYN41" s="73"/>
      <c r="WYO41" s="73"/>
      <c r="WYP41" s="73"/>
      <c r="WYQ41" s="73"/>
      <c r="WYR41" s="73"/>
      <c r="WYS41" s="73"/>
      <c r="WYT41" s="73"/>
      <c r="WYU41" s="73"/>
      <c r="WYV41" s="73"/>
      <c r="WYW41" s="73"/>
      <c r="WYX41" s="73"/>
      <c r="WYY41" s="73"/>
      <c r="WYZ41" s="73"/>
      <c r="WZA41" s="73"/>
      <c r="WZB41" s="73"/>
      <c r="WZC41" s="73"/>
      <c r="WZD41" s="73"/>
      <c r="WZE41" s="73"/>
      <c r="WZF41" s="73"/>
      <c r="WZG41" s="73"/>
      <c r="WZH41" s="73"/>
      <c r="WZI41" s="73"/>
      <c r="WZJ41" s="73"/>
      <c r="WZK41" s="73"/>
      <c r="WZL41" s="73"/>
      <c r="WZM41" s="73"/>
      <c r="WZN41" s="73"/>
      <c r="WZO41" s="73"/>
      <c r="WZP41" s="73"/>
      <c r="WZQ41" s="73"/>
      <c r="WZR41" s="73"/>
      <c r="WZS41" s="73"/>
      <c r="WZT41" s="73"/>
      <c r="WZU41" s="73"/>
      <c r="WZV41" s="73"/>
      <c r="WZW41" s="73"/>
      <c r="WZX41" s="73"/>
      <c r="WZY41" s="73"/>
      <c r="WZZ41" s="73"/>
      <c r="XAA41" s="73"/>
      <c r="XAB41" s="73"/>
      <c r="XAC41" s="73"/>
      <c r="XAD41" s="73"/>
      <c r="XAE41" s="73"/>
      <c r="XAF41" s="73"/>
      <c r="XAG41" s="73"/>
      <c r="XAH41" s="73"/>
      <c r="XAI41" s="73"/>
      <c r="XAJ41" s="73"/>
      <c r="XAK41" s="73"/>
      <c r="XAL41" s="73"/>
      <c r="XAM41" s="73"/>
      <c r="XAN41" s="73"/>
      <c r="XAO41" s="73"/>
      <c r="XAP41" s="73"/>
      <c r="XAQ41" s="73"/>
      <c r="XAR41" s="73"/>
      <c r="XAS41" s="73"/>
      <c r="XAT41" s="73"/>
      <c r="XAU41" s="73"/>
      <c r="XAV41" s="73"/>
      <c r="XAW41" s="73"/>
      <c r="XAX41" s="73"/>
      <c r="XAY41" s="73"/>
      <c r="XAZ41" s="73"/>
      <c r="XBA41" s="73"/>
      <c r="XBB41" s="73"/>
      <c r="XBC41" s="73"/>
      <c r="XBD41" s="73"/>
      <c r="XBE41" s="73"/>
      <c r="XBF41" s="73"/>
      <c r="XBG41" s="73"/>
      <c r="XBH41" s="73"/>
      <c r="XBI41" s="73"/>
      <c r="XBJ41" s="73"/>
      <c r="XBK41" s="73"/>
      <c r="XBL41" s="73"/>
      <c r="XBM41" s="73"/>
      <c r="XBN41" s="73"/>
      <c r="XBO41" s="73"/>
      <c r="XBP41" s="73"/>
      <c r="XBQ41" s="73"/>
      <c r="XBR41" s="73"/>
      <c r="XBS41" s="73"/>
      <c r="XBT41" s="73"/>
      <c r="XBU41" s="73"/>
      <c r="XBV41" s="73"/>
      <c r="XBW41" s="73"/>
      <c r="XBX41" s="73"/>
      <c r="XBY41" s="73"/>
      <c r="XBZ41" s="73"/>
      <c r="XCA41" s="73"/>
      <c r="XCB41" s="73"/>
      <c r="XCC41" s="73"/>
      <c r="XCD41" s="73"/>
      <c r="XCE41" s="73"/>
      <c r="XCF41" s="73"/>
      <c r="XCG41" s="73"/>
      <c r="XCH41" s="73"/>
      <c r="XCI41" s="73"/>
      <c r="XCJ41" s="73"/>
      <c r="XCK41" s="73"/>
      <c r="XCL41" s="73"/>
      <c r="XCM41" s="73"/>
      <c r="XCN41" s="73"/>
      <c r="XCO41" s="73"/>
      <c r="XCP41" s="73"/>
      <c r="XCQ41" s="73"/>
      <c r="XCR41" s="73"/>
      <c r="XCS41" s="73"/>
      <c r="XCT41" s="73"/>
      <c r="XCU41" s="73"/>
      <c r="XCV41" s="73"/>
      <c r="XCW41" s="73"/>
      <c r="XCX41" s="73"/>
      <c r="XCY41" s="73"/>
      <c r="XCZ41" s="73"/>
      <c r="XDA41" s="73"/>
      <c r="XDB41" s="73"/>
      <c r="XDC41" s="73"/>
      <c r="XDD41" s="73"/>
      <c r="XDE41" s="73"/>
      <c r="XDF41" s="73"/>
      <c r="XDG41" s="73"/>
      <c r="XDH41" s="73"/>
      <c r="XDI41" s="73"/>
      <c r="XDJ41" s="73"/>
      <c r="XDK41" s="73"/>
      <c r="XDL41" s="73"/>
      <c r="XDM41" s="73"/>
      <c r="XDN41" s="73"/>
      <c r="XDO41" s="73"/>
      <c r="XDP41" s="73"/>
      <c r="XDQ41" s="73"/>
      <c r="XDR41" s="73"/>
      <c r="XDS41" s="73"/>
      <c r="XDT41" s="73"/>
      <c r="XDU41" s="73"/>
      <c r="XDV41" s="73"/>
      <c r="XDW41" s="73"/>
      <c r="XDX41" s="73"/>
      <c r="XDY41" s="73"/>
      <c r="XDZ41" s="73"/>
      <c r="XEA41" s="73"/>
      <c r="XEB41" s="73"/>
      <c r="XEC41" s="73"/>
      <c r="XED41" s="73"/>
      <c r="XEE41" s="73"/>
      <c r="XEF41" s="73"/>
      <c r="XEG41" s="73"/>
      <c r="XEH41" s="73"/>
      <c r="XEI41" s="73"/>
      <c r="XEJ41" s="73"/>
      <c r="XEK41" s="73"/>
      <c r="XEL41" s="73"/>
      <c r="XEM41" s="73"/>
      <c r="XEN41" s="73"/>
      <c r="XEO41" s="73"/>
      <c r="XEP41" s="73"/>
      <c r="XEQ41" s="73"/>
      <c r="XER41" s="73"/>
      <c r="XES41" s="73"/>
      <c r="XET41" s="73"/>
      <c r="XEU41" s="73"/>
    </row>
    <row r="42" spans="1:16375" ht="15.75" hidden="1" customHeight="1" x14ac:dyDescent="0.35">
      <c r="AZ42" s="71"/>
    </row>
    <row r="43" spans="1:16375" ht="15.75" hidden="1" customHeight="1" x14ac:dyDescent="0.35">
      <c r="A43" t="s">
        <v>527</v>
      </c>
      <c r="AZ43" s="71"/>
    </row>
    <row r="44" spans="1:16375" ht="15.75" hidden="1" customHeight="1" x14ac:dyDescent="0.35">
      <c r="A44" t="s">
        <v>526</v>
      </c>
      <c r="AZ44" s="71"/>
    </row>
    <row r="45" spans="1:16375" ht="15.75" hidden="1" customHeight="1" x14ac:dyDescent="0.35">
      <c r="A45" t="s">
        <v>525</v>
      </c>
      <c r="AZ45" s="71"/>
    </row>
    <row r="46" spans="1:16375" ht="15.75" hidden="1" customHeight="1" x14ac:dyDescent="0.35">
      <c r="A46" t="s">
        <v>524</v>
      </c>
      <c r="AZ46" s="71"/>
    </row>
    <row r="47" spans="1:16375" ht="15.75" hidden="1" customHeight="1" x14ac:dyDescent="0.35">
      <c r="A47" t="s">
        <v>523</v>
      </c>
      <c r="AZ47" s="71"/>
    </row>
    <row r="48" spans="1:16375" ht="15.75" hidden="1" customHeight="1" x14ac:dyDescent="0.35"/>
    <row r="49" spans="12:52" ht="15.75" hidden="1" customHeight="1" x14ac:dyDescent="0.35">
      <c r="AS49" s="59">
        <f t="shared" ref="AS49:AY49" si="0">SUBTOTAL(9,AS12:AS48)</f>
        <v>4482.5999999999985</v>
      </c>
      <c r="AT49" s="59">
        <f t="shared" si="0"/>
        <v>1083226.3599999999</v>
      </c>
      <c r="AU49" s="59">
        <f t="shared" si="0"/>
        <v>5064</v>
      </c>
      <c r="AV49" s="59">
        <f t="shared" si="0"/>
        <v>1129048.32</v>
      </c>
      <c r="AW49" s="59">
        <f t="shared" si="0"/>
        <v>5064</v>
      </c>
      <c r="AX49" s="59">
        <f t="shared" si="0"/>
        <v>1161496.4212</v>
      </c>
      <c r="AY49" s="59">
        <f t="shared" si="0"/>
        <v>5064</v>
      </c>
    </row>
    <row r="50" spans="12:52" ht="15.75" hidden="1" customHeight="1" x14ac:dyDescent="0.35">
      <c r="AS50">
        <f>+AS49/4</f>
        <v>1120.6499999999996</v>
      </c>
    </row>
    <row r="51" spans="12:52" ht="15.75" hidden="1" customHeight="1" x14ac:dyDescent="0.35">
      <c r="AT51" s="5">
        <f>+AT49+AU49</f>
        <v>1088290.3599999999</v>
      </c>
      <c r="AV51" s="5">
        <f>+AV49+AW49</f>
        <v>1134112.32</v>
      </c>
      <c r="AX51" s="5">
        <f>+AX49+AY49</f>
        <v>1166560.4212</v>
      </c>
    </row>
    <row r="52" spans="12:52" ht="15.75" hidden="1" customHeight="1" x14ac:dyDescent="0.35"/>
    <row r="53" spans="12:52" ht="15.75" hidden="1" customHeight="1" x14ac:dyDescent="0.35">
      <c r="AT53" s="59">
        <f>SUBTOTAL(9,Sheet1!AT6:AT10)</f>
        <v>501585.61</v>
      </c>
      <c r="AU53" s="59">
        <f>SUBTOTAL(9,Sheet1!AU6:AU10)</f>
        <v>1800</v>
      </c>
      <c r="AV53" s="59">
        <f>SUBTOTAL(9,Sheet1!AV6:AV10)</f>
        <v>509956.63</v>
      </c>
      <c r="AW53" s="59">
        <f>SUBTOTAL(9,Sheet1!AW6:AW10)</f>
        <v>1800</v>
      </c>
      <c r="AX53" s="59">
        <f>SUBTOTAL(9,Sheet1!AX6:AX10)</f>
        <v>517391.47289999999</v>
      </c>
      <c r="AY53" s="59">
        <f>SUBTOTAL(9,Sheet1!AY6:AY10)</f>
        <v>1800</v>
      </c>
    </row>
    <row r="54" spans="12:52" ht="15.75" hidden="1" customHeight="1" x14ac:dyDescent="0.35"/>
    <row r="55" spans="12:52" ht="15.75" hidden="1" customHeight="1" x14ac:dyDescent="0.35">
      <c r="AT55" s="5">
        <f>+AT53+AU53</f>
        <v>503385.61</v>
      </c>
      <c r="AV55" s="5">
        <f>+AV53+AW53</f>
        <v>511756.63</v>
      </c>
      <c r="AX55" s="5">
        <f>+AX53+AY53</f>
        <v>519191.47289999999</v>
      </c>
    </row>
    <row r="56" spans="12:52" ht="15.75" hidden="1" customHeight="1" x14ac:dyDescent="0.35">
      <c r="L56" s="70"/>
    </row>
    <row r="58" spans="12:52" ht="15.75" customHeight="1" x14ac:dyDescent="0.35">
      <c r="AP58" s="59">
        <f>SUBTOTAL(9,AP2:AP57)</f>
        <v>31633.16</v>
      </c>
      <c r="AQ58" s="59">
        <f>SUBTOTAL(9,AQ2:AQ57)</f>
        <v>32102.600000000002</v>
      </c>
      <c r="AR58" s="59">
        <f>SUBTOTAL(9,AR2:AR57)</f>
        <v>856616.05999999994</v>
      </c>
      <c r="AS58" s="59">
        <f>SUBTOTAL(9,AS2:AS57)</f>
        <v>5350.199999999998</v>
      </c>
      <c r="AT58" s="59">
        <f>SUBTOTAL(9,AT2:AT57)</f>
        <v>1257305.24</v>
      </c>
      <c r="AU58" s="59">
        <f t="shared" ref="AU58:AY58" si="1">SUBTOTAL(9,AU2:AU57)</f>
        <v>6144</v>
      </c>
      <c r="AV58" s="59">
        <f t="shared" si="1"/>
        <v>1311575.3599999999</v>
      </c>
      <c r="AW58" s="59">
        <f t="shared" si="1"/>
        <v>6144</v>
      </c>
      <c r="AX58" s="59">
        <f t="shared" si="1"/>
        <v>1350636.3711999999</v>
      </c>
      <c r="AY58" s="59">
        <f t="shared" si="1"/>
        <v>6144</v>
      </c>
    </row>
    <row r="59" spans="12:52" ht="15.75" customHeight="1" x14ac:dyDescent="0.35">
      <c r="AS59">
        <f>+AS58/4</f>
        <v>1337.5499999999995</v>
      </c>
    </row>
    <row r="60" spans="12:52" ht="15.75" customHeight="1" x14ac:dyDescent="0.35">
      <c r="AQ60" s="5">
        <f>+AP58+AQ58</f>
        <v>63735.76</v>
      </c>
      <c r="AR60" s="5">
        <f>+AR58+AS58</f>
        <v>861966.25999999989</v>
      </c>
      <c r="AS60" s="5"/>
      <c r="AT60" s="5">
        <f t="shared" ref="AT60:AX60" si="2">+AT58+AU58</f>
        <v>1263449.24</v>
      </c>
      <c r="AU60" s="5"/>
      <c r="AV60" s="5">
        <f t="shared" si="2"/>
        <v>1317719.3599999999</v>
      </c>
      <c r="AW60" s="5"/>
      <c r="AX60" s="5">
        <f t="shared" si="2"/>
        <v>1356780.3711999999</v>
      </c>
      <c r="AY60" s="5"/>
    </row>
    <row r="61" spans="12:52" ht="15.75" customHeight="1" x14ac:dyDescent="0.35">
      <c r="AQ61" s="5">
        <f>+AQ60+AS59</f>
        <v>65073.310000000005</v>
      </c>
      <c r="AT61" s="59"/>
      <c r="AU61" s="59"/>
      <c r="AV61" s="59"/>
      <c r="AW61" s="59"/>
      <c r="AX61" s="59"/>
      <c r="AY61" s="59"/>
    </row>
    <row r="62" spans="12:52" ht="15.75" hidden="1" customHeight="1" x14ac:dyDescent="0.35">
      <c r="AT62" s="59">
        <f>SUBTOTAL(9,Sheet1!AT6:AT10)</f>
        <v>501585.61</v>
      </c>
      <c r="AU62" s="59">
        <f>SUBTOTAL(9,Sheet1!AU6:AU10)</f>
        <v>1800</v>
      </c>
      <c r="AV62" s="59">
        <f>SUBTOTAL(9,Sheet1!AV6:AV10)</f>
        <v>509956.63</v>
      </c>
      <c r="AW62" s="59">
        <f>SUBTOTAL(9,Sheet1!AW6:AW10)</f>
        <v>1800</v>
      </c>
      <c r="AX62" s="59">
        <f>SUBTOTAL(9,Sheet1!AX6:AX10)</f>
        <v>517391.47289999999</v>
      </c>
      <c r="AY62" s="59">
        <f>SUBTOTAL(9,Sheet1!AY6:AY10)</f>
        <v>1800</v>
      </c>
    </row>
    <row r="63" spans="12:52" ht="15.75" hidden="1" customHeight="1" x14ac:dyDescent="0.35">
      <c r="AT63" s="59">
        <f>+AT62+AU62</f>
        <v>503385.61</v>
      </c>
      <c r="AU63" s="59"/>
      <c r="AV63" s="59">
        <f t="shared" ref="AV63:AX63" si="3">+AV62+AW62</f>
        <v>511756.63</v>
      </c>
      <c r="AW63" s="59"/>
      <c r="AX63" s="59">
        <f t="shared" si="3"/>
        <v>519191.47289999999</v>
      </c>
      <c r="AY63" s="59"/>
      <c r="AZ63" t="s">
        <v>665</v>
      </c>
    </row>
    <row r="64" spans="12:52" ht="15.75" hidden="1" customHeight="1" x14ac:dyDescent="0.35">
      <c r="AT64" s="59">
        <f>+AT63*0.21265</f>
        <v>107044.9499665</v>
      </c>
      <c r="AU64" s="59"/>
      <c r="AV64" s="59">
        <f t="shared" ref="AV64:AX64" si="4">+AV63*0.21265</f>
        <v>108825.04736950001</v>
      </c>
      <c r="AW64" s="59"/>
      <c r="AX64" s="59">
        <f t="shared" si="4"/>
        <v>110406.066712185</v>
      </c>
      <c r="AY64" s="59"/>
      <c r="AZ64" t="s">
        <v>666</v>
      </c>
    </row>
    <row r="65" spans="46:52" ht="15.75" hidden="1" customHeight="1" x14ac:dyDescent="0.35">
      <c r="AT65" s="59">
        <f>SUBTOTAL(9,AT63:AT64)</f>
        <v>0</v>
      </c>
      <c r="AU65" s="59"/>
      <c r="AV65" s="59">
        <f t="shared" ref="AV65:AX65" si="5">SUBTOTAL(9,AV63:AV64)</f>
        <v>0</v>
      </c>
      <c r="AW65" s="59"/>
      <c r="AX65" s="59">
        <f t="shared" si="5"/>
        <v>0</v>
      </c>
      <c r="AY65" s="59"/>
      <c r="AZ65" t="s">
        <v>667</v>
      </c>
    </row>
    <row r="66" spans="46:52" ht="15.75" hidden="1" customHeight="1" x14ac:dyDescent="0.35">
      <c r="AT66" s="59"/>
      <c r="AU66" s="59"/>
      <c r="AV66" s="59"/>
      <c r="AW66" s="59"/>
      <c r="AX66" s="59"/>
      <c r="AY66" s="59"/>
    </row>
    <row r="71" spans="46:52" ht="15.75" customHeight="1" x14ac:dyDescent="0.35">
      <c r="AT71" s="59"/>
    </row>
  </sheetData>
  <autoFilter ref="I1:I56" xr:uid="{375F1D26-4157-48C6-8E67-99DF2E90D25E}">
    <filterColumn colId="0">
      <filters>
        <filter val="01401A028701"/>
      </filters>
    </filterColumn>
  </autoFilter>
  <conditionalFormatting sqref="J1:J4">
    <cfRule type="cellIs" dxfId="303" priority="8" operator="lessThan">
      <formula>1</formula>
    </cfRule>
  </conditionalFormatting>
  <conditionalFormatting sqref="G1:G6">
    <cfRule type="containsText" dxfId="302" priority="6" operator="containsText" text="47">
      <formula>NOT(ISERROR(SEARCH("47",G1)))</formula>
    </cfRule>
    <cfRule type="containsText" dxfId="301" priority="7" operator="containsText" text="x">
      <formula>NOT(ISERROR(SEARCH("x",G1)))</formula>
    </cfRule>
  </conditionalFormatting>
  <conditionalFormatting sqref="J1:J4">
    <cfRule type="cellIs" dxfId="300" priority="5" operator="lessThan">
      <formula>1</formula>
    </cfRule>
  </conditionalFormatting>
  <conditionalFormatting sqref="O1:O4">
    <cfRule type="cellIs" dxfId="299" priority="4" operator="lessThan">
      <formula>80</formula>
    </cfRule>
  </conditionalFormatting>
  <conditionalFormatting sqref="P1:P4">
    <cfRule type="cellIs" dxfId="298" priority="3" operator="lessThan">
      <formula>52</formula>
    </cfRule>
  </conditionalFormatting>
  <conditionalFormatting sqref="B24">
    <cfRule type="duplicateValues" dxfId="297" priority="2"/>
  </conditionalFormatting>
  <conditionalFormatting sqref="B27">
    <cfRule type="duplicateValues" dxfId="296" priority="1"/>
  </conditionalFormatting>
  <conditionalFormatting sqref="B37:B47 B28:B29 B25:B26 B1:B6 B34:B35 B31:B32 B12:B23">
    <cfRule type="duplicateValues" dxfId="295" priority="9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F5CBB-FBF0-44FB-BA2D-2E4B5AE52719}">
  <dimension ref="A4:AZ29"/>
  <sheetViews>
    <sheetView topLeftCell="AC1" workbookViewId="0">
      <selection activeCell="AQ27" sqref="AQ27"/>
    </sheetView>
  </sheetViews>
  <sheetFormatPr defaultRowHeight="14.5" x14ac:dyDescent="0.35"/>
  <cols>
    <col min="1" max="1" width="4.7265625" bestFit="1" customWidth="1"/>
    <col min="2" max="2" width="10.26953125" bestFit="1" customWidth="1"/>
    <col min="3" max="3" width="18.54296875" bestFit="1" customWidth="1"/>
    <col min="4" max="4" width="3" bestFit="1" customWidth="1"/>
    <col min="5" max="5" width="5.1796875" bestFit="1" customWidth="1"/>
    <col min="6" max="6" width="2" bestFit="1" customWidth="1"/>
    <col min="7" max="7" width="2.26953125" bestFit="1" customWidth="1"/>
    <col min="8" max="8" width="20.7265625" bestFit="1" customWidth="1"/>
    <col min="9" max="9" width="13.7265625" bestFit="1" customWidth="1"/>
    <col min="10" max="10" width="2" bestFit="1" customWidth="1"/>
    <col min="11" max="11" width="30.1796875" bestFit="1" customWidth="1"/>
    <col min="12" max="12" width="13.7265625" bestFit="1" customWidth="1"/>
    <col min="13" max="13" width="5.1796875" bestFit="1" customWidth="1"/>
    <col min="14" max="14" width="11.7265625" bestFit="1" customWidth="1"/>
    <col min="15" max="17" width="3" bestFit="1" customWidth="1"/>
    <col min="18" max="43" width="9.54296875" bestFit="1" customWidth="1"/>
    <col min="44" max="44" width="11.7265625" bestFit="1" customWidth="1"/>
    <col min="45" max="45" width="9.54296875" bestFit="1" customWidth="1"/>
    <col min="46" max="46" width="12.26953125" bestFit="1" customWidth="1"/>
    <col min="47" max="47" width="9.54296875" bestFit="1" customWidth="1"/>
    <col min="48" max="48" width="12.26953125" bestFit="1" customWidth="1"/>
    <col min="49" max="49" width="9.54296875" bestFit="1" customWidth="1"/>
    <col min="50" max="50" width="12.26953125" bestFit="1" customWidth="1"/>
    <col min="51" max="51" width="9.54296875" bestFit="1" customWidth="1"/>
    <col min="52" max="52" width="14.7265625" bestFit="1" customWidth="1"/>
  </cols>
  <sheetData>
    <row r="4" spans="1:52" ht="15" thickBot="1" x14ac:dyDescent="0.4"/>
    <row r="5" spans="1:52" ht="58.5" thickTop="1" x14ac:dyDescent="0.35">
      <c r="AT5" s="129" t="s">
        <v>631</v>
      </c>
      <c r="AU5" s="128" t="s">
        <v>630</v>
      </c>
      <c r="AV5" s="127" t="s">
        <v>629</v>
      </c>
      <c r="AW5" s="127" t="s">
        <v>628</v>
      </c>
      <c r="AX5" s="127" t="s">
        <v>627</v>
      </c>
      <c r="AY5" s="127" t="s">
        <v>626</v>
      </c>
    </row>
    <row r="6" spans="1:52" s="86" customFormat="1" ht="15.75" customHeight="1" x14ac:dyDescent="0.35">
      <c r="A6" s="78" t="s">
        <v>536</v>
      </c>
      <c r="B6" s="70" t="s">
        <v>616</v>
      </c>
      <c r="C6" s="70" t="s">
        <v>615</v>
      </c>
      <c r="D6" s="70">
        <v>22</v>
      </c>
      <c r="E6" s="70" t="s">
        <v>612</v>
      </c>
      <c r="F6" s="70">
        <v>4</v>
      </c>
      <c r="G6" s="70" t="s">
        <v>532</v>
      </c>
      <c r="H6" s="70" t="s">
        <v>611</v>
      </c>
      <c r="I6" s="70" t="s">
        <v>529</v>
      </c>
      <c r="J6" s="70">
        <v>1</v>
      </c>
      <c r="K6" s="70" t="s">
        <v>530</v>
      </c>
      <c r="L6" s="70" t="s">
        <v>529</v>
      </c>
      <c r="M6" s="70">
        <v>2023</v>
      </c>
      <c r="N6" s="77">
        <v>85425</v>
      </c>
      <c r="O6" s="70">
        <v>52</v>
      </c>
      <c r="P6" s="70">
        <v>80</v>
      </c>
      <c r="Q6" s="70" t="s">
        <v>528</v>
      </c>
      <c r="R6" s="76">
        <v>3405.08</v>
      </c>
      <c r="S6" s="76">
        <v>3461.82</v>
      </c>
      <c r="T6" s="76">
        <v>3046.24</v>
      </c>
      <c r="U6" s="76">
        <v>3046.23</v>
      </c>
      <c r="V6" s="76">
        <v>3001.84</v>
      </c>
      <c r="W6" s="76">
        <v>3046.24</v>
      </c>
      <c r="X6" s="76">
        <v>3046.23</v>
      </c>
      <c r="Y6" s="76">
        <v>3046.24</v>
      </c>
      <c r="Z6" s="76">
        <v>3046.23</v>
      </c>
      <c r="AA6" s="76">
        <v>3046.24</v>
      </c>
      <c r="AB6" s="76">
        <v>3046.23</v>
      </c>
      <c r="AC6" s="76">
        <v>3518.59</v>
      </c>
      <c r="AD6" s="76">
        <v>3518.58</v>
      </c>
      <c r="AE6" s="76">
        <v>3518.3</v>
      </c>
      <c r="AF6" s="76">
        <v>3518.29</v>
      </c>
      <c r="AG6" s="76">
        <v>3518.3</v>
      </c>
      <c r="AH6" s="76">
        <v>3518.29</v>
      </c>
      <c r="AI6" s="76">
        <v>3518.3</v>
      </c>
      <c r="AJ6" s="76">
        <v>3518.29</v>
      </c>
      <c r="AK6" s="76">
        <v>3001.54</v>
      </c>
      <c r="AL6" s="76">
        <v>3518.3</v>
      </c>
      <c r="AM6" s="76">
        <v>3518.72</v>
      </c>
      <c r="AN6" s="76">
        <v>3518.73</v>
      </c>
      <c r="AO6" s="76">
        <v>3518.71</v>
      </c>
      <c r="AP6" s="76">
        <v>3518.73</v>
      </c>
      <c r="AQ6" s="76">
        <v>3518.73</v>
      </c>
      <c r="AR6" s="76">
        <v>86499.020000000019</v>
      </c>
      <c r="AS6" s="76">
        <v>289.2</v>
      </c>
      <c r="AT6" s="76">
        <v>89747.68</v>
      </c>
      <c r="AU6" s="76">
        <v>360</v>
      </c>
      <c r="AV6" s="76">
        <v>90746.49</v>
      </c>
      <c r="AW6" s="76">
        <v>360</v>
      </c>
      <c r="AX6" s="76">
        <v>91653.954900000012</v>
      </c>
      <c r="AY6" s="76">
        <v>360</v>
      </c>
      <c r="AZ6" s="74" t="s">
        <v>551</v>
      </c>
    </row>
    <row r="7" spans="1:52" s="73" customFormat="1" ht="15.75" customHeight="1" x14ac:dyDescent="0.35">
      <c r="A7" s="78" t="s">
        <v>536</v>
      </c>
      <c r="B7" s="70" t="s">
        <v>614</v>
      </c>
      <c r="C7" s="70" t="s">
        <v>613</v>
      </c>
      <c r="D7" s="70">
        <v>22</v>
      </c>
      <c r="E7" s="70" t="s">
        <v>612</v>
      </c>
      <c r="F7" s="70">
        <v>4</v>
      </c>
      <c r="G7" s="70" t="s">
        <v>532</v>
      </c>
      <c r="H7" s="70" t="s">
        <v>611</v>
      </c>
      <c r="I7" s="70" t="s">
        <v>529</v>
      </c>
      <c r="J7" s="70">
        <v>1</v>
      </c>
      <c r="K7" s="70" t="s">
        <v>530</v>
      </c>
      <c r="L7" s="70" t="s">
        <v>529</v>
      </c>
      <c r="M7" s="70">
        <v>2023</v>
      </c>
      <c r="N7" s="77">
        <v>73440</v>
      </c>
      <c r="O7" s="70">
        <v>52</v>
      </c>
      <c r="P7" s="70">
        <v>80</v>
      </c>
      <c r="Q7" s="70" t="s">
        <v>528</v>
      </c>
      <c r="R7" s="76">
        <v>2929.36</v>
      </c>
      <c r="S7" s="76">
        <v>2986.1</v>
      </c>
      <c r="T7" s="76">
        <v>3042.87</v>
      </c>
      <c r="U7" s="76">
        <v>3042.86</v>
      </c>
      <c r="V7" s="76">
        <v>3012.86</v>
      </c>
      <c r="W7" s="76">
        <v>3042.87</v>
      </c>
      <c r="X7" s="76">
        <v>3042.86</v>
      </c>
      <c r="Y7" s="76">
        <v>3042.89</v>
      </c>
      <c r="Z7" s="76">
        <v>3042.86</v>
      </c>
      <c r="AA7" s="76">
        <v>3042.89</v>
      </c>
      <c r="AB7" s="76">
        <v>3042.86</v>
      </c>
      <c r="AC7" s="76">
        <v>3042.88</v>
      </c>
      <c r="AD7" s="76">
        <v>3042.85</v>
      </c>
      <c r="AE7" s="76">
        <v>3042.87</v>
      </c>
      <c r="AF7" s="76">
        <v>3042.86</v>
      </c>
      <c r="AG7" s="76">
        <v>3042.88</v>
      </c>
      <c r="AH7" s="76">
        <v>3042.85</v>
      </c>
      <c r="AI7" s="76">
        <v>3042.88</v>
      </c>
      <c r="AJ7" s="76">
        <v>3042.86</v>
      </c>
      <c r="AK7" s="76">
        <v>3012.87</v>
      </c>
      <c r="AL7" s="76">
        <v>3042.88</v>
      </c>
      <c r="AM7" s="76">
        <v>3042.85</v>
      </c>
      <c r="AN7" s="76">
        <v>3042.88</v>
      </c>
      <c r="AO7" s="76">
        <v>3042.86</v>
      </c>
      <c r="AP7" s="76">
        <v>3043</v>
      </c>
      <c r="AQ7" s="76">
        <v>3043</v>
      </c>
      <c r="AR7" s="76">
        <v>78884.55</v>
      </c>
      <c r="AS7" s="76">
        <v>289.2</v>
      </c>
      <c r="AT7" s="76">
        <v>77447.350000000006</v>
      </c>
      <c r="AU7" s="76">
        <v>360</v>
      </c>
      <c r="AV7" s="76">
        <v>77418.05</v>
      </c>
      <c r="AW7" s="76">
        <v>360</v>
      </c>
      <c r="AX7" s="76">
        <v>78192.230500000005</v>
      </c>
      <c r="AY7" s="76">
        <v>360</v>
      </c>
      <c r="AZ7" s="84" t="s">
        <v>610</v>
      </c>
    </row>
    <row r="8" spans="1:52" s="73" customFormat="1" ht="15.75" customHeight="1" x14ac:dyDescent="0.35">
      <c r="A8" s="78" t="s">
        <v>536</v>
      </c>
      <c r="B8" s="70" t="s">
        <v>609</v>
      </c>
      <c r="C8" s="70" t="s">
        <v>608</v>
      </c>
      <c r="D8" s="70">
        <v>27</v>
      </c>
      <c r="E8" s="70" t="s">
        <v>604</v>
      </c>
      <c r="F8" s="70">
        <v>4</v>
      </c>
      <c r="G8" s="70" t="s">
        <v>532</v>
      </c>
      <c r="H8" s="70" t="s">
        <v>603</v>
      </c>
      <c r="I8" s="70" t="s">
        <v>529</v>
      </c>
      <c r="J8" s="70">
        <v>1</v>
      </c>
      <c r="K8" s="70" t="s">
        <v>530</v>
      </c>
      <c r="L8" s="70" t="s">
        <v>529</v>
      </c>
      <c r="M8" s="70">
        <v>2023</v>
      </c>
      <c r="N8" s="77">
        <v>108703</v>
      </c>
      <c r="O8" s="70">
        <v>52</v>
      </c>
      <c r="P8" s="70">
        <v>80</v>
      </c>
      <c r="Q8" s="70" t="s">
        <v>528</v>
      </c>
      <c r="R8" s="76">
        <v>0</v>
      </c>
      <c r="S8" s="76">
        <v>3884.59</v>
      </c>
      <c r="T8" s="76">
        <v>3048.02</v>
      </c>
      <c r="U8" s="76">
        <v>3048.01</v>
      </c>
      <c r="V8" s="76">
        <v>3004.01</v>
      </c>
      <c r="W8" s="76">
        <v>3048.02</v>
      </c>
      <c r="X8" s="76">
        <v>3048.01</v>
      </c>
      <c r="Y8" s="76">
        <v>3048.02</v>
      </c>
      <c r="Z8" s="76">
        <v>3458.57</v>
      </c>
      <c r="AA8" s="76">
        <v>3184.88</v>
      </c>
      <c r="AB8" s="76">
        <v>3184.87</v>
      </c>
      <c r="AC8" s="76">
        <v>4079.06</v>
      </c>
      <c r="AD8" s="76">
        <v>4079.06</v>
      </c>
      <c r="AE8" s="76">
        <v>4077.64</v>
      </c>
      <c r="AF8" s="76">
        <v>4077.62</v>
      </c>
      <c r="AG8" s="76">
        <v>4077.64</v>
      </c>
      <c r="AH8" s="76">
        <v>4077.63</v>
      </c>
      <c r="AI8" s="76">
        <v>4077.63</v>
      </c>
      <c r="AJ8" s="76">
        <v>4077.63</v>
      </c>
      <c r="AK8" s="76">
        <v>3139.44</v>
      </c>
      <c r="AL8" s="76">
        <v>4077.63</v>
      </c>
      <c r="AM8" s="76">
        <v>4077.63</v>
      </c>
      <c r="AN8" s="76">
        <v>4077.64</v>
      </c>
      <c r="AO8" s="76">
        <v>4077.63</v>
      </c>
      <c r="AP8" s="76">
        <v>4077.63</v>
      </c>
      <c r="AQ8" s="76">
        <v>4077.63</v>
      </c>
      <c r="AR8" s="76">
        <v>92186.140000000014</v>
      </c>
      <c r="AS8" s="76">
        <v>289.2</v>
      </c>
      <c r="AT8" s="76">
        <v>107478.39</v>
      </c>
      <c r="AU8" s="76">
        <v>360</v>
      </c>
      <c r="AV8" s="76">
        <v>112864.34</v>
      </c>
      <c r="AW8" s="76">
        <v>360</v>
      </c>
      <c r="AX8" s="76">
        <v>116328.26</v>
      </c>
      <c r="AY8" s="76">
        <v>360</v>
      </c>
      <c r="AZ8" s="74" t="s">
        <v>607</v>
      </c>
    </row>
    <row r="9" spans="1:52" s="73" customFormat="1" ht="15.75" customHeight="1" x14ac:dyDescent="0.35">
      <c r="A9" s="78" t="s">
        <v>536</v>
      </c>
      <c r="B9" s="70" t="s">
        <v>606</v>
      </c>
      <c r="C9" s="70" t="s">
        <v>605</v>
      </c>
      <c r="D9" s="70">
        <v>27</v>
      </c>
      <c r="E9" s="70" t="s">
        <v>604</v>
      </c>
      <c r="F9" s="70">
        <v>4</v>
      </c>
      <c r="G9" s="70" t="s">
        <v>532</v>
      </c>
      <c r="H9" s="70" t="s">
        <v>603</v>
      </c>
      <c r="I9" s="70" t="s">
        <v>529</v>
      </c>
      <c r="J9" s="70">
        <v>1</v>
      </c>
      <c r="K9" s="70" t="s">
        <v>530</v>
      </c>
      <c r="L9" s="70" t="s">
        <v>529</v>
      </c>
      <c r="M9" s="70">
        <v>2023</v>
      </c>
      <c r="N9" s="77">
        <v>101943</v>
      </c>
      <c r="O9" s="70">
        <v>52</v>
      </c>
      <c r="P9" s="70">
        <v>80</v>
      </c>
      <c r="Q9" s="70" t="s">
        <v>528</v>
      </c>
      <c r="R9" s="76">
        <v>4079.29</v>
      </c>
      <c r="S9" s="76">
        <v>4149.8100000000004</v>
      </c>
      <c r="T9" s="76">
        <v>3748.04</v>
      </c>
      <c r="U9" s="76">
        <v>3748.01</v>
      </c>
      <c r="V9" s="76">
        <v>3703.44</v>
      </c>
      <c r="W9" s="76">
        <v>3748.04</v>
      </c>
      <c r="X9" s="76">
        <v>3748.01</v>
      </c>
      <c r="Y9" s="76">
        <v>3748.03</v>
      </c>
      <c r="Z9" s="76">
        <v>3748.01</v>
      </c>
      <c r="AA9" s="76">
        <v>3748.03</v>
      </c>
      <c r="AB9" s="76">
        <v>3748.01</v>
      </c>
      <c r="AC9" s="76">
        <v>4220.3900000000003</v>
      </c>
      <c r="AD9" s="76">
        <v>4220.3599999999997</v>
      </c>
      <c r="AE9" s="76">
        <v>4220.3999999999996</v>
      </c>
      <c r="AF9" s="76">
        <v>4220.3599999999997</v>
      </c>
      <c r="AG9" s="76">
        <v>4220.3900000000003</v>
      </c>
      <c r="AH9" s="76">
        <v>4220.3599999999997</v>
      </c>
      <c r="AI9" s="76">
        <v>4220.3999999999996</v>
      </c>
      <c r="AJ9" s="76">
        <v>4220.3599999999997</v>
      </c>
      <c r="AK9" s="76">
        <v>3703.44</v>
      </c>
      <c r="AL9" s="76">
        <v>4220.3999999999996</v>
      </c>
      <c r="AM9" s="76">
        <v>4221.62</v>
      </c>
      <c r="AN9" s="76">
        <v>4221.67</v>
      </c>
      <c r="AO9" s="76">
        <v>4221.6099999999997</v>
      </c>
      <c r="AP9" s="76">
        <v>4221.67</v>
      </c>
      <c r="AQ9" s="76">
        <v>4221.67</v>
      </c>
      <c r="AR9" s="76">
        <v>104711.81999999998</v>
      </c>
      <c r="AS9" s="76">
        <v>289.2</v>
      </c>
      <c r="AT9" s="76">
        <v>107661.92</v>
      </c>
      <c r="AU9" s="76">
        <v>360</v>
      </c>
      <c r="AV9" s="76">
        <v>108689.92</v>
      </c>
      <c r="AW9" s="76">
        <v>360</v>
      </c>
      <c r="AX9" s="76">
        <v>109776.8192</v>
      </c>
      <c r="AY9" s="76">
        <v>360</v>
      </c>
      <c r="AZ9" s="84" t="s">
        <v>602</v>
      </c>
    </row>
    <row r="10" spans="1:52" s="73" customFormat="1" x14ac:dyDescent="0.35">
      <c r="A10" s="78" t="s">
        <v>536</v>
      </c>
      <c r="B10" s="70" t="s">
        <v>601</v>
      </c>
      <c r="C10" s="70" t="s">
        <v>600</v>
      </c>
      <c r="D10" s="70">
        <v>28</v>
      </c>
      <c r="E10" s="70" t="s">
        <v>599</v>
      </c>
      <c r="F10" s="70">
        <v>9</v>
      </c>
      <c r="G10" s="70" t="s">
        <v>539</v>
      </c>
      <c r="H10" s="70" t="s">
        <v>598</v>
      </c>
      <c r="I10" s="70" t="s">
        <v>529</v>
      </c>
      <c r="J10" s="70">
        <v>1</v>
      </c>
      <c r="K10" s="70" t="s">
        <v>530</v>
      </c>
      <c r="L10" s="70" t="s">
        <v>529</v>
      </c>
      <c r="M10" s="70">
        <v>2023</v>
      </c>
      <c r="N10" s="77">
        <v>113419</v>
      </c>
      <c r="O10" s="70">
        <v>52</v>
      </c>
      <c r="P10" s="70">
        <v>80</v>
      </c>
      <c r="Q10" s="70" t="s">
        <v>528</v>
      </c>
      <c r="R10" s="76">
        <v>4519.72</v>
      </c>
      <c r="S10" s="76">
        <v>4597.41</v>
      </c>
      <c r="T10" s="76">
        <v>4203.3100000000004</v>
      </c>
      <c r="U10" s="76">
        <v>4203.04</v>
      </c>
      <c r="V10" s="76">
        <v>4158.47</v>
      </c>
      <c r="W10" s="76">
        <v>4203.3100000000004</v>
      </c>
      <c r="X10" s="76">
        <v>4203.04</v>
      </c>
      <c r="Y10" s="76">
        <v>4203.3100000000004</v>
      </c>
      <c r="Z10" s="76">
        <v>4203.03</v>
      </c>
      <c r="AA10" s="76">
        <v>4203.34</v>
      </c>
      <c r="AB10" s="76">
        <v>4203.05</v>
      </c>
      <c r="AC10" s="76">
        <v>4675.66</v>
      </c>
      <c r="AD10" s="76">
        <v>4675.3900000000003</v>
      </c>
      <c r="AE10" s="76">
        <v>4674.76</v>
      </c>
      <c r="AF10" s="76">
        <v>4674.47</v>
      </c>
      <c r="AG10" s="76">
        <v>4674.74</v>
      </c>
      <c r="AH10" s="76">
        <v>4674.46</v>
      </c>
      <c r="AI10" s="76">
        <v>4674.74</v>
      </c>
      <c r="AJ10" s="76">
        <v>4674.49</v>
      </c>
      <c r="AK10" s="76">
        <v>4157.55</v>
      </c>
      <c r="AL10" s="76">
        <v>4674.74</v>
      </c>
      <c r="AM10" s="76">
        <v>4674.8900000000003</v>
      </c>
      <c r="AN10" s="76">
        <v>4675.17</v>
      </c>
      <c r="AO10" s="76">
        <v>4674.8900000000003</v>
      </c>
      <c r="AP10" s="76">
        <v>4675</v>
      </c>
      <c r="AQ10" s="76">
        <v>4675</v>
      </c>
      <c r="AR10" s="76">
        <v>116506.98000000004</v>
      </c>
      <c r="AS10" s="76">
        <v>289.2</v>
      </c>
      <c r="AT10" s="76">
        <v>119250.27</v>
      </c>
      <c r="AU10" s="75">
        <v>360</v>
      </c>
      <c r="AV10" s="76">
        <v>120237.83</v>
      </c>
      <c r="AW10" s="75">
        <v>360</v>
      </c>
      <c r="AX10" s="76">
        <v>121440.2083</v>
      </c>
      <c r="AY10" s="75">
        <v>360</v>
      </c>
      <c r="AZ10" s="74" t="s">
        <v>551</v>
      </c>
    </row>
    <row r="12" spans="1:52" x14ac:dyDescent="0.35">
      <c r="AR12" s="5">
        <f>SUM(AR6:AR11)</f>
        <v>478788.51000000007</v>
      </c>
      <c r="AS12" s="5">
        <f t="shared" ref="AS12:AY12" si="0">SUM(AS6:AS11)</f>
        <v>1446</v>
      </c>
      <c r="AT12" s="5">
        <f t="shared" si="0"/>
        <v>501585.61</v>
      </c>
      <c r="AU12" s="5">
        <f t="shared" si="0"/>
        <v>1800</v>
      </c>
      <c r="AV12" s="5">
        <f t="shared" si="0"/>
        <v>509956.63</v>
      </c>
      <c r="AW12" s="5">
        <f t="shared" si="0"/>
        <v>1800</v>
      </c>
      <c r="AX12" s="5">
        <f t="shared" si="0"/>
        <v>517391.47289999999</v>
      </c>
      <c r="AY12" s="5">
        <f t="shared" si="0"/>
        <v>1800</v>
      </c>
    </row>
    <row r="13" spans="1:52" x14ac:dyDescent="0.35">
      <c r="AR13" s="5">
        <f>+AR12+AS12</f>
        <v>480234.51000000007</v>
      </c>
      <c r="AS13" s="5"/>
      <c r="AT13" s="5">
        <f t="shared" ref="AT13:AX13" si="1">+AT12+AU12</f>
        <v>503385.61</v>
      </c>
      <c r="AU13" s="5"/>
      <c r="AV13" s="5">
        <f t="shared" si="1"/>
        <v>511756.63</v>
      </c>
      <c r="AW13" s="5"/>
      <c r="AX13" s="5">
        <f t="shared" si="1"/>
        <v>519191.47289999999</v>
      </c>
      <c r="AY13" s="5"/>
    </row>
    <row r="15" spans="1:52" x14ac:dyDescent="0.35">
      <c r="AT15" s="59"/>
    </row>
    <row r="16" spans="1:52" x14ac:dyDescent="0.35">
      <c r="AT16" s="5">
        <f>-AT13</f>
        <v>-503385.61</v>
      </c>
      <c r="AU16" s="5">
        <f t="shared" ref="AU16:AX16" si="2">-AU13</f>
        <v>0</v>
      </c>
      <c r="AV16" s="5">
        <f t="shared" si="2"/>
        <v>-511756.63</v>
      </c>
      <c r="AW16" s="5">
        <f t="shared" si="2"/>
        <v>0</v>
      </c>
      <c r="AX16" s="5">
        <f t="shared" si="2"/>
        <v>-519191.47289999999</v>
      </c>
    </row>
    <row r="17" spans="46:51" x14ac:dyDescent="0.35">
      <c r="AT17">
        <v>174078.88</v>
      </c>
      <c r="AU17">
        <v>1080</v>
      </c>
      <c r="AV17">
        <v>182527.04</v>
      </c>
      <c r="AW17">
        <v>1080</v>
      </c>
      <c r="AX17">
        <v>189139.95</v>
      </c>
      <c r="AY17">
        <v>1080</v>
      </c>
    </row>
    <row r="19" spans="46:51" x14ac:dyDescent="0.35">
      <c r="AT19">
        <v>174078.88</v>
      </c>
      <c r="AU19">
        <v>1080</v>
      </c>
      <c r="AV19">
        <v>182527.04</v>
      </c>
      <c r="AW19">
        <v>1080</v>
      </c>
      <c r="AX19">
        <v>189139.95</v>
      </c>
      <c r="AY19">
        <v>1080</v>
      </c>
    </row>
    <row r="20" spans="46:51" x14ac:dyDescent="0.35">
      <c r="AT20" s="5">
        <f>+AT19+AU19</f>
        <v>175158.88</v>
      </c>
      <c r="AU20" s="5"/>
      <c r="AV20" s="5">
        <f t="shared" ref="AV20:AX20" si="3">+AV19+AW19</f>
        <v>183607.04000000001</v>
      </c>
      <c r="AW20" s="5"/>
      <c r="AX20" s="5">
        <f t="shared" si="3"/>
        <v>190219.95</v>
      </c>
      <c r="AY20" s="5"/>
    </row>
    <row r="21" spans="46:51" x14ac:dyDescent="0.35">
      <c r="AT21" s="5"/>
      <c r="AU21" s="5"/>
      <c r="AV21" s="5"/>
      <c r="AW21" s="5"/>
      <c r="AX21" s="5"/>
    </row>
    <row r="22" spans="46:51" x14ac:dyDescent="0.35">
      <c r="AT22" s="5">
        <f>+AT16+AT20</f>
        <v>-328226.73</v>
      </c>
      <c r="AU22" s="5">
        <f t="shared" ref="AU22:AY22" si="4">+AU16+AU20</f>
        <v>0</v>
      </c>
      <c r="AV22" s="5">
        <f t="shared" si="4"/>
        <v>-328149.58999999997</v>
      </c>
      <c r="AW22" s="5">
        <f t="shared" si="4"/>
        <v>0</v>
      </c>
      <c r="AX22" s="5">
        <f t="shared" si="4"/>
        <v>-328971.52289999998</v>
      </c>
      <c r="AY22" s="5">
        <f t="shared" si="4"/>
        <v>0</v>
      </c>
    </row>
    <row r="23" spans="46:51" x14ac:dyDescent="0.35">
      <c r="AT23" s="5">
        <f>+AT22/1.06265</f>
        <v>-308875.66931727278</v>
      </c>
      <c r="AU23" s="5">
        <f t="shared" ref="AU23:AY23" si="5">+AU22/1.06265</f>
        <v>0</v>
      </c>
      <c r="AV23" s="5">
        <f t="shared" si="5"/>
        <v>-308803.07721262873</v>
      </c>
      <c r="AW23" s="5">
        <f t="shared" si="5"/>
        <v>0</v>
      </c>
      <c r="AX23" s="5">
        <f t="shared" si="5"/>
        <v>-309576.55192208156</v>
      </c>
      <c r="AY23" s="5">
        <f t="shared" si="5"/>
        <v>0</v>
      </c>
    </row>
    <row r="24" spans="46:51" x14ac:dyDescent="0.35">
      <c r="AT24" s="5"/>
      <c r="AU24" s="5"/>
      <c r="AV24" s="5"/>
      <c r="AW24" s="5"/>
      <c r="AX24" s="5"/>
    </row>
    <row r="28" spans="46:51" x14ac:dyDescent="0.35">
      <c r="AT28" s="59">
        <v>310771</v>
      </c>
      <c r="AU28" s="59"/>
      <c r="AV28" s="59">
        <v>309266</v>
      </c>
      <c r="AW28" s="59"/>
      <c r="AX28" s="59">
        <f>+AV28*1.02</f>
        <v>315451.32</v>
      </c>
    </row>
    <row r="29" spans="46:51" x14ac:dyDescent="0.35">
      <c r="AT29">
        <f>+AT28/1.19897</f>
        <v>259198.3118843674</v>
      </c>
      <c r="AV29">
        <f t="shared" ref="AV29:AX29" si="6">+AV28/1.19897</f>
        <v>257943.06779986151</v>
      </c>
      <c r="AW29">
        <f t="shared" si="6"/>
        <v>0</v>
      </c>
      <c r="AX29">
        <f t="shared" si="6"/>
        <v>263101.92915585876</v>
      </c>
    </row>
  </sheetData>
  <conditionalFormatting sqref="B6:B10">
    <cfRule type="duplicateValues" dxfId="294" priority="1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AR114"/>
  <sheetViews>
    <sheetView topLeftCell="W4" zoomScale="80" zoomScaleNormal="80" workbookViewId="0">
      <selection activeCell="AI46" sqref="AI46"/>
    </sheetView>
  </sheetViews>
  <sheetFormatPr defaultRowHeight="14.5" x14ac:dyDescent="0.35"/>
  <cols>
    <col min="1" max="1" width="17.7265625" bestFit="1" customWidth="1"/>
    <col min="2" max="2" width="32.7265625" bestFit="1" customWidth="1"/>
    <col min="3" max="3" width="16.7265625" style="5" bestFit="1" customWidth="1"/>
    <col min="4" max="4" width="12" style="5" bestFit="1" customWidth="1"/>
    <col min="5" max="6" width="11.26953125" style="5" bestFit="1" customWidth="1"/>
    <col min="7" max="9" width="13" style="5" bestFit="1" customWidth="1"/>
    <col min="10" max="10" width="12" style="5" bestFit="1" customWidth="1"/>
    <col min="11" max="11" width="13" style="5" bestFit="1" customWidth="1"/>
    <col min="12" max="12" width="12" style="5" bestFit="1" customWidth="1"/>
    <col min="13" max="13" width="12.26953125" style="5" bestFit="1" customWidth="1"/>
    <col min="14" max="18" width="14.81640625" bestFit="1" customWidth="1"/>
    <col min="19" max="19" width="15.81640625" bestFit="1" customWidth="1"/>
    <col min="20" max="25" width="15.81640625" customWidth="1"/>
    <col min="26" max="26" width="17.7265625" bestFit="1" customWidth="1"/>
    <col min="27" max="27" width="35.7265625" bestFit="1" customWidth="1"/>
    <col min="28" max="28" width="16.7265625" bestFit="1" customWidth="1"/>
    <col min="29" max="30" width="12.26953125" bestFit="1" customWidth="1"/>
    <col min="31" max="33" width="11.26953125" bestFit="1" customWidth="1"/>
    <col min="34" max="38" width="12.26953125" bestFit="1" customWidth="1"/>
    <col min="39" max="43" width="13.81640625" bestFit="1" customWidth="1"/>
    <col min="44" max="44" width="15.1796875" bestFit="1" customWidth="1"/>
    <col min="45" max="48" width="10.54296875" customWidth="1"/>
    <col min="49" max="49" width="10.54296875" bestFit="1" customWidth="1"/>
    <col min="50" max="50" width="10.54296875" customWidth="1"/>
    <col min="51" max="51" width="10.54296875" bestFit="1" customWidth="1"/>
    <col min="52" max="53" width="11.54296875" bestFit="1" customWidth="1"/>
    <col min="54" max="54" width="10.54296875" customWidth="1"/>
    <col min="55" max="55" width="10.54296875" bestFit="1" customWidth="1"/>
    <col min="56" max="62" width="10.54296875" customWidth="1"/>
    <col min="63" max="63" width="11.453125" customWidth="1"/>
    <col min="64" max="65" width="10.54296875" customWidth="1"/>
    <col min="66" max="66" width="11.54296875" bestFit="1" customWidth="1"/>
    <col min="67" max="67" width="10.54296875" customWidth="1"/>
    <col min="68" max="68" width="11.54296875" bestFit="1" customWidth="1"/>
    <col min="69" max="69" width="10.54296875" customWidth="1"/>
    <col min="70" max="70" width="10.54296875" bestFit="1" customWidth="1"/>
    <col min="71" max="73" width="10.54296875" customWidth="1"/>
    <col min="74" max="74" width="11.54296875" bestFit="1" customWidth="1"/>
    <col min="75" max="78" width="10.54296875" customWidth="1"/>
    <col min="79" max="80" width="5.1796875" customWidth="1"/>
    <col min="81" max="81" width="11.54296875" bestFit="1" customWidth="1"/>
    <col min="82" max="91" width="10.54296875" customWidth="1"/>
    <col min="92" max="92" width="10.453125" customWidth="1"/>
    <col min="93" max="93" width="10.54296875" customWidth="1"/>
    <col min="94" max="94" width="11.54296875" bestFit="1" customWidth="1"/>
    <col min="95" max="98" width="10.54296875" customWidth="1"/>
    <col min="99" max="99" width="11.54296875" bestFit="1" customWidth="1"/>
    <col min="100" max="100" width="10.54296875" bestFit="1" customWidth="1"/>
    <col min="101" max="106" width="10.54296875" customWidth="1"/>
    <col min="107" max="108" width="5.1796875" customWidth="1"/>
    <col min="109" max="109" width="11.54296875" bestFit="1" customWidth="1"/>
    <col min="110" max="111" width="10.54296875" customWidth="1"/>
    <col min="112" max="112" width="10.54296875" bestFit="1" customWidth="1"/>
    <col min="113" max="118" width="10.54296875" customWidth="1"/>
    <col min="119" max="119" width="10.54296875" bestFit="1" customWidth="1"/>
    <col min="120" max="121" width="10.54296875" customWidth="1"/>
    <col min="122" max="123" width="5.1796875" customWidth="1"/>
    <col min="124" max="124" width="11.54296875" bestFit="1" customWidth="1"/>
    <col min="125" max="133" width="10.54296875" customWidth="1"/>
    <col min="134" max="134" width="11.54296875" bestFit="1" customWidth="1"/>
    <col min="135" max="135" width="10.54296875" customWidth="1"/>
    <col min="136" max="136" width="12.453125" bestFit="1" customWidth="1"/>
    <col min="137" max="137" width="11.54296875" customWidth="1"/>
    <col min="138" max="144" width="10.54296875" bestFit="1" customWidth="1"/>
    <col min="145" max="146" width="11.54296875" bestFit="1" customWidth="1"/>
    <col min="147" max="147" width="10.54296875" bestFit="1" customWidth="1"/>
    <col min="148" max="148" width="11.54296875" bestFit="1" customWidth="1"/>
    <col min="149" max="149" width="11.453125" bestFit="1" customWidth="1"/>
    <col min="150" max="150" width="11.54296875" bestFit="1" customWidth="1"/>
    <col min="151" max="157" width="10.54296875" bestFit="1" customWidth="1"/>
    <col min="158" max="158" width="11.54296875" bestFit="1" customWidth="1"/>
    <col min="159" max="159" width="13.453125" bestFit="1" customWidth="1"/>
  </cols>
  <sheetData>
    <row r="1" spans="1:44" x14ac:dyDescent="0.35">
      <c r="A1" s="3" t="s">
        <v>1</v>
      </c>
      <c r="B1" s="4" t="s" vm="10">
        <v>152</v>
      </c>
      <c r="Z1" s="3" t="s">
        <v>1</v>
      </c>
      <c r="AA1" s="4" t="s" vm="9">
        <v>151</v>
      </c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44" x14ac:dyDescent="0.35">
      <c r="A2" s="3" t="s">
        <v>2</v>
      </c>
      <c r="B2" s="4" t="s" vm="3">
        <v>125</v>
      </c>
      <c r="Z2" s="3" t="s">
        <v>2</v>
      </c>
      <c r="AA2" s="4" t="s" vm="3">
        <v>125</v>
      </c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44" x14ac:dyDescent="0.35">
      <c r="A3" s="3" t="s">
        <v>3</v>
      </c>
      <c r="B3" s="4" t="s" vm="1">
        <v>4</v>
      </c>
      <c r="Z3" s="3" t="s">
        <v>3</v>
      </c>
      <c r="AA3" s="4" t="s" vm="1">
        <v>4</v>
      </c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44" x14ac:dyDescent="0.35">
      <c r="A4" s="1" t="s">
        <v>106</v>
      </c>
      <c r="B4" t="s" vm="2">
        <v>107</v>
      </c>
      <c r="Z4" s="1" t="s">
        <v>110</v>
      </c>
      <c r="AA4" t="s" vm="4">
        <v>133</v>
      </c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44" x14ac:dyDescent="0.35">
      <c r="A5" s="1" t="s">
        <v>110</v>
      </c>
      <c r="B5" t="s" vm="4">
        <v>133</v>
      </c>
      <c r="C5"/>
      <c r="D5"/>
      <c r="E5"/>
      <c r="F5"/>
      <c r="G5"/>
      <c r="H5"/>
      <c r="I5"/>
      <c r="J5"/>
      <c r="K5"/>
      <c r="L5"/>
      <c r="M5"/>
    </row>
    <row r="6" spans="1:44" x14ac:dyDescent="0.35">
      <c r="C6"/>
      <c r="D6"/>
      <c r="E6"/>
      <c r="F6"/>
      <c r="G6"/>
      <c r="H6"/>
      <c r="I6"/>
      <c r="J6"/>
      <c r="K6"/>
      <c r="L6"/>
      <c r="M6"/>
      <c r="Z6" s="1" t="s">
        <v>48</v>
      </c>
      <c r="AB6" s="6" t="s">
        <v>5</v>
      </c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</row>
    <row r="7" spans="1:44" x14ac:dyDescent="0.35">
      <c r="A7" s="1" t="s">
        <v>48</v>
      </c>
      <c r="C7" s="6" t="s">
        <v>5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1" t="s">
        <v>17</v>
      </c>
      <c r="AA7" s="1" t="s">
        <v>103</v>
      </c>
      <c r="AB7" s="5" t="s">
        <v>6</v>
      </c>
      <c r="AC7" s="5" t="s">
        <v>7</v>
      </c>
      <c r="AD7" s="5" t="s">
        <v>8</v>
      </c>
      <c r="AE7" s="5" t="s">
        <v>9</v>
      </c>
      <c r="AF7" s="5" t="s">
        <v>10</v>
      </c>
      <c r="AG7" s="5" t="s">
        <v>11</v>
      </c>
      <c r="AH7" s="5" t="s">
        <v>12</v>
      </c>
      <c r="AI7" s="5" t="s">
        <v>13</v>
      </c>
      <c r="AJ7" s="5" t="s">
        <v>14</v>
      </c>
      <c r="AK7" s="5" t="s">
        <v>15</v>
      </c>
      <c r="AL7" s="5" t="s">
        <v>137</v>
      </c>
      <c r="AM7" s="5" t="s">
        <v>144</v>
      </c>
      <c r="AN7" s="5" t="s">
        <v>145</v>
      </c>
      <c r="AO7" s="5" t="s">
        <v>148</v>
      </c>
      <c r="AP7" s="5" t="s">
        <v>150</v>
      </c>
      <c r="AQ7" s="5" t="s">
        <v>155</v>
      </c>
      <c r="AR7" s="5" t="s">
        <v>16</v>
      </c>
    </row>
    <row r="8" spans="1:44" x14ac:dyDescent="0.35">
      <c r="A8" s="1" t="s">
        <v>17</v>
      </c>
      <c r="B8" s="1" t="s">
        <v>47</v>
      </c>
      <c r="C8" s="5" t="s">
        <v>6</v>
      </c>
      <c r="D8" s="5" t="s">
        <v>7</v>
      </c>
      <c r="E8" s="5" t="s">
        <v>8</v>
      </c>
      <c r="F8" s="5" t="s">
        <v>9</v>
      </c>
      <c r="G8" s="5" t="s">
        <v>10</v>
      </c>
      <c r="H8" s="5" t="s">
        <v>11</v>
      </c>
      <c r="I8" s="5" t="s">
        <v>12</v>
      </c>
      <c r="J8" s="5" t="s">
        <v>13</v>
      </c>
      <c r="K8" s="5" t="s">
        <v>14</v>
      </c>
      <c r="L8" s="5" t="s">
        <v>15</v>
      </c>
      <c r="M8" s="5" t="s">
        <v>137</v>
      </c>
      <c r="N8" s="5" t="s">
        <v>144</v>
      </c>
      <c r="O8" s="5" t="s">
        <v>145</v>
      </c>
      <c r="P8" s="5" t="s">
        <v>148</v>
      </c>
      <c r="Q8" s="5" t="s">
        <v>150</v>
      </c>
      <c r="R8" s="5" t="s">
        <v>155</v>
      </c>
      <c r="S8" s="5" t="s">
        <v>16</v>
      </c>
      <c r="T8" s="5"/>
      <c r="U8" s="5"/>
      <c r="V8" s="5"/>
      <c r="W8" s="5"/>
      <c r="X8" s="5"/>
      <c r="Y8" s="5"/>
      <c r="Z8" s="2" t="s">
        <v>50</v>
      </c>
      <c r="AA8" s="2" t="s">
        <v>79</v>
      </c>
      <c r="AB8" s="5">
        <v>11579.97</v>
      </c>
      <c r="AC8" s="5">
        <v>7282.5499999999993</v>
      </c>
      <c r="AD8" s="5">
        <v>6407.74</v>
      </c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>
        <v>25270.259999999995</v>
      </c>
    </row>
    <row r="9" spans="1:44" x14ac:dyDescent="0.35">
      <c r="A9" s="2" t="s">
        <v>115</v>
      </c>
      <c r="B9" s="2" t="s">
        <v>116</v>
      </c>
      <c r="C9" s="5">
        <v>-1127560</v>
      </c>
      <c r="D9" s="5">
        <v>-1105670</v>
      </c>
      <c r="E9" s="5">
        <v>-1344850</v>
      </c>
      <c r="F9" s="5">
        <v>-1404990</v>
      </c>
      <c r="G9" s="5">
        <v>-1468504.48</v>
      </c>
      <c r="H9" s="5">
        <v>-1494870</v>
      </c>
      <c r="I9" s="5">
        <v>-1589430</v>
      </c>
      <c r="J9" s="5">
        <v>-1682450</v>
      </c>
      <c r="K9" s="5">
        <v>-1711970</v>
      </c>
      <c r="L9" s="5">
        <v>-1774210</v>
      </c>
      <c r="M9" s="5">
        <v>-1782208</v>
      </c>
      <c r="N9" s="5">
        <v>-1747100</v>
      </c>
      <c r="O9" s="5">
        <v>-1812960</v>
      </c>
      <c r="P9" s="5">
        <v>-1783420.88</v>
      </c>
      <c r="Q9" s="5">
        <v>-1877000</v>
      </c>
      <c r="R9" s="5">
        <v>-1481200</v>
      </c>
      <c r="S9" s="5">
        <v>-25188393.359999999</v>
      </c>
      <c r="T9" s="5"/>
      <c r="U9" s="5"/>
      <c r="V9" s="5"/>
      <c r="W9" s="5"/>
      <c r="X9" s="5"/>
      <c r="Y9" s="5"/>
      <c r="Z9" s="2" t="s">
        <v>51</v>
      </c>
      <c r="AA9" s="2" t="s">
        <v>79</v>
      </c>
      <c r="AB9" s="5">
        <v>313015.05</v>
      </c>
      <c r="AC9" s="5">
        <v>346149.62</v>
      </c>
      <c r="AD9" s="5">
        <v>350520.13000000012</v>
      </c>
      <c r="AE9" s="5">
        <v>353967.71</v>
      </c>
      <c r="AF9" s="5">
        <v>399272.32999999996</v>
      </c>
      <c r="AG9" s="5">
        <v>417353.19</v>
      </c>
      <c r="AH9" s="5">
        <v>385799.07</v>
      </c>
      <c r="AI9" s="5">
        <v>387834.37</v>
      </c>
      <c r="AJ9" s="5">
        <v>401204.05999999994</v>
      </c>
      <c r="AK9" s="5">
        <v>391233.56999999995</v>
      </c>
      <c r="AL9" s="5">
        <v>385340.01000000018</v>
      </c>
      <c r="AM9" s="5">
        <v>404139.19</v>
      </c>
      <c r="AN9" s="5">
        <v>402019.45999999985</v>
      </c>
      <c r="AO9" s="5">
        <v>411130.5</v>
      </c>
      <c r="AP9" s="5">
        <v>472314.6</v>
      </c>
      <c r="AQ9" s="5">
        <v>444112.87000000005</v>
      </c>
      <c r="AR9" s="5">
        <v>6265405.7299999995</v>
      </c>
    </row>
    <row r="10" spans="1:44" x14ac:dyDescent="0.35">
      <c r="A10" s="2" t="s">
        <v>18</v>
      </c>
      <c r="B10" s="2" t="s">
        <v>32</v>
      </c>
      <c r="C10" s="5">
        <v>-106515</v>
      </c>
      <c r="D10" s="5">
        <v>-102505</v>
      </c>
      <c r="E10" s="5">
        <v>-114100</v>
      </c>
      <c r="F10" s="5">
        <v>-108778</v>
      </c>
      <c r="G10" s="5">
        <v>-117930</v>
      </c>
      <c r="H10" s="5">
        <v>-114280</v>
      </c>
      <c r="I10" s="5">
        <v>-124360</v>
      </c>
      <c r="J10" s="5">
        <v>-132656</v>
      </c>
      <c r="K10" s="5">
        <v>-135345</v>
      </c>
      <c r="L10" s="5">
        <v>-166620</v>
      </c>
      <c r="M10" s="5">
        <v>-176977.1</v>
      </c>
      <c r="N10" s="5">
        <v>-87985</v>
      </c>
      <c r="O10" s="5">
        <v>-144232.01</v>
      </c>
      <c r="P10" s="5">
        <v>-166465</v>
      </c>
      <c r="Q10" s="5">
        <v>-123645.35</v>
      </c>
      <c r="R10" s="5">
        <v>-144740.03000000003</v>
      </c>
      <c r="S10" s="5">
        <v>-2067133.4900000002</v>
      </c>
      <c r="T10" s="5"/>
      <c r="U10" s="5"/>
      <c r="V10" s="5"/>
      <c r="W10" s="5"/>
      <c r="X10" s="5"/>
      <c r="Y10" s="5"/>
      <c r="Z10" s="2" t="s">
        <v>126</v>
      </c>
      <c r="AA10" s="2" t="s">
        <v>79</v>
      </c>
      <c r="AB10" s="5">
        <v>31376.69999999999</v>
      </c>
      <c r="AC10" s="5">
        <v>55112.789999999994</v>
      </c>
      <c r="AD10" s="5">
        <v>55614.020000000019</v>
      </c>
      <c r="AE10" s="5">
        <v>49720.73</v>
      </c>
      <c r="AF10" s="5">
        <v>45721.380000000005</v>
      </c>
      <c r="AG10" s="5">
        <v>52857.120000000017</v>
      </c>
      <c r="AH10" s="5">
        <v>56420.750000000015</v>
      </c>
      <c r="AI10" s="5">
        <v>59147.919999999991</v>
      </c>
      <c r="AJ10" s="5">
        <v>65420.470000000016</v>
      </c>
      <c r="AK10" s="5">
        <v>64467.520000000019</v>
      </c>
      <c r="AL10" s="5">
        <v>54574.129999999983</v>
      </c>
      <c r="AM10" s="5">
        <v>49745.85</v>
      </c>
      <c r="AN10" s="5">
        <v>55501.119999999981</v>
      </c>
      <c r="AO10" s="5">
        <v>60891.819999999985</v>
      </c>
      <c r="AP10" s="5">
        <v>65612.760000000009</v>
      </c>
      <c r="AQ10" s="5">
        <v>64170.830000000009</v>
      </c>
      <c r="AR10" s="5">
        <v>886355.90999999992</v>
      </c>
    </row>
    <row r="11" spans="1:44" x14ac:dyDescent="0.35">
      <c r="A11" s="2" t="s">
        <v>119</v>
      </c>
      <c r="B11" s="2" t="s">
        <v>33</v>
      </c>
      <c r="C11" s="5">
        <v>-340</v>
      </c>
      <c r="D11" s="5">
        <v>-360</v>
      </c>
      <c r="E11" s="5">
        <v>-360</v>
      </c>
      <c r="F11" s="5">
        <v>-300</v>
      </c>
      <c r="G11" s="5">
        <v>-360</v>
      </c>
      <c r="H11" s="5">
        <v>-400</v>
      </c>
      <c r="I11" s="5">
        <v>-380</v>
      </c>
      <c r="J11" s="5">
        <v>-460</v>
      </c>
      <c r="K11" s="5">
        <v>-540</v>
      </c>
      <c r="L11" s="5">
        <v>-580</v>
      </c>
      <c r="M11" s="5">
        <v>-600</v>
      </c>
      <c r="N11" s="5">
        <v>-560</v>
      </c>
      <c r="O11" s="5">
        <v>-460</v>
      </c>
      <c r="P11" s="5"/>
      <c r="Q11" s="5"/>
      <c r="R11" s="5"/>
      <c r="S11" s="5">
        <v>-5700</v>
      </c>
      <c r="T11" s="5"/>
      <c r="U11" s="5"/>
      <c r="V11" s="5"/>
      <c r="W11" s="5"/>
      <c r="X11" s="5"/>
      <c r="Y11" s="5"/>
      <c r="Z11" s="2" t="s">
        <v>52</v>
      </c>
      <c r="AA11" s="2" t="s">
        <v>79</v>
      </c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>
        <v>1344</v>
      </c>
      <c r="AN11" s="5">
        <v>4680</v>
      </c>
      <c r="AO11" s="5"/>
      <c r="AP11" s="5"/>
      <c r="AQ11" s="5"/>
      <c r="AR11" s="5">
        <v>6024</v>
      </c>
    </row>
    <row r="12" spans="1:44" x14ac:dyDescent="0.35">
      <c r="A12" s="2" t="s">
        <v>19</v>
      </c>
      <c r="B12" s="2" t="s">
        <v>34</v>
      </c>
      <c r="D12" s="5">
        <v>-2638.28</v>
      </c>
      <c r="N12" s="5"/>
      <c r="O12" s="5"/>
      <c r="P12" s="5"/>
      <c r="Q12" s="5"/>
      <c r="R12" s="5"/>
      <c r="S12" s="5">
        <v>-2638.28</v>
      </c>
      <c r="T12" s="5"/>
      <c r="U12" s="5"/>
      <c r="V12" s="5"/>
      <c r="W12" s="5"/>
      <c r="X12" s="5"/>
      <c r="Y12" s="5"/>
      <c r="Z12" s="2" t="s">
        <v>53</v>
      </c>
      <c r="AA12" s="2" t="s">
        <v>79</v>
      </c>
      <c r="AB12" s="5">
        <v>10654.779999999997</v>
      </c>
      <c r="AC12" s="5">
        <v>12787.330000000002</v>
      </c>
      <c r="AD12" s="5">
        <v>6135.79</v>
      </c>
      <c r="AE12" s="5">
        <v>15113.9</v>
      </c>
      <c r="AF12" s="5">
        <v>11614.900000000003</v>
      </c>
      <c r="AG12" s="5">
        <v>8846.7000000000044</v>
      </c>
      <c r="AH12" s="5">
        <v>8669.11</v>
      </c>
      <c r="AI12" s="5">
        <v>12318.109999999997</v>
      </c>
      <c r="AJ12" s="5">
        <v>9166.48</v>
      </c>
      <c r="AK12" s="5">
        <v>9245.6100000000042</v>
      </c>
      <c r="AL12" s="5">
        <v>6107.5199999999986</v>
      </c>
      <c r="AM12" s="5">
        <v>6368.5099999999993</v>
      </c>
      <c r="AN12" s="5">
        <v>9506.1699999999983</v>
      </c>
      <c r="AO12" s="5">
        <v>11639.58</v>
      </c>
      <c r="AP12" s="5">
        <v>29867.370000000003</v>
      </c>
      <c r="AQ12" s="5">
        <v>25215.490000000005</v>
      </c>
      <c r="AR12" s="5">
        <v>193257.34999999998</v>
      </c>
    </row>
    <row r="13" spans="1:44" x14ac:dyDescent="0.35">
      <c r="A13" s="2" t="s">
        <v>120</v>
      </c>
      <c r="B13" s="2" t="s">
        <v>121</v>
      </c>
      <c r="C13" s="5">
        <v>-746.4</v>
      </c>
      <c r="D13" s="5">
        <v>-588.16000000000008</v>
      </c>
      <c r="E13" s="5">
        <v>-1379.56</v>
      </c>
      <c r="F13" s="5">
        <v>-1976.44</v>
      </c>
      <c r="G13" s="5">
        <v>-1190.2</v>
      </c>
      <c r="H13" s="5">
        <v>-297</v>
      </c>
      <c r="N13" s="5"/>
      <c r="O13" s="5"/>
      <c r="P13" s="5"/>
      <c r="Q13" s="5"/>
      <c r="R13" s="5"/>
      <c r="S13" s="5">
        <v>-6177.76</v>
      </c>
      <c r="T13" s="5"/>
      <c r="U13" s="5"/>
      <c r="V13" s="5"/>
      <c r="W13" s="5"/>
      <c r="X13" s="5"/>
      <c r="Y13" s="5"/>
      <c r="Z13" s="2" t="s">
        <v>54</v>
      </c>
      <c r="AA13" s="2" t="s">
        <v>79</v>
      </c>
      <c r="AB13" s="5">
        <v>6873.96</v>
      </c>
      <c r="AC13" s="5">
        <v>5230.1099999999997</v>
      </c>
      <c r="AD13" s="5">
        <v>7162.3999999999987</v>
      </c>
      <c r="AE13" s="5">
        <v>6811.9699999999993</v>
      </c>
      <c r="AF13" s="5">
        <v>6422.76</v>
      </c>
      <c r="AG13" s="5">
        <v>8117.26</v>
      </c>
      <c r="AH13" s="5">
        <v>6958.3300000000008</v>
      </c>
      <c r="AI13" s="5">
        <v>6925.83</v>
      </c>
      <c r="AJ13" s="5">
        <v>6266.26</v>
      </c>
      <c r="AK13" s="5">
        <v>5990.75</v>
      </c>
      <c r="AL13" s="5">
        <v>5478.51</v>
      </c>
      <c r="AM13" s="5">
        <v>5861.2900000000009</v>
      </c>
      <c r="AN13" s="5">
        <v>4398.76</v>
      </c>
      <c r="AO13" s="5">
        <v>5470.67</v>
      </c>
      <c r="AP13" s="5">
        <v>5784.65</v>
      </c>
      <c r="AQ13" s="5">
        <v>2401.4</v>
      </c>
      <c r="AR13" s="5">
        <v>96154.909999999974</v>
      </c>
    </row>
    <row r="14" spans="1:44" x14ac:dyDescent="0.35">
      <c r="A14" s="2" t="s">
        <v>122</v>
      </c>
      <c r="B14" s="2" t="s">
        <v>123</v>
      </c>
      <c r="C14" s="5">
        <v>-110</v>
      </c>
      <c r="D14" s="5">
        <v>-32</v>
      </c>
      <c r="E14" s="5">
        <v>-60</v>
      </c>
      <c r="F14" s="5">
        <v>-200</v>
      </c>
      <c r="I14" s="5">
        <v>-50</v>
      </c>
      <c r="N14" s="5"/>
      <c r="O14" s="5"/>
      <c r="P14" s="5"/>
      <c r="Q14" s="5"/>
      <c r="R14" s="5"/>
      <c r="S14" s="5">
        <v>-452</v>
      </c>
      <c r="T14" s="5"/>
      <c r="U14" s="5"/>
      <c r="V14" s="5"/>
      <c r="W14" s="5"/>
      <c r="X14" s="5"/>
      <c r="Y14" s="5"/>
      <c r="Z14" s="2" t="s">
        <v>55</v>
      </c>
      <c r="AA14" s="2" t="s">
        <v>80</v>
      </c>
      <c r="AB14" s="5">
        <v>217335.33999999991</v>
      </c>
      <c r="AC14" s="5">
        <v>254854.86</v>
      </c>
      <c r="AD14" s="5">
        <v>254859.48999999987</v>
      </c>
      <c r="AE14" s="5">
        <v>234670.31000000003</v>
      </c>
      <c r="AF14" s="5">
        <v>234144.05000000002</v>
      </c>
      <c r="AG14" s="5">
        <v>243638.89</v>
      </c>
      <c r="AH14" s="5">
        <v>263353.97000000003</v>
      </c>
      <c r="AI14" s="5">
        <v>269132.69</v>
      </c>
      <c r="AJ14" s="5">
        <v>284508.28000000003</v>
      </c>
      <c r="AK14" s="5">
        <v>287981.80000000005</v>
      </c>
      <c r="AL14" s="5">
        <v>283984.15000000002</v>
      </c>
      <c r="AM14" s="5">
        <v>301859.54000000004</v>
      </c>
      <c r="AN14" s="5">
        <v>291014.1999999999</v>
      </c>
      <c r="AO14" s="5">
        <v>295419.32000000007</v>
      </c>
      <c r="AP14" s="5">
        <v>298583.84000000003</v>
      </c>
      <c r="AQ14" s="5">
        <v>259381.11000000007</v>
      </c>
      <c r="AR14" s="5">
        <v>4274721.84</v>
      </c>
    </row>
    <row r="15" spans="1:44" x14ac:dyDescent="0.35">
      <c r="A15" s="2" t="s">
        <v>20</v>
      </c>
      <c r="B15" s="2" t="s">
        <v>35</v>
      </c>
      <c r="C15" s="5">
        <v>-493.05</v>
      </c>
      <c r="D15" s="5">
        <v>-3720</v>
      </c>
      <c r="N15" s="5"/>
      <c r="O15" s="5"/>
      <c r="P15" s="5"/>
      <c r="Q15" s="5"/>
      <c r="R15" s="5"/>
      <c r="S15" s="5">
        <v>-4213.05</v>
      </c>
      <c r="T15" s="5"/>
      <c r="U15" s="5"/>
      <c r="V15" s="5"/>
      <c r="W15" s="5"/>
      <c r="X15" s="5"/>
      <c r="Y15" s="5"/>
      <c r="Z15" s="2" t="s">
        <v>56</v>
      </c>
      <c r="AA15" s="2" t="s">
        <v>81</v>
      </c>
      <c r="AB15" s="5">
        <v>47740.58</v>
      </c>
      <c r="AC15" s="5">
        <v>12848.289999999999</v>
      </c>
      <c r="AD15" s="5">
        <v>26424.029999999992</v>
      </c>
      <c r="AE15" s="5">
        <v>29141.849999999991</v>
      </c>
      <c r="AF15" s="5">
        <v>26222.95</v>
      </c>
      <c r="AG15" s="5">
        <v>12216.939999999999</v>
      </c>
      <c r="AH15" s="5">
        <v>30605.200000000015</v>
      </c>
      <c r="AI15" s="5">
        <v>28244.499999999996</v>
      </c>
      <c r="AJ15" s="5">
        <v>35334.37999999999</v>
      </c>
      <c r="AK15" s="5">
        <v>43479.610000000022</v>
      </c>
      <c r="AL15" s="5">
        <v>33598.130000000005</v>
      </c>
      <c r="AM15" s="5">
        <v>28418.850000000002</v>
      </c>
      <c r="AN15" s="5">
        <v>3664.85</v>
      </c>
      <c r="AO15" s="5">
        <v>13910.560000000001</v>
      </c>
      <c r="AP15" s="5">
        <v>95920.13</v>
      </c>
      <c r="AQ15" s="5">
        <v>62699.000000000007</v>
      </c>
      <c r="AR15" s="5">
        <v>530469.85000000009</v>
      </c>
    </row>
    <row r="16" spans="1:44" x14ac:dyDescent="0.35">
      <c r="A16" s="2" t="s">
        <v>22</v>
      </c>
      <c r="B16" s="2" t="s">
        <v>37</v>
      </c>
      <c r="C16" s="5">
        <v>-509</v>
      </c>
      <c r="D16" s="5">
        <v>-375</v>
      </c>
      <c r="E16" s="5">
        <v>-375</v>
      </c>
      <c r="F16" s="5">
        <v>-387.5</v>
      </c>
      <c r="J16" s="5">
        <v>-44.46</v>
      </c>
      <c r="K16" s="5">
        <v>-23.36</v>
      </c>
      <c r="L16" s="5">
        <v>-74.8</v>
      </c>
      <c r="M16" s="5">
        <v>-21.62</v>
      </c>
      <c r="N16" s="5">
        <v>-15</v>
      </c>
      <c r="O16" s="5">
        <v>-3.26</v>
      </c>
      <c r="P16" s="5">
        <v>-858.35</v>
      </c>
      <c r="Q16" s="5">
        <v>-5.63</v>
      </c>
      <c r="R16" s="5"/>
      <c r="S16" s="5">
        <v>-2692.9800000000005</v>
      </c>
      <c r="T16" s="5"/>
      <c r="U16" s="5"/>
      <c r="V16" s="5"/>
      <c r="W16" s="5"/>
      <c r="X16" s="5"/>
      <c r="Y16" s="5"/>
      <c r="Z16" s="2" t="s">
        <v>57</v>
      </c>
      <c r="AA16" s="2" t="s">
        <v>82</v>
      </c>
      <c r="AB16" s="5">
        <v>608</v>
      </c>
      <c r="AC16" s="5">
        <v>1837.5</v>
      </c>
      <c r="AD16" s="5">
        <v>750</v>
      </c>
      <c r="AE16" s="5">
        <v>235</v>
      </c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>
        <v>3430.5</v>
      </c>
    </row>
    <row r="17" spans="1:44" x14ac:dyDescent="0.35">
      <c r="A17" s="2" t="s">
        <v>23</v>
      </c>
      <c r="B17" s="2" t="s">
        <v>38</v>
      </c>
      <c r="L17" s="5">
        <v>0</v>
      </c>
      <c r="N17" s="5"/>
      <c r="O17" s="5"/>
      <c r="P17" s="5"/>
      <c r="Q17" s="5"/>
      <c r="R17" s="5"/>
      <c r="S17" s="5">
        <v>0</v>
      </c>
      <c r="T17" s="5"/>
      <c r="U17" s="5"/>
      <c r="V17" s="5"/>
      <c r="W17" s="5"/>
      <c r="X17" s="5"/>
      <c r="Y17" s="5"/>
      <c r="Z17" s="2" t="s">
        <v>58</v>
      </c>
      <c r="AA17" s="2" t="s">
        <v>83</v>
      </c>
      <c r="AB17" s="5">
        <v>11819.990000000003</v>
      </c>
      <c r="AC17" s="5">
        <v>1536.3400000000001</v>
      </c>
      <c r="AD17" s="5">
        <v>3392.2100000000009</v>
      </c>
      <c r="AE17" s="5">
        <v>3695.7800000000007</v>
      </c>
      <c r="AF17" s="5">
        <v>1831.8700000000001</v>
      </c>
      <c r="AG17" s="5">
        <v>2920.0600000000004</v>
      </c>
      <c r="AH17" s="5">
        <v>2389.5800000000004</v>
      </c>
      <c r="AI17" s="5">
        <v>2375.69</v>
      </c>
      <c r="AJ17" s="5">
        <v>2540.4399999999996</v>
      </c>
      <c r="AK17" s="5">
        <v>2745.76</v>
      </c>
      <c r="AL17" s="5">
        <v>1563.2999999999997</v>
      </c>
      <c r="AM17" s="5">
        <v>2815.4799999999996</v>
      </c>
      <c r="AN17" s="5">
        <v>3832.38</v>
      </c>
      <c r="AO17" s="5">
        <v>446.59999999999997</v>
      </c>
      <c r="AP17" s="5">
        <v>284.27</v>
      </c>
      <c r="AQ17" s="5">
        <v>1107.07</v>
      </c>
      <c r="AR17" s="5">
        <v>45296.820000000007</v>
      </c>
    </row>
    <row r="18" spans="1:44" x14ac:dyDescent="0.35">
      <c r="A18" s="2" t="s">
        <v>138</v>
      </c>
      <c r="B18" s="2" t="s">
        <v>139</v>
      </c>
      <c r="N18" s="5"/>
      <c r="O18" s="5">
        <v>-142.5</v>
      </c>
      <c r="P18" s="5"/>
      <c r="Q18" s="5"/>
      <c r="R18" s="5">
        <v>-100</v>
      </c>
      <c r="S18" s="5">
        <v>-242.5</v>
      </c>
      <c r="T18" s="5"/>
      <c r="U18" s="5"/>
      <c r="V18" s="5"/>
      <c r="W18" s="5"/>
      <c r="X18" s="5"/>
      <c r="Y18" s="5"/>
      <c r="Z18" s="2" t="s">
        <v>59</v>
      </c>
      <c r="AA18" s="2" t="s">
        <v>84</v>
      </c>
      <c r="AB18" s="5">
        <v>916.01</v>
      </c>
      <c r="AC18" s="5">
        <v>3009.2200000000003</v>
      </c>
      <c r="AD18" s="5">
        <v>2450.1799999999998</v>
      </c>
      <c r="AE18" s="5">
        <v>4786.8899999999994</v>
      </c>
      <c r="AF18" s="5">
        <v>4768.0199999999995</v>
      </c>
      <c r="AG18" s="5">
        <v>833.57999999999993</v>
      </c>
      <c r="AH18" s="5">
        <v>3567.6400000000003</v>
      </c>
      <c r="AI18" s="5">
        <v>1587.6099999999997</v>
      </c>
      <c r="AJ18" s="5">
        <v>5656.2200000000012</v>
      </c>
      <c r="AK18" s="5">
        <v>2481.42</v>
      </c>
      <c r="AL18" s="5">
        <v>2260.2199999999993</v>
      </c>
      <c r="AM18" s="5">
        <v>6786.4600000000009</v>
      </c>
      <c r="AN18" s="5">
        <v>4249.24</v>
      </c>
      <c r="AO18" s="5"/>
      <c r="AP18" s="5">
        <v>266.86</v>
      </c>
      <c r="AQ18" s="5">
        <v>4601.7199999999993</v>
      </c>
      <c r="AR18" s="5">
        <v>48221.29</v>
      </c>
    </row>
    <row r="19" spans="1:44" x14ac:dyDescent="0.35">
      <c r="A19" s="2" t="s">
        <v>24</v>
      </c>
      <c r="B19" s="2" t="s">
        <v>39</v>
      </c>
      <c r="F19" s="5">
        <v>126931</v>
      </c>
      <c r="N19" s="5"/>
      <c r="O19" s="5"/>
      <c r="P19" s="5"/>
      <c r="Q19" s="5"/>
      <c r="R19" s="5"/>
      <c r="S19" s="5">
        <v>126931</v>
      </c>
      <c r="T19" s="5"/>
      <c r="U19" s="5"/>
      <c r="V19" s="5"/>
      <c r="W19" s="5"/>
      <c r="X19" s="5"/>
      <c r="Y19" s="5"/>
      <c r="Z19" s="2" t="s">
        <v>60</v>
      </c>
      <c r="AA19" s="2" t="s">
        <v>85</v>
      </c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>
        <v>7</v>
      </c>
      <c r="AM19" s="5"/>
      <c r="AN19" s="5"/>
      <c r="AO19" s="5"/>
      <c r="AP19" s="5"/>
      <c r="AQ19" s="5"/>
      <c r="AR19" s="5">
        <v>7</v>
      </c>
    </row>
    <row r="20" spans="1:44" x14ac:dyDescent="0.35">
      <c r="A20" s="2" t="s">
        <v>25</v>
      </c>
      <c r="B20" s="2" t="s">
        <v>40</v>
      </c>
      <c r="C20" s="5">
        <v>-2201833.84</v>
      </c>
      <c r="G20" s="5">
        <v>2619616.25</v>
      </c>
      <c r="L20" s="5">
        <v>881739.93</v>
      </c>
      <c r="N20" s="5"/>
      <c r="O20" s="5"/>
      <c r="P20" s="5"/>
      <c r="Q20" s="5"/>
      <c r="R20" s="5"/>
      <c r="S20" s="5">
        <v>1299522.3400000003</v>
      </c>
      <c r="T20" s="5"/>
      <c r="U20" s="5"/>
      <c r="V20" s="5"/>
      <c r="W20" s="5"/>
      <c r="X20" s="5"/>
      <c r="Y20" s="5"/>
      <c r="Z20" s="2" t="s">
        <v>61</v>
      </c>
      <c r="AA20" s="2" t="s">
        <v>86</v>
      </c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>
        <v>19.940000000000001</v>
      </c>
      <c r="AP20" s="5"/>
      <c r="AQ20" s="5"/>
      <c r="AR20" s="5">
        <v>19.940000000000001</v>
      </c>
    </row>
    <row r="21" spans="1:44" x14ac:dyDescent="0.35">
      <c r="A21" s="2" t="s">
        <v>26</v>
      </c>
      <c r="B21" s="2" t="s">
        <v>41</v>
      </c>
      <c r="C21" s="5">
        <v>-8948.24</v>
      </c>
      <c r="D21" s="5">
        <v>-36958.589999999997</v>
      </c>
      <c r="F21" s="5">
        <v>-50691.049999999996</v>
      </c>
      <c r="G21" s="5">
        <v>1208.1300000000001</v>
      </c>
      <c r="L21" s="5">
        <v>94154.14</v>
      </c>
      <c r="M21" s="5">
        <v>-163653.44</v>
      </c>
      <c r="N21" s="5"/>
      <c r="O21" s="5">
        <v>373.33</v>
      </c>
      <c r="P21" s="5"/>
      <c r="Q21" s="5">
        <v>-50771.01</v>
      </c>
      <c r="R21" s="5">
        <v>-185.12</v>
      </c>
      <c r="S21" s="5">
        <v>-215471.85</v>
      </c>
      <c r="T21" s="5"/>
      <c r="U21" s="5"/>
      <c r="V21" s="5"/>
      <c r="W21" s="5"/>
      <c r="X21" s="5"/>
      <c r="Y21" s="5"/>
      <c r="Z21" s="2" t="s">
        <v>62</v>
      </c>
      <c r="AA21" s="2" t="s">
        <v>87</v>
      </c>
      <c r="AB21" s="5">
        <v>5286.6699999999992</v>
      </c>
      <c r="AC21" s="5">
        <v>7330.1299999999992</v>
      </c>
      <c r="AD21" s="5">
        <v>11802.74</v>
      </c>
      <c r="AE21" s="5">
        <v>15322.800000000001</v>
      </c>
      <c r="AF21" s="5">
        <v>12701.68</v>
      </c>
      <c r="AG21" s="5">
        <v>14760.229999999996</v>
      </c>
      <c r="AH21" s="5">
        <v>11931.130000000001</v>
      </c>
      <c r="AI21" s="5">
        <v>8235.19</v>
      </c>
      <c r="AJ21" s="5">
        <v>9422.26</v>
      </c>
      <c r="AK21" s="5">
        <v>11261.089999999998</v>
      </c>
      <c r="AL21" s="5">
        <v>11689.730000000001</v>
      </c>
      <c r="AM21" s="5">
        <v>12378.369999999999</v>
      </c>
      <c r="AN21" s="5">
        <v>18652.109999999997</v>
      </c>
      <c r="AO21" s="5">
        <v>14111.71</v>
      </c>
      <c r="AP21" s="5">
        <v>14704.88</v>
      </c>
      <c r="AQ21" s="5">
        <v>12994.91</v>
      </c>
      <c r="AR21" s="5">
        <v>192585.62999999998</v>
      </c>
    </row>
    <row r="22" spans="1:44" x14ac:dyDescent="0.35">
      <c r="A22" s="2" t="s">
        <v>124</v>
      </c>
      <c r="B22" s="2" t="s">
        <v>114</v>
      </c>
      <c r="G22" s="5">
        <v>43.63</v>
      </c>
      <c r="N22" s="5"/>
      <c r="O22" s="5"/>
      <c r="P22" s="5"/>
      <c r="Q22" s="5"/>
      <c r="R22" s="5"/>
      <c r="S22" s="5">
        <v>43.63</v>
      </c>
      <c r="T22" s="5"/>
      <c r="U22" s="5"/>
      <c r="V22" s="5"/>
      <c r="W22" s="5"/>
      <c r="X22" s="5"/>
      <c r="Y22" s="5"/>
      <c r="Z22" s="2" t="s">
        <v>63</v>
      </c>
      <c r="AA22" s="2" t="s">
        <v>88</v>
      </c>
      <c r="AB22" s="5"/>
      <c r="AC22" s="5"/>
      <c r="AD22" s="5">
        <v>15</v>
      </c>
      <c r="AE22" s="5"/>
      <c r="AF22" s="5"/>
      <c r="AG22" s="5"/>
      <c r="AH22" s="5">
        <v>99.95</v>
      </c>
      <c r="AI22" s="5"/>
      <c r="AJ22" s="5"/>
      <c r="AK22" s="5">
        <v>42.66</v>
      </c>
      <c r="AL22" s="5"/>
      <c r="AM22" s="5"/>
      <c r="AN22" s="5"/>
      <c r="AO22" s="5"/>
      <c r="AP22" s="5"/>
      <c r="AQ22" s="5"/>
      <c r="AR22" s="5">
        <v>157.61000000000001</v>
      </c>
    </row>
    <row r="23" spans="1:44" x14ac:dyDescent="0.35">
      <c r="A23" s="2" t="s">
        <v>28</v>
      </c>
      <c r="B23" s="2" t="s">
        <v>43</v>
      </c>
      <c r="N23" s="5">
        <v>6762</v>
      </c>
      <c r="O23" s="5">
        <v>106376.5</v>
      </c>
      <c r="P23" s="5">
        <v>50000</v>
      </c>
      <c r="Q23" s="5">
        <v>50000</v>
      </c>
      <c r="R23" s="5">
        <v>25000</v>
      </c>
      <c r="S23" s="5">
        <v>238138.5</v>
      </c>
      <c r="T23" s="5"/>
      <c r="U23" s="5"/>
      <c r="V23" s="5"/>
      <c r="W23" s="5"/>
      <c r="X23" s="5"/>
      <c r="Y23" s="5"/>
      <c r="Z23" s="2" t="s">
        <v>64</v>
      </c>
      <c r="AA23" s="2" t="s">
        <v>89</v>
      </c>
      <c r="AB23" s="5">
        <v>780.64</v>
      </c>
      <c r="AC23" s="5">
        <v>735.27</v>
      </c>
      <c r="AD23" s="5">
        <v>778.62</v>
      </c>
      <c r="AE23" s="5">
        <v>15</v>
      </c>
      <c r="AF23" s="5">
        <v>1017.1800000000001</v>
      </c>
      <c r="AG23" s="5">
        <v>151.61000000000001</v>
      </c>
      <c r="AH23" s="5">
        <v>805.8</v>
      </c>
      <c r="AI23" s="5">
        <v>1325.83</v>
      </c>
      <c r="AJ23" s="5">
        <v>1583.7099999999998</v>
      </c>
      <c r="AK23" s="5">
        <v>1716.88</v>
      </c>
      <c r="AL23" s="5">
        <v>2346.2399999999998</v>
      </c>
      <c r="AM23" s="5">
        <v>2426.12</v>
      </c>
      <c r="AN23" s="5">
        <v>2426.1999999999998</v>
      </c>
      <c r="AO23" s="5">
        <v>2506</v>
      </c>
      <c r="AP23" s="5">
        <v>3317.78</v>
      </c>
      <c r="AQ23" s="5">
        <v>3363.61</v>
      </c>
      <c r="AR23" s="5">
        <v>25296.489999999998</v>
      </c>
    </row>
    <row r="24" spans="1:44" x14ac:dyDescent="0.35">
      <c r="A24" s="2" t="s">
        <v>29</v>
      </c>
      <c r="B24" s="2" t="s">
        <v>44</v>
      </c>
      <c r="C24" s="5">
        <v>97384.72</v>
      </c>
      <c r="D24" s="5">
        <v>164610.49000000002</v>
      </c>
      <c r="E24" s="5">
        <v>176702.53999999998</v>
      </c>
      <c r="F24" s="5">
        <v>209663.29</v>
      </c>
      <c r="G24" s="5">
        <v>217392.87000000005</v>
      </c>
      <c r="H24" s="5">
        <v>221259.3</v>
      </c>
      <c r="I24" s="5">
        <v>110015.19000000002</v>
      </c>
      <c r="J24" s="5">
        <v>116046.76999999999</v>
      </c>
      <c r="K24" s="5">
        <v>164687.63</v>
      </c>
      <c r="L24" s="5">
        <v>204740.13</v>
      </c>
      <c r="M24" s="5">
        <v>136848.31</v>
      </c>
      <c r="N24" s="5">
        <v>155781.34999999998</v>
      </c>
      <c r="O24" s="5">
        <v>145918.97999999998</v>
      </c>
      <c r="P24" s="5">
        <v>154765.79</v>
      </c>
      <c r="Q24" s="5">
        <v>174667.9</v>
      </c>
      <c r="R24" s="5">
        <v>157809.24</v>
      </c>
      <c r="S24" s="5">
        <v>2608294.5</v>
      </c>
      <c r="T24" s="5"/>
      <c r="U24" s="5"/>
      <c r="V24" s="5"/>
      <c r="W24" s="5"/>
      <c r="X24" s="5"/>
      <c r="Y24" s="5"/>
      <c r="Z24" s="2" t="s">
        <v>65</v>
      </c>
      <c r="AA24" s="2" t="s">
        <v>90</v>
      </c>
      <c r="AB24" s="5">
        <v>33363.12000000001</v>
      </c>
      <c r="AC24" s="5">
        <v>16655.509999999998</v>
      </c>
      <c r="AD24" s="5">
        <v>28993.969999999998</v>
      </c>
      <c r="AE24" s="5">
        <v>32330.810000000005</v>
      </c>
      <c r="AF24" s="5">
        <v>13752.349999999993</v>
      </c>
      <c r="AG24" s="5">
        <v>31622.739999999998</v>
      </c>
      <c r="AH24" s="5">
        <v>24366.400000000009</v>
      </c>
      <c r="AI24" s="5">
        <v>26771.500000000004</v>
      </c>
      <c r="AJ24" s="5">
        <v>30063.850000000006</v>
      </c>
      <c r="AK24" s="5">
        <v>18998.349999999995</v>
      </c>
      <c r="AL24" s="5">
        <v>33406.200000000004</v>
      </c>
      <c r="AM24" s="5">
        <v>54924.86</v>
      </c>
      <c r="AN24" s="5">
        <v>48791.429999999993</v>
      </c>
      <c r="AO24" s="5">
        <v>41628.35</v>
      </c>
      <c r="AP24" s="5">
        <v>62097.099999999991</v>
      </c>
      <c r="AQ24" s="5">
        <v>46156.22</v>
      </c>
      <c r="AR24" s="5">
        <v>543922.76</v>
      </c>
    </row>
    <row r="25" spans="1:44" x14ac:dyDescent="0.35">
      <c r="A25" s="2" t="s">
        <v>31</v>
      </c>
      <c r="B25" s="2" t="s">
        <v>46</v>
      </c>
      <c r="F25" s="5">
        <v>50000</v>
      </c>
      <c r="K25" s="5">
        <v>135000</v>
      </c>
      <c r="L25" s="5">
        <v>135000</v>
      </c>
      <c r="M25" s="5">
        <v>135000</v>
      </c>
      <c r="N25" s="5">
        <v>135000</v>
      </c>
      <c r="O25" s="5">
        <v>200000</v>
      </c>
      <c r="P25" s="5">
        <v>200000</v>
      </c>
      <c r="Q25" s="5">
        <v>200000</v>
      </c>
      <c r="R25" s="5">
        <v>200000</v>
      </c>
      <c r="S25" s="5">
        <v>1390000</v>
      </c>
      <c r="T25" s="5"/>
      <c r="U25" s="5"/>
      <c r="V25" s="5"/>
      <c r="W25" s="5"/>
      <c r="X25" s="5"/>
      <c r="Y25" s="5"/>
      <c r="Z25" s="2" t="s">
        <v>66</v>
      </c>
      <c r="AA25" s="2" t="s">
        <v>91</v>
      </c>
      <c r="AB25" s="5"/>
      <c r="AC25" s="5">
        <v>70</v>
      </c>
      <c r="AD25" s="5">
        <v>454.5</v>
      </c>
      <c r="AE25" s="5">
        <v>860</v>
      </c>
      <c r="AF25" s="5">
        <v>101</v>
      </c>
      <c r="AG25" s="5">
        <v>100</v>
      </c>
      <c r="AH25" s="5">
        <v>880</v>
      </c>
      <c r="AI25" s="5">
        <v>745</v>
      </c>
      <c r="AJ25" s="5"/>
      <c r="AK25" s="5">
        <v>134.24</v>
      </c>
      <c r="AL25" s="5"/>
      <c r="AM25" s="5"/>
      <c r="AN25" s="5">
        <v>61.87</v>
      </c>
      <c r="AO25" s="5">
        <v>922</v>
      </c>
      <c r="AP25" s="5">
        <v>274</v>
      </c>
      <c r="AQ25" s="5">
        <v>131.34</v>
      </c>
      <c r="AR25" s="5">
        <v>4733.95</v>
      </c>
    </row>
    <row r="26" spans="1:44" x14ac:dyDescent="0.35">
      <c r="A26" s="2" t="s">
        <v>16</v>
      </c>
      <c r="C26" s="5">
        <v>-3349670.8099999996</v>
      </c>
      <c r="D26" s="5">
        <v>-1088236.54</v>
      </c>
      <c r="E26" s="5">
        <v>-1284422.02</v>
      </c>
      <c r="F26" s="5">
        <v>-1180728.7</v>
      </c>
      <c r="G26" s="5">
        <v>1250276.2</v>
      </c>
      <c r="H26" s="5">
        <v>-1388587.7</v>
      </c>
      <c r="I26" s="5">
        <v>-1604204.81</v>
      </c>
      <c r="J26" s="5">
        <v>-1699563.69</v>
      </c>
      <c r="K26" s="5">
        <v>-1548190.73</v>
      </c>
      <c r="L26" s="5">
        <v>-625850.59999999986</v>
      </c>
      <c r="M26" s="5">
        <v>-1851611.85</v>
      </c>
      <c r="N26" s="5">
        <v>-1538116.65</v>
      </c>
      <c r="O26" s="5">
        <v>-1505128.96</v>
      </c>
      <c r="P26" s="5">
        <v>-1545978.44</v>
      </c>
      <c r="Q26" s="5">
        <v>-1626754.09</v>
      </c>
      <c r="R26" s="5">
        <v>-1243415.9100000001</v>
      </c>
      <c r="S26" s="5">
        <v>-21830185.300000019</v>
      </c>
      <c r="Z26" s="2" t="s">
        <v>67</v>
      </c>
      <c r="AA26" s="2" t="s">
        <v>92</v>
      </c>
      <c r="AB26" s="5">
        <v>122.88000000000001</v>
      </c>
      <c r="AC26" s="5">
        <v>253.57</v>
      </c>
      <c r="AD26" s="5">
        <v>468.43</v>
      </c>
      <c r="AE26" s="5">
        <v>253.56</v>
      </c>
      <c r="AF26" s="5">
        <v>318.84999999999997</v>
      </c>
      <c r="AG26" s="5">
        <v>175.83999999999997</v>
      </c>
      <c r="AH26" s="5">
        <v>284.40999999999997</v>
      </c>
      <c r="AI26" s="5">
        <v>146.62</v>
      </c>
      <c r="AJ26" s="5">
        <v>169.37</v>
      </c>
      <c r="AK26" s="5">
        <v>293.05</v>
      </c>
      <c r="AL26" s="5">
        <v>72.92</v>
      </c>
      <c r="AM26" s="5">
        <v>514.06999999999994</v>
      </c>
      <c r="AN26" s="5">
        <v>460.11</v>
      </c>
      <c r="AO26" s="5"/>
      <c r="AP26" s="5"/>
      <c r="AQ26" s="5">
        <v>133.75</v>
      </c>
      <c r="AR26" s="5">
        <v>3667.43</v>
      </c>
    </row>
    <row r="27" spans="1:44" x14ac:dyDescent="0.35">
      <c r="C27"/>
      <c r="D27"/>
      <c r="E27"/>
      <c r="F27"/>
      <c r="G27"/>
      <c r="H27"/>
      <c r="I27"/>
      <c r="J27"/>
      <c r="K27"/>
      <c r="L27"/>
      <c r="M27"/>
      <c r="Z27" s="2" t="s">
        <v>68</v>
      </c>
      <c r="AA27" s="2" t="s">
        <v>93</v>
      </c>
      <c r="AB27" s="5">
        <v>629.05999999999995</v>
      </c>
      <c r="AC27" s="5">
        <v>337.28000000000009</v>
      </c>
      <c r="AD27" s="5">
        <v>25.889999999999816</v>
      </c>
      <c r="AE27" s="5">
        <v>-2.8421709430404007E-14</v>
      </c>
      <c r="AF27" s="5">
        <v>1134</v>
      </c>
      <c r="AG27" s="5"/>
      <c r="AH27" s="5">
        <v>897.64</v>
      </c>
      <c r="AI27" s="5">
        <v>87868.77</v>
      </c>
      <c r="AJ27" s="5">
        <v>486000.19</v>
      </c>
      <c r="AK27" s="5">
        <v>670046.71</v>
      </c>
      <c r="AL27" s="5">
        <v>305223.4599999999</v>
      </c>
      <c r="AM27" s="5">
        <v>99717.409999999989</v>
      </c>
      <c r="AN27" s="5">
        <v>125217.31000000001</v>
      </c>
      <c r="AO27" s="5">
        <v>157272.18</v>
      </c>
      <c r="AP27" s="5">
        <v>129179.88</v>
      </c>
      <c r="AQ27" s="5">
        <v>126144.92</v>
      </c>
      <c r="AR27" s="5">
        <v>2189694.6999999997</v>
      </c>
    </row>
    <row r="28" spans="1:44" x14ac:dyDescent="0.35">
      <c r="C28"/>
      <c r="D28"/>
      <c r="E28"/>
      <c r="F28"/>
      <c r="G28"/>
      <c r="H28"/>
      <c r="I28"/>
      <c r="J28"/>
      <c r="K28"/>
      <c r="L28"/>
      <c r="M28"/>
      <c r="Z28" s="2" t="s">
        <v>69</v>
      </c>
      <c r="AA28" s="2" t="s">
        <v>94</v>
      </c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>
        <v>219.7</v>
      </c>
      <c r="AM28" s="5">
        <v>280.54000000000002</v>
      </c>
      <c r="AN28" s="5">
        <v>736.8</v>
      </c>
      <c r="AO28" s="5"/>
      <c r="AP28" s="5">
        <v>321.89999999999998</v>
      </c>
      <c r="AQ28" s="5"/>
      <c r="AR28" s="5">
        <v>1558.94</v>
      </c>
    </row>
    <row r="29" spans="1:44" x14ac:dyDescent="0.35">
      <c r="C29"/>
      <c r="D29"/>
      <c r="E29"/>
      <c r="F29"/>
      <c r="G29"/>
      <c r="H29"/>
      <c r="I29"/>
      <c r="J29"/>
      <c r="K29"/>
      <c r="L29"/>
      <c r="M29"/>
      <c r="Z29" s="2" t="s">
        <v>70</v>
      </c>
      <c r="AA29" s="2" t="s">
        <v>142</v>
      </c>
      <c r="AB29" s="5"/>
      <c r="AC29" s="5"/>
      <c r="AD29" s="5"/>
      <c r="AE29" s="5"/>
      <c r="AF29" s="5">
        <v>115.98</v>
      </c>
      <c r="AG29" s="5"/>
      <c r="AH29" s="5"/>
      <c r="AI29" s="5"/>
      <c r="AJ29" s="5">
        <v>351.36</v>
      </c>
      <c r="AK29" s="5">
        <v>378.63</v>
      </c>
      <c r="AL29" s="5"/>
      <c r="AM29" s="5">
        <v>958.49</v>
      </c>
      <c r="AN29" s="5">
        <v>1165.3699999999999</v>
      </c>
      <c r="AO29" s="5">
        <v>1547.8400000000001</v>
      </c>
      <c r="AP29" s="5">
        <v>3448.26</v>
      </c>
      <c r="AQ29" s="5">
        <v>3518.5</v>
      </c>
      <c r="AR29" s="5">
        <v>11484.43</v>
      </c>
    </row>
    <row r="30" spans="1:44" x14ac:dyDescent="0.35">
      <c r="C30"/>
      <c r="D30"/>
      <c r="E30"/>
      <c r="F30"/>
      <c r="G30"/>
      <c r="H30"/>
      <c r="I30"/>
      <c r="J30"/>
      <c r="K30"/>
      <c r="L30"/>
      <c r="M30"/>
      <c r="Z30" s="2" t="s">
        <v>71</v>
      </c>
      <c r="AA30" s="2" t="s">
        <v>96</v>
      </c>
      <c r="AB30" s="5">
        <v>2593.7599999999993</v>
      </c>
      <c r="AC30" s="5">
        <v>5452.5299999999988</v>
      </c>
      <c r="AD30" s="5">
        <v>2814.9100000000003</v>
      </c>
      <c r="AE30" s="5">
        <v>5860.9599999999991</v>
      </c>
      <c r="AF30" s="5">
        <v>4383.3000000000011</v>
      </c>
      <c r="AG30" s="5">
        <v>4919.4800000000014</v>
      </c>
      <c r="AH30" s="5">
        <v>4484.8900000000003</v>
      </c>
      <c r="AI30" s="5">
        <v>4469.550000000002</v>
      </c>
      <c r="AJ30" s="5">
        <v>4639.8100000000004</v>
      </c>
      <c r="AK30" s="5">
        <v>5115.4799999999996</v>
      </c>
      <c r="AL30" s="5">
        <v>2997.17</v>
      </c>
      <c r="AM30" s="5">
        <v>3807.5700000000011</v>
      </c>
      <c r="AN30" s="5">
        <v>10091.429999999998</v>
      </c>
      <c r="AO30" s="5">
        <v>3299.8</v>
      </c>
      <c r="AP30" s="5">
        <v>3063.48</v>
      </c>
      <c r="AQ30" s="5">
        <v>3539.6899999999996</v>
      </c>
      <c r="AR30" s="5">
        <v>71533.81</v>
      </c>
    </row>
    <row r="31" spans="1:44" x14ac:dyDescent="0.35">
      <c r="C31"/>
      <c r="D31"/>
      <c r="E31"/>
      <c r="F31"/>
      <c r="G31"/>
      <c r="H31"/>
      <c r="I31"/>
      <c r="J31"/>
      <c r="K31"/>
      <c r="L31"/>
      <c r="M31"/>
      <c r="Z31" s="2" t="s">
        <v>127</v>
      </c>
      <c r="AA31" s="2" t="s">
        <v>128</v>
      </c>
      <c r="AB31" s="5"/>
      <c r="AC31" s="5"/>
      <c r="AD31" s="5"/>
      <c r="AE31" s="5"/>
      <c r="AF31" s="5"/>
      <c r="AG31" s="5"/>
      <c r="AH31" s="5">
        <v>50000</v>
      </c>
      <c r="AI31" s="5">
        <v>30000</v>
      </c>
      <c r="AJ31" s="5">
        <v>50000</v>
      </c>
      <c r="AK31" s="5"/>
      <c r="AL31" s="5"/>
      <c r="AM31" s="5">
        <v>25000</v>
      </c>
      <c r="AN31" s="5"/>
      <c r="AO31" s="5"/>
      <c r="AP31" s="5"/>
      <c r="AQ31" s="5"/>
      <c r="AR31" s="5">
        <v>155000</v>
      </c>
    </row>
    <row r="32" spans="1:44" x14ac:dyDescent="0.35">
      <c r="C32"/>
      <c r="D32"/>
      <c r="E32"/>
      <c r="F32"/>
      <c r="G32"/>
      <c r="H32"/>
      <c r="I32"/>
      <c r="J32"/>
      <c r="K32"/>
      <c r="L32"/>
      <c r="M32"/>
      <c r="Z32" s="2" t="s">
        <v>73</v>
      </c>
      <c r="AA32" s="2" t="s">
        <v>98</v>
      </c>
      <c r="AB32" s="5">
        <v>73500</v>
      </c>
      <c r="AC32" s="5">
        <v>38500</v>
      </c>
      <c r="AD32" s="5">
        <v>53538</v>
      </c>
      <c r="AE32" s="5">
        <v>17474</v>
      </c>
      <c r="AF32" s="5">
        <v>102518</v>
      </c>
      <c r="AG32" s="5">
        <v>3500</v>
      </c>
      <c r="AH32" s="5">
        <v>130000</v>
      </c>
      <c r="AI32" s="5">
        <v>7000</v>
      </c>
      <c r="AJ32" s="5">
        <v>133675</v>
      </c>
      <c r="AK32" s="5"/>
      <c r="AL32" s="5">
        <v>11720</v>
      </c>
      <c r="AM32" s="5">
        <v>41745.49</v>
      </c>
      <c r="AN32" s="5">
        <v>63647.21</v>
      </c>
      <c r="AO32" s="5">
        <v>12072.79</v>
      </c>
      <c r="AP32" s="5">
        <v>6432</v>
      </c>
      <c r="AQ32" s="5">
        <v>6432</v>
      </c>
      <c r="AR32" s="5">
        <v>701754.49</v>
      </c>
    </row>
    <row r="33" spans="3:44" x14ac:dyDescent="0.35">
      <c r="C33"/>
      <c r="D33"/>
      <c r="E33"/>
      <c r="F33"/>
      <c r="G33"/>
      <c r="H33"/>
      <c r="I33"/>
      <c r="J33"/>
      <c r="K33"/>
      <c r="L33"/>
      <c r="M33"/>
      <c r="Z33" s="2" t="s">
        <v>129</v>
      </c>
      <c r="AA33" s="2" t="s">
        <v>130</v>
      </c>
      <c r="AB33" s="5"/>
      <c r="AC33" s="5">
        <v>0</v>
      </c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>
        <v>0</v>
      </c>
    </row>
    <row r="34" spans="3:44" x14ac:dyDescent="0.35">
      <c r="C34"/>
      <c r="D34"/>
      <c r="E34"/>
      <c r="F34"/>
      <c r="G34"/>
      <c r="H34"/>
      <c r="I34"/>
      <c r="J34"/>
      <c r="K34"/>
      <c r="L34"/>
      <c r="M34"/>
      <c r="Z34" s="2" t="s">
        <v>76</v>
      </c>
      <c r="AA34" s="2" t="s">
        <v>100</v>
      </c>
      <c r="AB34" s="5"/>
      <c r="AC34" s="5"/>
      <c r="AD34" s="5">
        <v>0</v>
      </c>
      <c r="AE34" s="5">
        <v>30</v>
      </c>
      <c r="AF34" s="5">
        <v>0</v>
      </c>
      <c r="AG34" s="5">
        <v>0</v>
      </c>
      <c r="AH34" s="5">
        <v>10</v>
      </c>
      <c r="AI34" s="5">
        <v>20</v>
      </c>
      <c r="AJ34" s="5">
        <v>0</v>
      </c>
      <c r="AK34" s="5">
        <v>0</v>
      </c>
      <c r="AL34" s="5">
        <v>20</v>
      </c>
      <c r="AM34" s="5">
        <v>0</v>
      </c>
      <c r="AN34" s="5">
        <v>0</v>
      </c>
      <c r="AO34" s="5">
        <v>17.5</v>
      </c>
      <c r="AP34" s="5">
        <v>20</v>
      </c>
      <c r="AQ34" s="5">
        <v>-40</v>
      </c>
      <c r="AR34" s="5">
        <v>77.5</v>
      </c>
    </row>
    <row r="35" spans="3:44" x14ac:dyDescent="0.35">
      <c r="C35"/>
      <c r="D35"/>
      <c r="E35"/>
      <c r="F35"/>
      <c r="G35"/>
      <c r="H35"/>
      <c r="I35"/>
      <c r="J35"/>
      <c r="K35"/>
      <c r="L35"/>
      <c r="M35"/>
      <c r="Z35" s="2" t="s">
        <v>77</v>
      </c>
      <c r="AA35" s="2" t="s">
        <v>101</v>
      </c>
      <c r="AB35" s="5">
        <v>6842.8000000000011</v>
      </c>
      <c r="AC35" s="5">
        <v>10013.990000000002</v>
      </c>
      <c r="AD35" s="5">
        <v>6942.4199999999983</v>
      </c>
      <c r="AE35" s="5">
        <v>6062.24</v>
      </c>
      <c r="AF35" s="5">
        <v>7841.45</v>
      </c>
      <c r="AG35" s="5">
        <v>12229.429999999997</v>
      </c>
      <c r="AH35" s="5">
        <v>33105.53</v>
      </c>
      <c r="AI35" s="5">
        <v>46112.43</v>
      </c>
      <c r="AJ35" s="5">
        <v>64270.65</v>
      </c>
      <c r="AK35" s="5">
        <v>57078.009999999973</v>
      </c>
      <c r="AL35" s="5">
        <v>27205.69999999999</v>
      </c>
      <c r="AM35" s="5">
        <v>20511.399999999991</v>
      </c>
      <c r="AN35" s="5">
        <v>27660.550000000014</v>
      </c>
      <c r="AO35" s="5">
        <v>30280.100000000006</v>
      </c>
      <c r="AP35" s="5">
        <v>63174.610000000008</v>
      </c>
      <c r="AQ35" s="5">
        <v>59341.619999999988</v>
      </c>
      <c r="AR35" s="5">
        <v>478672.92999999982</v>
      </c>
    </row>
    <row r="36" spans="3:44" x14ac:dyDescent="0.35">
      <c r="C36"/>
      <c r="D36"/>
      <c r="E36"/>
      <c r="F36"/>
      <c r="G36"/>
      <c r="H36"/>
      <c r="I36"/>
      <c r="J36"/>
      <c r="K36"/>
      <c r="L36"/>
      <c r="M36"/>
      <c r="Z36" s="2" t="s">
        <v>78</v>
      </c>
      <c r="AA36" s="2" t="s">
        <v>102</v>
      </c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>
        <v>14.82</v>
      </c>
      <c r="AR36" s="5">
        <v>14.82</v>
      </c>
    </row>
    <row r="37" spans="3:44" x14ac:dyDescent="0.35">
      <c r="C37"/>
      <c r="D37"/>
      <c r="E37"/>
      <c r="F37"/>
      <c r="G37"/>
      <c r="H37"/>
      <c r="I37"/>
      <c r="J37"/>
      <c r="K37"/>
      <c r="L37"/>
      <c r="M37"/>
      <c r="Z37" s="2" t="s">
        <v>16</v>
      </c>
      <c r="AB37" s="5">
        <v>775039.30999999994</v>
      </c>
      <c r="AC37" s="5">
        <v>779996.89</v>
      </c>
      <c r="AD37" s="5">
        <v>819550.4700000002</v>
      </c>
      <c r="AE37" s="5">
        <v>776353.51</v>
      </c>
      <c r="AF37" s="5">
        <v>873882.05</v>
      </c>
      <c r="AG37" s="5">
        <v>814243.07</v>
      </c>
      <c r="AH37" s="5">
        <v>1014629.4000000001</v>
      </c>
      <c r="AI37" s="5">
        <v>980261.61</v>
      </c>
      <c r="AJ37" s="5">
        <v>1590272.79</v>
      </c>
      <c r="AK37" s="5">
        <v>1572691.14</v>
      </c>
      <c r="AL37" s="5">
        <v>1167814.0900000001</v>
      </c>
      <c r="AM37" s="5">
        <v>1069603.49</v>
      </c>
      <c r="AN37" s="5">
        <v>1077776.5699999998</v>
      </c>
      <c r="AO37" s="5">
        <v>1062587.2599999998</v>
      </c>
      <c r="AP37" s="5">
        <v>1254668.3700000003</v>
      </c>
      <c r="AQ37" s="5">
        <v>1125420.8700000001</v>
      </c>
      <c r="AR37" s="5">
        <v>16754790.890000001</v>
      </c>
    </row>
    <row r="38" spans="3:44" x14ac:dyDescent="0.35">
      <c r="C38"/>
      <c r="D38"/>
      <c r="E38"/>
      <c r="F38"/>
      <c r="G38"/>
      <c r="H38"/>
      <c r="I38"/>
      <c r="J38"/>
      <c r="K38"/>
      <c r="L38"/>
      <c r="M38"/>
    </row>
    <row r="39" spans="3:44" x14ac:dyDescent="0.35">
      <c r="C39"/>
      <c r="D39"/>
      <c r="E39"/>
      <c r="F39"/>
      <c r="G39"/>
      <c r="H39"/>
      <c r="I39"/>
      <c r="J39"/>
      <c r="K39"/>
      <c r="L39"/>
      <c r="M39"/>
    </row>
    <row r="40" spans="3:44" x14ac:dyDescent="0.35">
      <c r="C40"/>
      <c r="D40"/>
      <c r="E40"/>
      <c r="F40"/>
      <c r="G40"/>
      <c r="H40"/>
      <c r="I40"/>
      <c r="J40"/>
      <c r="K40"/>
      <c r="L40"/>
      <c r="M40"/>
    </row>
    <row r="41" spans="3:44" x14ac:dyDescent="0.35">
      <c r="C41"/>
      <c r="D41"/>
      <c r="E41"/>
      <c r="F41"/>
      <c r="G41"/>
      <c r="H41"/>
      <c r="I41"/>
      <c r="J41"/>
      <c r="K41"/>
      <c r="L41"/>
      <c r="M41"/>
    </row>
    <row r="42" spans="3:44" x14ac:dyDescent="0.35">
      <c r="C42"/>
      <c r="D42"/>
      <c r="E42"/>
      <c r="F42"/>
      <c r="G42"/>
      <c r="H42"/>
      <c r="I42"/>
      <c r="J42"/>
      <c r="K42"/>
      <c r="L42"/>
      <c r="M42"/>
    </row>
    <row r="43" spans="3:44" x14ac:dyDescent="0.35">
      <c r="C43"/>
      <c r="D43"/>
      <c r="E43"/>
      <c r="F43"/>
      <c r="G43"/>
      <c r="H43"/>
      <c r="I43"/>
      <c r="J43"/>
      <c r="K43"/>
      <c r="L43"/>
      <c r="M43"/>
    </row>
    <row r="44" spans="3:44" x14ac:dyDescent="0.35">
      <c r="C44"/>
      <c r="D44"/>
      <c r="E44"/>
      <c r="F44"/>
      <c r="G44"/>
      <c r="H44"/>
      <c r="I44"/>
      <c r="J44"/>
      <c r="K44"/>
      <c r="L44"/>
      <c r="M44"/>
    </row>
    <row r="45" spans="3:44" x14ac:dyDescent="0.35">
      <c r="C45"/>
      <c r="D45"/>
      <c r="E45"/>
      <c r="F45"/>
      <c r="G45"/>
      <c r="H45"/>
      <c r="I45"/>
      <c r="J45"/>
      <c r="K45"/>
      <c r="L45"/>
      <c r="M45"/>
      <c r="AL45" s="5"/>
    </row>
    <row r="67" spans="1:39" x14ac:dyDescent="0.35">
      <c r="Z67" s="3" t="s">
        <v>1</v>
      </c>
      <c r="AA67" s="4" t="s" vm="9">
        <v>151</v>
      </c>
    </row>
    <row r="68" spans="1:39" x14ac:dyDescent="0.35">
      <c r="A68" s="3" t="s">
        <v>1</v>
      </c>
      <c r="B68" s="4" t="s" vm="10">
        <v>152</v>
      </c>
      <c r="Z68" s="3" t="s">
        <v>2</v>
      </c>
      <c r="AA68" s="4" t="s" vm="3">
        <v>125</v>
      </c>
    </row>
    <row r="69" spans="1:39" x14ac:dyDescent="0.35">
      <c r="A69" s="3" t="s">
        <v>2</v>
      </c>
      <c r="B69" s="4" t="s" vm="3">
        <v>125</v>
      </c>
      <c r="Z69" s="3" t="s">
        <v>3</v>
      </c>
      <c r="AA69" s="4" t="s" vm="1">
        <v>4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9" x14ac:dyDescent="0.35">
      <c r="A70" s="3" t="s">
        <v>3</v>
      </c>
      <c r="B70" s="4" t="s" vm="1">
        <v>4</v>
      </c>
      <c r="Z70" s="1" t="s">
        <v>113</v>
      </c>
      <c r="AA70" t="s" vm="12">
        <v>155</v>
      </c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9" x14ac:dyDescent="0.35">
      <c r="A71" s="1" t="s">
        <v>106</v>
      </c>
      <c r="B71" t="s" vm="2">
        <v>107</v>
      </c>
      <c r="Z71" s="1" t="s">
        <v>110</v>
      </c>
      <c r="AA71" t="s" vm="4">
        <v>133</v>
      </c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9" x14ac:dyDescent="0.35">
      <c r="A72" s="6" t="s">
        <v>113</v>
      </c>
      <c r="B72" s="5" t="s" vm="12">
        <v>155</v>
      </c>
    </row>
    <row r="73" spans="1:39" x14ac:dyDescent="0.35">
      <c r="A73" s="1" t="s">
        <v>110</v>
      </c>
      <c r="B73" t="s" vm="4">
        <v>133</v>
      </c>
      <c r="Z73" s="1" t="s">
        <v>48</v>
      </c>
      <c r="AB73" s="1" t="s">
        <v>5</v>
      </c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</row>
    <row r="74" spans="1:39" x14ac:dyDescent="0.35">
      <c r="C74"/>
      <c r="D74"/>
      <c r="E74"/>
      <c r="F74"/>
      <c r="G74"/>
      <c r="H74"/>
      <c r="I74"/>
      <c r="J74"/>
      <c r="K74"/>
      <c r="L74"/>
      <c r="M74"/>
      <c r="Z74" s="1" t="s">
        <v>17</v>
      </c>
      <c r="AA74" s="1" t="s">
        <v>103</v>
      </c>
      <c r="AB74" t="s">
        <v>112</v>
      </c>
      <c r="AC74" t="s">
        <v>149</v>
      </c>
      <c r="AD74" t="s">
        <v>154</v>
      </c>
      <c r="AE74" t="s">
        <v>157</v>
      </c>
      <c r="AF74" t="s">
        <v>158</v>
      </c>
      <c r="AG74" t="s">
        <v>159</v>
      </c>
      <c r="AH74" t="s">
        <v>160</v>
      </c>
      <c r="AI74" t="s">
        <v>161</v>
      </c>
      <c r="AJ74" t="s">
        <v>162</v>
      </c>
      <c r="AK74" t="s">
        <v>163</v>
      </c>
      <c r="AL74" t="s">
        <v>164</v>
      </c>
      <c r="AM74" s="5" t="s">
        <v>16</v>
      </c>
    </row>
    <row r="75" spans="1:39" x14ac:dyDescent="0.35">
      <c r="A75" s="1" t="s">
        <v>48</v>
      </c>
      <c r="C75" s="1" t="s">
        <v>5</v>
      </c>
      <c r="N75" s="5"/>
      <c r="Z75" s="2" t="s">
        <v>51</v>
      </c>
      <c r="AA75" s="2" t="s">
        <v>79</v>
      </c>
      <c r="AB75" s="5">
        <v>37425.230000000003</v>
      </c>
      <c r="AC75" s="5">
        <v>58238.790000000008</v>
      </c>
      <c r="AD75" s="5">
        <v>47203.659999999996</v>
      </c>
      <c r="AE75" s="5">
        <v>33252.39</v>
      </c>
      <c r="AF75" s="5">
        <v>33296.03</v>
      </c>
      <c r="AG75" s="5">
        <v>35399.19</v>
      </c>
      <c r="AH75" s="5">
        <v>56253.56</v>
      </c>
      <c r="AI75" s="5">
        <v>37502.380000000005</v>
      </c>
      <c r="AJ75" s="5">
        <v>37891.97</v>
      </c>
      <c r="AK75" s="5">
        <v>35264.800000000003</v>
      </c>
      <c r="AL75" s="5">
        <v>32384.87</v>
      </c>
      <c r="AM75" s="5">
        <v>444112.86999999994</v>
      </c>
    </row>
    <row r="76" spans="1:39" x14ac:dyDescent="0.35">
      <c r="A76" s="1" t="s">
        <v>17</v>
      </c>
      <c r="B76" s="1" t="s">
        <v>47</v>
      </c>
      <c r="C76" t="s">
        <v>112</v>
      </c>
      <c r="D76" t="s">
        <v>149</v>
      </c>
      <c r="E76" t="s">
        <v>154</v>
      </c>
      <c r="F76" t="s">
        <v>157</v>
      </c>
      <c r="G76" t="s">
        <v>158</v>
      </c>
      <c r="H76" t="s">
        <v>159</v>
      </c>
      <c r="I76" t="s">
        <v>160</v>
      </c>
      <c r="J76" t="s">
        <v>161</v>
      </c>
      <c r="K76" t="s">
        <v>162</v>
      </c>
      <c r="L76" t="s">
        <v>163</v>
      </c>
      <c r="M76" t="s">
        <v>164</v>
      </c>
      <c r="N76" s="5" t="s">
        <v>16</v>
      </c>
      <c r="Z76" s="2" t="s">
        <v>126</v>
      </c>
      <c r="AA76" s="2" t="s">
        <v>79</v>
      </c>
      <c r="AB76" s="5">
        <v>7032.7999999999993</v>
      </c>
      <c r="AC76" s="5">
        <v>10500.32</v>
      </c>
      <c r="AD76" s="5">
        <v>7196.34</v>
      </c>
      <c r="AE76" s="5">
        <v>7003.99</v>
      </c>
      <c r="AF76" s="5">
        <v>7317.33</v>
      </c>
      <c r="AG76" s="5">
        <v>3700</v>
      </c>
      <c r="AH76" s="5"/>
      <c r="AI76" s="5">
        <v>789.2</v>
      </c>
      <c r="AJ76" s="5">
        <v>6841.52</v>
      </c>
      <c r="AK76" s="5">
        <v>6853.33</v>
      </c>
      <c r="AL76" s="5">
        <v>6936</v>
      </c>
      <c r="AM76" s="5">
        <v>64170.83</v>
      </c>
    </row>
    <row r="77" spans="1:39" x14ac:dyDescent="0.35">
      <c r="A77" s="2" t="s">
        <v>115</v>
      </c>
      <c r="B77" s="2" t="s">
        <v>116</v>
      </c>
      <c r="C77" s="5">
        <v>-16800</v>
      </c>
      <c r="D77" s="5">
        <v>-10080</v>
      </c>
      <c r="E77" s="5">
        <v>-9240</v>
      </c>
      <c r="F77" s="5">
        <v>-9940</v>
      </c>
      <c r="G77" s="5">
        <v>-161980</v>
      </c>
      <c r="H77" s="5">
        <v>-711060</v>
      </c>
      <c r="I77" s="5">
        <v>-158340</v>
      </c>
      <c r="J77" s="5">
        <v>-81200</v>
      </c>
      <c r="K77" s="5">
        <v>-254660</v>
      </c>
      <c r="L77" s="5">
        <v>-36400</v>
      </c>
      <c r="M77" s="5">
        <v>-31500</v>
      </c>
      <c r="N77" s="5">
        <v>-1481200</v>
      </c>
      <c r="Z77" s="2" t="s">
        <v>53</v>
      </c>
      <c r="AA77" s="2" t="s">
        <v>79</v>
      </c>
      <c r="AB77" s="5">
        <v>496.70000000000005</v>
      </c>
      <c r="AC77" s="5">
        <v>1465.8600000000001</v>
      </c>
      <c r="AD77" s="5">
        <v>5470.5099999999993</v>
      </c>
      <c r="AE77" s="5">
        <v>833.74</v>
      </c>
      <c r="AF77" s="5">
        <v>623.19000000000005</v>
      </c>
      <c r="AG77" s="5">
        <v>421.72</v>
      </c>
      <c r="AH77" s="5">
        <v>632.58000000000004</v>
      </c>
      <c r="AI77" s="5">
        <v>421.72</v>
      </c>
      <c r="AJ77" s="5">
        <v>516.20000000000005</v>
      </c>
      <c r="AK77" s="5">
        <v>13901.169999999998</v>
      </c>
      <c r="AL77" s="5">
        <v>432.1</v>
      </c>
      <c r="AM77" s="5">
        <v>25215.489999999998</v>
      </c>
    </row>
    <row r="78" spans="1:39" x14ac:dyDescent="0.35">
      <c r="A78" s="2" t="s">
        <v>18</v>
      </c>
      <c r="B78" s="2" t="s">
        <v>32</v>
      </c>
      <c r="C78" s="5">
        <v>-8320</v>
      </c>
      <c r="D78" s="5">
        <v>-5420</v>
      </c>
      <c r="E78" s="5">
        <v>-4240.0200000000004</v>
      </c>
      <c r="F78" s="5">
        <v>-6970</v>
      </c>
      <c r="G78" s="5">
        <v>-17440</v>
      </c>
      <c r="H78" s="5">
        <v>-35030</v>
      </c>
      <c r="I78" s="5">
        <v>-19980</v>
      </c>
      <c r="J78" s="5">
        <v>-10675</v>
      </c>
      <c r="K78" s="5">
        <v>-12680.01</v>
      </c>
      <c r="L78" s="5">
        <v>-13345</v>
      </c>
      <c r="M78" s="5">
        <v>-10640</v>
      </c>
      <c r="N78" s="5">
        <v>-144740.03000000003</v>
      </c>
      <c r="Z78" s="2" t="s">
        <v>54</v>
      </c>
      <c r="AA78" s="2" t="s">
        <v>79</v>
      </c>
      <c r="AB78" s="5">
        <v>110</v>
      </c>
      <c r="AC78" s="5">
        <v>696.4</v>
      </c>
      <c r="AD78" s="5"/>
      <c r="AE78" s="5"/>
      <c r="AF78" s="5">
        <v>220</v>
      </c>
      <c r="AG78" s="5">
        <v>275</v>
      </c>
      <c r="AH78" s="5"/>
      <c r="AI78" s="5">
        <v>275</v>
      </c>
      <c r="AJ78" s="5">
        <v>385</v>
      </c>
      <c r="AK78" s="5">
        <v>440</v>
      </c>
      <c r="AL78" s="5"/>
      <c r="AM78" s="5">
        <v>2401.4</v>
      </c>
    </row>
    <row r="79" spans="1:39" x14ac:dyDescent="0.35">
      <c r="A79" s="2" t="s">
        <v>138</v>
      </c>
      <c r="B79" s="2" t="s">
        <v>139</v>
      </c>
      <c r="F79" s="5">
        <v>-100</v>
      </c>
      <c r="N79" s="5">
        <v>-100</v>
      </c>
      <c r="Z79" s="2" t="s">
        <v>55</v>
      </c>
      <c r="AA79" s="2" t="s">
        <v>80</v>
      </c>
      <c r="AB79" s="5">
        <v>27152.92</v>
      </c>
      <c r="AC79" s="5">
        <v>24379.54</v>
      </c>
      <c r="AD79" s="5">
        <v>17922.57</v>
      </c>
      <c r="AE79" s="5">
        <v>14623.86</v>
      </c>
      <c r="AF79" s="5">
        <v>14671.7</v>
      </c>
      <c r="AG79" s="5">
        <v>24534.949999999997</v>
      </c>
      <c r="AH79" s="5">
        <v>35972.57</v>
      </c>
      <c r="AI79" s="5">
        <v>24268.97</v>
      </c>
      <c r="AJ79" s="5">
        <v>21007.05</v>
      </c>
      <c r="AK79" s="5">
        <v>31147.43</v>
      </c>
      <c r="AL79" s="5">
        <v>23699.550000000003</v>
      </c>
      <c r="AM79" s="5">
        <v>259381.11</v>
      </c>
    </row>
    <row r="80" spans="1:39" x14ac:dyDescent="0.35">
      <c r="A80" s="2" t="s">
        <v>26</v>
      </c>
      <c r="B80" s="2" t="s">
        <v>41</v>
      </c>
      <c r="C80" s="5">
        <v>-185.12</v>
      </c>
      <c r="N80" s="5">
        <v>-185.12</v>
      </c>
      <c r="Z80" s="2" t="s">
        <v>56</v>
      </c>
      <c r="AA80" s="2" t="s">
        <v>81</v>
      </c>
      <c r="AB80" s="5">
        <v>3049.6</v>
      </c>
      <c r="AC80" s="5">
        <v>6522.76</v>
      </c>
      <c r="AD80" s="5">
        <v>5278.26</v>
      </c>
      <c r="AE80" s="5">
        <v>6142.8200000000006</v>
      </c>
      <c r="AF80" s="5">
        <v>7282.3899999999994</v>
      </c>
      <c r="AG80" s="5">
        <v>4149.7700000000004</v>
      </c>
      <c r="AH80" s="5">
        <v>5860.14</v>
      </c>
      <c r="AI80" s="5">
        <v>6387.4000000000005</v>
      </c>
      <c r="AJ80" s="5">
        <v>5154.9600000000009</v>
      </c>
      <c r="AK80" s="5">
        <v>5294.73</v>
      </c>
      <c r="AL80" s="5">
        <v>7576.1700000000019</v>
      </c>
      <c r="AM80" s="5">
        <v>62699</v>
      </c>
    </row>
    <row r="81" spans="1:39" x14ac:dyDescent="0.35">
      <c r="A81" s="2" t="s">
        <v>28</v>
      </c>
      <c r="B81" s="2" t="s">
        <v>43</v>
      </c>
      <c r="G81" s="5">
        <v>25000</v>
      </c>
      <c r="N81" s="5">
        <v>25000</v>
      </c>
      <c r="Z81" s="2" t="s">
        <v>58</v>
      </c>
      <c r="AA81" s="2" t="s">
        <v>83</v>
      </c>
      <c r="AB81" s="5">
        <v>192</v>
      </c>
      <c r="AC81" s="5">
        <v>29.55</v>
      </c>
      <c r="AD81" s="5">
        <v>47.57</v>
      </c>
      <c r="AE81" s="5">
        <v>18.989999999999998</v>
      </c>
      <c r="AF81" s="5">
        <v>25.53</v>
      </c>
      <c r="AG81" s="5"/>
      <c r="AH81" s="5">
        <v>47.27</v>
      </c>
      <c r="AI81" s="5">
        <v>503.44</v>
      </c>
      <c r="AJ81" s="5">
        <v>200.56</v>
      </c>
      <c r="AK81" s="5">
        <v>11.3</v>
      </c>
      <c r="AL81" s="5">
        <v>30.86</v>
      </c>
      <c r="AM81" s="5">
        <v>1107.0699999999997</v>
      </c>
    </row>
    <row r="82" spans="1:39" x14ac:dyDescent="0.35">
      <c r="A82" s="2" t="s">
        <v>29</v>
      </c>
      <c r="B82" s="2" t="s">
        <v>44</v>
      </c>
      <c r="C82" s="5">
        <v>15730.41</v>
      </c>
      <c r="D82" s="5">
        <v>13018.08</v>
      </c>
      <c r="E82" s="5">
        <v>16100.34</v>
      </c>
      <c r="F82" s="5">
        <v>20603.2</v>
      </c>
      <c r="G82" s="5">
        <v>9994.69</v>
      </c>
      <c r="H82" s="5">
        <v>8568.9699999999993</v>
      </c>
      <c r="I82" s="5">
        <v>12791.71</v>
      </c>
      <c r="J82" s="5">
        <v>15331.84</v>
      </c>
      <c r="K82" s="5">
        <v>14542.34</v>
      </c>
      <c r="L82" s="5">
        <v>16872.11</v>
      </c>
      <c r="M82" s="5">
        <v>14255.55</v>
      </c>
      <c r="N82" s="5">
        <v>157809.24</v>
      </c>
      <c r="Z82" s="2" t="s">
        <v>59</v>
      </c>
      <c r="AA82" s="2" t="s">
        <v>84</v>
      </c>
      <c r="AB82" s="5"/>
      <c r="AC82" s="5"/>
      <c r="AD82" s="5"/>
      <c r="AE82" s="5">
        <v>1644.01</v>
      </c>
      <c r="AF82" s="5">
        <v>828.68000000000029</v>
      </c>
      <c r="AG82" s="5">
        <v>104</v>
      </c>
      <c r="AH82" s="5"/>
      <c r="AI82" s="5">
        <v>-1062.6400000000001</v>
      </c>
      <c r="AJ82" s="5">
        <v>1753.0299999999997</v>
      </c>
      <c r="AK82" s="5"/>
      <c r="AL82" s="5">
        <v>1334.6399999999999</v>
      </c>
      <c r="AM82" s="5">
        <v>4601.7199999999993</v>
      </c>
    </row>
    <row r="83" spans="1:39" x14ac:dyDescent="0.35">
      <c r="A83" s="2" t="s">
        <v>31</v>
      </c>
      <c r="B83" s="2" t="s">
        <v>46</v>
      </c>
      <c r="M83" s="5">
        <v>200000</v>
      </c>
      <c r="N83" s="5">
        <v>200000</v>
      </c>
      <c r="Z83" s="2" t="s">
        <v>62</v>
      </c>
      <c r="AA83" s="2" t="s">
        <v>87</v>
      </c>
      <c r="AB83" s="5"/>
      <c r="AC83" s="5">
        <v>1111.71</v>
      </c>
      <c r="AD83" s="5">
        <v>2869.3</v>
      </c>
      <c r="AE83" s="5">
        <v>194.24</v>
      </c>
      <c r="AF83" s="5">
        <v>70.180000000000007</v>
      </c>
      <c r="AG83" s="5">
        <v>2495.92</v>
      </c>
      <c r="AH83" s="5">
        <v>2544.8000000000002</v>
      </c>
      <c r="AI83" s="5">
        <v>862.23</v>
      </c>
      <c r="AJ83" s="5">
        <v>793.15</v>
      </c>
      <c r="AK83" s="5">
        <v>856.82</v>
      </c>
      <c r="AL83" s="5">
        <v>1196.56</v>
      </c>
      <c r="AM83" s="5">
        <v>12994.91</v>
      </c>
    </row>
    <row r="84" spans="1:39" x14ac:dyDescent="0.35">
      <c r="A84" s="2" t="s">
        <v>16</v>
      </c>
      <c r="C84" s="5">
        <v>-9574.7100000000009</v>
      </c>
      <c r="D84" s="5">
        <v>-2481.92</v>
      </c>
      <c r="E84" s="5">
        <v>2620.3199999999997</v>
      </c>
      <c r="F84" s="5">
        <v>3593.2000000000007</v>
      </c>
      <c r="G84" s="5">
        <v>-144425.31</v>
      </c>
      <c r="H84" s="5">
        <v>-737521.03</v>
      </c>
      <c r="I84" s="5">
        <v>-165528.29</v>
      </c>
      <c r="J84" s="5">
        <v>-76543.16</v>
      </c>
      <c r="K84" s="5">
        <v>-252797.67</v>
      </c>
      <c r="L84" s="5">
        <v>-32872.89</v>
      </c>
      <c r="M84" s="5">
        <v>172115.55</v>
      </c>
      <c r="N84" s="5">
        <v>-1243415.9100000001</v>
      </c>
      <c r="Z84" s="2" t="s">
        <v>64</v>
      </c>
      <c r="AA84" s="2" t="s">
        <v>89</v>
      </c>
      <c r="AB84" s="5"/>
      <c r="AC84" s="5">
        <v>3200</v>
      </c>
      <c r="AD84" s="5"/>
      <c r="AE84" s="5"/>
      <c r="AF84" s="5"/>
      <c r="AG84" s="5"/>
      <c r="AH84" s="5">
        <v>4.6100000000000003</v>
      </c>
      <c r="AI84" s="5">
        <v>159</v>
      </c>
      <c r="AJ84" s="5"/>
      <c r="AK84" s="5"/>
      <c r="AL84" s="5"/>
      <c r="AM84" s="5">
        <v>3363.61</v>
      </c>
    </row>
    <row r="85" spans="1:39" x14ac:dyDescent="0.35">
      <c r="C85"/>
      <c r="D85"/>
      <c r="E85"/>
      <c r="F85"/>
      <c r="G85"/>
      <c r="H85"/>
      <c r="I85"/>
      <c r="J85"/>
      <c r="K85"/>
      <c r="L85"/>
      <c r="M85"/>
      <c r="Z85" s="2" t="s">
        <v>65</v>
      </c>
      <c r="AA85" s="2" t="s">
        <v>90</v>
      </c>
      <c r="AB85" s="5">
        <v>671.83</v>
      </c>
      <c r="AC85" s="5">
        <v>900.44</v>
      </c>
      <c r="AD85" s="5">
        <v>793.0200000000001</v>
      </c>
      <c r="AE85" s="5">
        <v>306.18</v>
      </c>
      <c r="AF85" s="5">
        <v>1199.0099999999998</v>
      </c>
      <c r="AG85" s="5">
        <v>3239.2500000000005</v>
      </c>
      <c r="AH85" s="5">
        <v>423.54000000000008</v>
      </c>
      <c r="AI85" s="5">
        <v>15807.339999999998</v>
      </c>
      <c r="AJ85" s="5">
        <v>4195.51</v>
      </c>
      <c r="AK85" s="5">
        <v>1040.5</v>
      </c>
      <c r="AL85" s="5">
        <v>17579.599999999999</v>
      </c>
      <c r="AM85" s="5">
        <v>46156.219999999994</v>
      </c>
    </row>
    <row r="86" spans="1:39" x14ac:dyDescent="0.35">
      <c r="C86"/>
      <c r="D86"/>
      <c r="E86"/>
      <c r="F86"/>
      <c r="G86"/>
      <c r="H86"/>
      <c r="I86"/>
      <c r="J86"/>
      <c r="K86"/>
      <c r="L86"/>
      <c r="M86"/>
      <c r="Z86" s="2" t="s">
        <v>66</v>
      </c>
      <c r="AA86" s="2" t="s">
        <v>91</v>
      </c>
      <c r="AB86" s="5"/>
      <c r="AC86" s="5"/>
      <c r="AD86" s="5"/>
      <c r="AE86" s="5"/>
      <c r="AF86" s="5">
        <v>131.34</v>
      </c>
      <c r="AG86" s="5">
        <v>0</v>
      </c>
      <c r="AH86" s="5"/>
      <c r="AI86" s="5"/>
      <c r="AJ86" s="5"/>
      <c r="AK86" s="5"/>
      <c r="AL86" s="5"/>
      <c r="AM86" s="5">
        <v>131.34</v>
      </c>
    </row>
    <row r="87" spans="1:39" x14ac:dyDescent="0.35">
      <c r="C87"/>
      <c r="D87"/>
      <c r="E87"/>
      <c r="F87"/>
      <c r="G87"/>
      <c r="H87"/>
      <c r="I87"/>
      <c r="J87"/>
      <c r="K87"/>
      <c r="L87"/>
      <c r="M87"/>
      <c r="Z87" s="2" t="s">
        <v>67</v>
      </c>
      <c r="AA87" s="2" t="s">
        <v>92</v>
      </c>
      <c r="AB87" s="5"/>
      <c r="AC87" s="5"/>
      <c r="AD87" s="5"/>
      <c r="AE87" s="5"/>
      <c r="AF87" s="5">
        <v>59.87</v>
      </c>
      <c r="AG87" s="5"/>
      <c r="AH87" s="5"/>
      <c r="AI87" s="5"/>
      <c r="AJ87" s="5"/>
      <c r="AK87" s="5">
        <v>36.36</v>
      </c>
      <c r="AL87" s="5">
        <v>37.520000000000003</v>
      </c>
      <c r="AM87" s="5">
        <v>133.75</v>
      </c>
    </row>
    <row r="88" spans="1:39" x14ac:dyDescent="0.35">
      <c r="C88"/>
      <c r="D88"/>
      <c r="E88"/>
      <c r="F88"/>
      <c r="G88"/>
      <c r="H88"/>
      <c r="I88"/>
      <c r="J88"/>
      <c r="K88"/>
      <c r="L88"/>
      <c r="M88"/>
      <c r="Z88" s="2" t="s">
        <v>68</v>
      </c>
      <c r="AA88" s="2" t="s">
        <v>93</v>
      </c>
      <c r="AB88" s="5">
        <v>10435.49</v>
      </c>
      <c r="AC88" s="5"/>
      <c r="AD88" s="5">
        <v>49934.18</v>
      </c>
      <c r="AE88" s="5"/>
      <c r="AF88" s="5">
        <v>-9014.5099999999984</v>
      </c>
      <c r="AG88" s="5">
        <v>10520.949999999999</v>
      </c>
      <c r="AH88" s="5"/>
      <c r="AI88" s="5">
        <v>10435.49</v>
      </c>
      <c r="AJ88" s="5">
        <v>33332.050000000003</v>
      </c>
      <c r="AK88" s="5"/>
      <c r="AL88" s="5">
        <v>20501.27</v>
      </c>
      <c r="AM88" s="5">
        <v>126144.92000000001</v>
      </c>
    </row>
    <row r="89" spans="1:39" x14ac:dyDescent="0.35">
      <c r="C89"/>
      <c r="D89"/>
      <c r="E89"/>
      <c r="F89"/>
      <c r="G89"/>
      <c r="H89"/>
      <c r="I89"/>
      <c r="J89"/>
      <c r="K89"/>
      <c r="L89"/>
      <c r="M89"/>
      <c r="Z89" s="2" t="s">
        <v>70</v>
      </c>
      <c r="AA89" s="2" t="s">
        <v>142</v>
      </c>
      <c r="AB89" s="5">
        <v>220.62</v>
      </c>
      <c r="AC89" s="5">
        <v>243.27000000000004</v>
      </c>
      <c r="AD89" s="5">
        <v>523.86</v>
      </c>
      <c r="AE89" s="5">
        <v>245.79999999999998</v>
      </c>
      <c r="AF89" s="5">
        <v>219.88</v>
      </c>
      <c r="AG89" s="5">
        <v>416.32000000000005</v>
      </c>
      <c r="AH89" s="5">
        <v>329.51</v>
      </c>
      <c r="AI89" s="5">
        <v>110.08</v>
      </c>
      <c r="AJ89" s="5">
        <v>355.31</v>
      </c>
      <c r="AK89" s="5">
        <v>135.52000000000001</v>
      </c>
      <c r="AL89" s="5">
        <v>718.33</v>
      </c>
      <c r="AM89" s="5">
        <v>3518.5</v>
      </c>
    </row>
    <row r="90" spans="1:39" x14ac:dyDescent="0.35">
      <c r="C90"/>
      <c r="D90"/>
      <c r="E90"/>
      <c r="F90"/>
      <c r="G90"/>
      <c r="H90"/>
      <c r="I90"/>
      <c r="J90"/>
      <c r="K90"/>
      <c r="L90"/>
      <c r="M90"/>
      <c r="Z90" s="2" t="s">
        <v>71</v>
      </c>
      <c r="AA90" s="2" t="s">
        <v>96</v>
      </c>
      <c r="AB90" s="5"/>
      <c r="AC90" s="5">
        <v>46.980000000000004</v>
      </c>
      <c r="AD90" s="5">
        <v>115.39999999999999</v>
      </c>
      <c r="AE90" s="5">
        <v>2365.23</v>
      </c>
      <c r="AF90" s="5">
        <v>195.85</v>
      </c>
      <c r="AG90" s="5">
        <v>20.97</v>
      </c>
      <c r="AH90" s="5">
        <v>143.66999999999999</v>
      </c>
      <c r="AI90" s="5">
        <v>489.3</v>
      </c>
      <c r="AJ90" s="5">
        <v>54.41</v>
      </c>
      <c r="AK90" s="5">
        <v>55.01</v>
      </c>
      <c r="AL90" s="5">
        <v>52.87</v>
      </c>
      <c r="AM90" s="5">
        <v>3539.69</v>
      </c>
    </row>
    <row r="91" spans="1:39" x14ac:dyDescent="0.35">
      <c r="C91"/>
      <c r="D91"/>
      <c r="E91"/>
      <c r="F91"/>
      <c r="G91"/>
      <c r="H91"/>
      <c r="I91"/>
      <c r="J91"/>
      <c r="K91"/>
      <c r="L91"/>
      <c r="M91"/>
      <c r="Z91" s="2" t="s">
        <v>73</v>
      </c>
      <c r="AA91" s="2" t="s">
        <v>98</v>
      </c>
      <c r="AB91" s="5"/>
      <c r="AC91" s="5"/>
      <c r="AD91" s="5"/>
      <c r="AE91" s="5"/>
      <c r="AF91" s="5"/>
      <c r="AG91" s="5"/>
      <c r="AH91" s="5"/>
      <c r="AI91" s="5"/>
      <c r="AJ91" s="5">
        <v>6432</v>
      </c>
      <c r="AK91" s="5"/>
      <c r="AL91" s="5"/>
      <c r="AM91" s="5">
        <v>6432</v>
      </c>
    </row>
    <row r="92" spans="1:39" x14ac:dyDescent="0.35">
      <c r="C92"/>
      <c r="D92"/>
      <c r="E92"/>
      <c r="F92"/>
      <c r="G92"/>
      <c r="H92"/>
      <c r="I92"/>
      <c r="J92"/>
      <c r="K92"/>
      <c r="L92"/>
      <c r="M92"/>
      <c r="Z92" s="2" t="s">
        <v>76</v>
      </c>
      <c r="AA92" s="2" t="s">
        <v>100</v>
      </c>
      <c r="AB92" s="5"/>
      <c r="AC92" s="5">
        <v>-20</v>
      </c>
      <c r="AD92" s="5"/>
      <c r="AE92" s="5"/>
      <c r="AF92" s="5">
        <v>-20</v>
      </c>
      <c r="AG92" s="5">
        <v>0</v>
      </c>
      <c r="AH92" s="5"/>
      <c r="AI92" s="5"/>
      <c r="AJ92" s="5">
        <v>0</v>
      </c>
      <c r="AK92" s="5"/>
      <c r="AL92" s="5"/>
      <c r="AM92" s="5">
        <v>-40</v>
      </c>
    </row>
    <row r="93" spans="1:39" x14ac:dyDescent="0.35">
      <c r="C93"/>
      <c r="D93"/>
      <c r="E93"/>
      <c r="F93"/>
      <c r="G93"/>
      <c r="H93"/>
      <c r="I93"/>
      <c r="J93"/>
      <c r="K93"/>
      <c r="L93"/>
      <c r="M93"/>
      <c r="Z93" s="2" t="s">
        <v>77</v>
      </c>
      <c r="AA93" s="2" t="s">
        <v>101</v>
      </c>
      <c r="AB93" s="5">
        <v>5437.24</v>
      </c>
      <c r="AC93" s="5">
        <v>6724.58</v>
      </c>
      <c r="AD93" s="5">
        <v>8605.2800000000007</v>
      </c>
      <c r="AE93" s="5">
        <v>4174.4399999999996</v>
      </c>
      <c r="AF93" s="5">
        <v>3578.99</v>
      </c>
      <c r="AG93" s="5">
        <v>5342.69</v>
      </c>
      <c r="AH93" s="5">
        <v>6403.58</v>
      </c>
      <c r="AI93" s="5">
        <v>6073.86</v>
      </c>
      <c r="AJ93" s="5">
        <v>7046.8899999999994</v>
      </c>
      <c r="AK93" s="5">
        <v>5954.07</v>
      </c>
      <c r="AL93" s="5"/>
      <c r="AM93" s="5">
        <v>59341.62</v>
      </c>
    </row>
    <row r="94" spans="1:39" x14ac:dyDescent="0.35">
      <c r="C94"/>
      <c r="D94"/>
      <c r="E94"/>
      <c r="F94"/>
      <c r="G94"/>
      <c r="H94"/>
      <c r="I94"/>
      <c r="J94"/>
      <c r="K94"/>
      <c r="L94"/>
      <c r="M94"/>
      <c r="Z94" s="2" t="s">
        <v>78</v>
      </c>
      <c r="AA94" s="2" t="s">
        <v>102</v>
      </c>
      <c r="AB94" s="5"/>
      <c r="AC94" s="5"/>
      <c r="AD94" s="5"/>
      <c r="AE94" s="5"/>
      <c r="AF94" s="5"/>
      <c r="AG94" s="5">
        <v>14.82</v>
      </c>
      <c r="AH94" s="5"/>
      <c r="AI94" s="5"/>
      <c r="AJ94" s="5"/>
      <c r="AK94" s="5"/>
      <c r="AL94" s="5"/>
      <c r="AM94" s="5">
        <v>14.82</v>
      </c>
    </row>
    <row r="95" spans="1:39" x14ac:dyDescent="0.35">
      <c r="C95"/>
      <c r="D95"/>
      <c r="E95"/>
      <c r="F95"/>
      <c r="G95"/>
      <c r="H95"/>
      <c r="I95"/>
      <c r="J95"/>
      <c r="K95"/>
      <c r="L95"/>
      <c r="M95"/>
      <c r="Z95" s="2" t="s">
        <v>16</v>
      </c>
      <c r="AB95" s="5">
        <v>92224.430000000008</v>
      </c>
      <c r="AC95" s="5">
        <v>114040.20000000001</v>
      </c>
      <c r="AD95" s="5">
        <v>145959.95000000001</v>
      </c>
      <c r="AE95" s="5">
        <v>70805.69</v>
      </c>
      <c r="AF95" s="5">
        <v>60685.46</v>
      </c>
      <c r="AG95" s="5">
        <v>90635.55</v>
      </c>
      <c r="AH95" s="5">
        <v>108615.83</v>
      </c>
      <c r="AI95" s="5">
        <v>103022.77</v>
      </c>
      <c r="AJ95" s="5">
        <v>125959.61</v>
      </c>
      <c r="AK95" s="5">
        <v>100991.03999999999</v>
      </c>
      <c r="AL95" s="5">
        <v>112480.34000000001</v>
      </c>
      <c r="AM95" s="5">
        <v>1125420.8700000006</v>
      </c>
    </row>
    <row r="96" spans="1:39" x14ac:dyDescent="0.35">
      <c r="C96"/>
      <c r="D96"/>
      <c r="E96"/>
      <c r="F96"/>
      <c r="G96"/>
      <c r="H96"/>
      <c r="I96"/>
      <c r="J96"/>
      <c r="K96"/>
      <c r="L96"/>
      <c r="M96"/>
    </row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AG114"/>
  <sheetViews>
    <sheetView topLeftCell="A49" zoomScale="80" zoomScaleNormal="80" workbookViewId="0">
      <selection activeCell="N14" sqref="N14"/>
    </sheetView>
  </sheetViews>
  <sheetFormatPr defaultRowHeight="14.5" x14ac:dyDescent="0.35"/>
  <cols>
    <col min="1" max="1" width="17.7265625" bestFit="1" customWidth="1"/>
    <col min="2" max="2" width="20.1796875" bestFit="1" customWidth="1"/>
    <col min="3" max="3" width="16.7265625" style="5" bestFit="1" customWidth="1"/>
    <col min="4" max="4" width="10.81640625" style="5" bestFit="1" customWidth="1"/>
    <col min="5" max="6" width="9.26953125" style="5" bestFit="1" customWidth="1"/>
    <col min="7" max="9" width="12" style="5" bestFit="1" customWidth="1"/>
    <col min="10" max="10" width="7" style="5" bestFit="1" customWidth="1"/>
    <col min="11" max="11" width="13" style="5" bestFit="1" customWidth="1"/>
    <col min="12" max="12" width="10.453125" style="5" bestFit="1" customWidth="1"/>
    <col min="13" max="17" width="11.453125" style="5" bestFit="1" customWidth="1"/>
    <col min="18" max="18" width="12.453125" bestFit="1" customWidth="1"/>
    <col min="19" max="19" width="11.453125" customWidth="1"/>
    <col min="20" max="20" width="11.453125" bestFit="1" customWidth="1"/>
    <col min="21" max="21" width="17.7265625" bestFit="1" customWidth="1"/>
    <col min="22" max="23" width="16.7265625" bestFit="1" customWidth="1"/>
    <col min="24" max="24" width="10.1796875" bestFit="1" customWidth="1"/>
    <col min="25" max="25" width="7.453125" bestFit="1" customWidth="1"/>
    <col min="26" max="26" width="10.1796875" bestFit="1" customWidth="1"/>
    <col min="27" max="28" width="11.26953125" bestFit="1" customWidth="1"/>
    <col min="29" max="29" width="10.81640625" bestFit="1" customWidth="1"/>
    <col min="30" max="30" width="13" bestFit="1" customWidth="1"/>
    <col min="31" max="32" width="10.453125" bestFit="1" customWidth="1"/>
    <col min="33" max="37" width="11.453125" bestFit="1" customWidth="1"/>
    <col min="38" max="38" width="12.453125" bestFit="1" customWidth="1"/>
    <col min="39" max="43" width="10.54296875" customWidth="1"/>
    <col min="44" max="44" width="10.54296875" bestFit="1" customWidth="1"/>
    <col min="45" max="45" width="10.54296875" customWidth="1"/>
    <col min="46" max="46" width="10.54296875" bestFit="1" customWidth="1"/>
    <col min="47" max="48" width="11.54296875" bestFit="1" customWidth="1"/>
    <col min="49" max="49" width="10.54296875" customWidth="1"/>
    <col min="50" max="50" width="10.54296875" bestFit="1" customWidth="1"/>
    <col min="51" max="57" width="10.54296875" customWidth="1"/>
    <col min="58" max="58" width="11.453125" customWidth="1"/>
    <col min="59" max="60" width="10.54296875" customWidth="1"/>
    <col min="61" max="61" width="11.54296875" bestFit="1" customWidth="1"/>
    <col min="62" max="62" width="10.54296875" customWidth="1"/>
    <col min="63" max="63" width="11.54296875" bestFit="1" customWidth="1"/>
    <col min="64" max="64" width="10.54296875" customWidth="1"/>
    <col min="65" max="65" width="10.54296875" bestFit="1" customWidth="1"/>
    <col min="66" max="68" width="10.54296875" customWidth="1"/>
    <col min="69" max="69" width="11.54296875" bestFit="1" customWidth="1"/>
    <col min="70" max="73" width="10.54296875" customWidth="1"/>
    <col min="74" max="75" width="5.1796875" customWidth="1"/>
    <col min="76" max="76" width="11.54296875" bestFit="1" customWidth="1"/>
    <col min="77" max="86" width="10.54296875" customWidth="1"/>
    <col min="87" max="87" width="10.453125" customWidth="1"/>
    <col min="88" max="88" width="10.54296875" customWidth="1"/>
    <col min="89" max="89" width="11.54296875" bestFit="1" customWidth="1"/>
    <col min="90" max="93" width="10.54296875" customWidth="1"/>
    <col min="94" max="94" width="11.54296875" bestFit="1" customWidth="1"/>
    <col min="95" max="95" width="10.54296875" bestFit="1" customWidth="1"/>
    <col min="96" max="101" width="10.54296875" customWidth="1"/>
    <col min="102" max="103" width="5.1796875" customWidth="1"/>
    <col min="104" max="104" width="11.54296875" bestFit="1" customWidth="1"/>
    <col min="105" max="106" width="10.54296875" customWidth="1"/>
    <col min="107" max="107" width="10.54296875" bestFit="1" customWidth="1"/>
    <col min="108" max="113" width="10.54296875" customWidth="1"/>
    <col min="114" max="114" width="10.54296875" bestFit="1" customWidth="1"/>
    <col min="115" max="116" width="10.54296875" customWidth="1"/>
    <col min="117" max="118" width="5.1796875" customWidth="1"/>
    <col min="119" max="119" width="11.54296875" bestFit="1" customWidth="1"/>
    <col min="120" max="128" width="10.54296875" customWidth="1"/>
    <col min="129" max="129" width="11.54296875" bestFit="1" customWidth="1"/>
    <col min="130" max="130" width="10.54296875" customWidth="1"/>
    <col min="131" max="131" width="12.453125" bestFit="1" customWidth="1"/>
    <col min="132" max="132" width="11.54296875" customWidth="1"/>
    <col min="133" max="139" width="10.54296875" bestFit="1" customWidth="1"/>
    <col min="140" max="141" width="11.54296875" bestFit="1" customWidth="1"/>
    <col min="142" max="142" width="10.54296875" bestFit="1" customWidth="1"/>
    <col min="143" max="143" width="11.54296875" bestFit="1" customWidth="1"/>
    <col min="144" max="144" width="11.453125" bestFit="1" customWidth="1"/>
    <col min="145" max="145" width="11.54296875" bestFit="1" customWidth="1"/>
    <col min="146" max="152" width="10.54296875" bestFit="1" customWidth="1"/>
    <col min="153" max="153" width="11.54296875" bestFit="1" customWidth="1"/>
    <col min="154" max="154" width="13.453125" bestFit="1" customWidth="1"/>
  </cols>
  <sheetData>
    <row r="1" spans="1:33" x14ac:dyDescent="0.35">
      <c r="A1" s="3" t="s">
        <v>1</v>
      </c>
      <c r="B1" s="4" t="s" vm="10">
        <v>152</v>
      </c>
      <c r="U1" s="3" t="s">
        <v>1</v>
      </c>
      <c r="V1" s="4" t="s" vm="9">
        <v>151</v>
      </c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35">
      <c r="A2" s="3" t="s">
        <v>2</v>
      </c>
      <c r="B2" s="4" t="s" vm="3">
        <v>125</v>
      </c>
      <c r="U2" s="3" t="s">
        <v>2</v>
      </c>
      <c r="V2" s="4" t="s" vm="3">
        <v>125</v>
      </c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x14ac:dyDescent="0.35">
      <c r="A3" s="3" t="s">
        <v>3</v>
      </c>
      <c r="B3" s="4" t="s" vm="1">
        <v>4</v>
      </c>
      <c r="U3" s="3" t="s">
        <v>3</v>
      </c>
      <c r="V3" s="4" t="s" vm="1">
        <v>4</v>
      </c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x14ac:dyDescent="0.35">
      <c r="A4" s="1" t="s">
        <v>106</v>
      </c>
      <c r="B4" t="s" vm="2">
        <v>107</v>
      </c>
      <c r="U4" s="1" t="s">
        <v>110</v>
      </c>
      <c r="V4" t="s" vm="5">
        <v>134</v>
      </c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1:33" x14ac:dyDescent="0.35">
      <c r="A5" s="1" t="s">
        <v>110</v>
      </c>
      <c r="B5" t="s" vm="5">
        <v>134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33" x14ac:dyDescent="0.35"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U6" s="1" t="s">
        <v>48</v>
      </c>
      <c r="W6" s="6" t="s">
        <v>5</v>
      </c>
      <c r="X6" s="5"/>
      <c r="Y6" s="5"/>
      <c r="Z6" s="5"/>
      <c r="AA6" s="5"/>
      <c r="AB6" s="5"/>
      <c r="AC6" s="5"/>
      <c r="AD6" s="5"/>
    </row>
    <row r="7" spans="1:33" x14ac:dyDescent="0.35">
      <c r="A7" s="1" t="s">
        <v>48</v>
      </c>
      <c r="C7" s="6" t="s">
        <v>5</v>
      </c>
      <c r="L7"/>
      <c r="M7"/>
      <c r="N7"/>
      <c r="O7"/>
      <c r="P7"/>
      <c r="Q7"/>
      <c r="U7" s="1" t="s">
        <v>17</v>
      </c>
      <c r="V7" s="1" t="s">
        <v>103</v>
      </c>
      <c r="W7" s="5" t="s">
        <v>6</v>
      </c>
      <c r="X7" s="5" t="s">
        <v>7</v>
      </c>
      <c r="Y7" s="5" t="s">
        <v>13</v>
      </c>
      <c r="Z7" s="5" t="s">
        <v>14</v>
      </c>
      <c r="AA7" s="5" t="s">
        <v>15</v>
      </c>
      <c r="AB7" s="5" t="s">
        <v>137</v>
      </c>
      <c r="AC7" s="5" t="s">
        <v>144</v>
      </c>
      <c r="AD7" s="5" t="s">
        <v>16</v>
      </c>
    </row>
    <row r="8" spans="1:33" x14ac:dyDescent="0.35">
      <c r="A8" s="1" t="s">
        <v>17</v>
      </c>
      <c r="B8" s="1" t="s">
        <v>47</v>
      </c>
      <c r="C8" s="5" t="s">
        <v>6</v>
      </c>
      <c r="D8" s="5" t="s">
        <v>7</v>
      </c>
      <c r="E8" s="5" t="s">
        <v>10</v>
      </c>
      <c r="F8" s="5" t="s">
        <v>14</v>
      </c>
      <c r="G8" s="5" t="s">
        <v>15</v>
      </c>
      <c r="H8" s="5" t="s">
        <v>137</v>
      </c>
      <c r="I8" s="5" t="s">
        <v>144</v>
      </c>
      <c r="J8" s="5" t="s">
        <v>145</v>
      </c>
      <c r="K8" s="5" t="s">
        <v>16</v>
      </c>
      <c r="L8"/>
      <c r="M8"/>
      <c r="N8"/>
      <c r="O8"/>
      <c r="P8"/>
      <c r="Q8"/>
      <c r="U8" s="2" t="s">
        <v>56</v>
      </c>
      <c r="V8" s="2" t="s">
        <v>81</v>
      </c>
      <c r="W8" s="5">
        <v>1350.34</v>
      </c>
      <c r="X8" s="5">
        <v>1189.69</v>
      </c>
      <c r="Y8" s="5"/>
      <c r="Z8" s="5">
        <v>3262.7</v>
      </c>
      <c r="AA8" s="5">
        <v>8578.7800000000007</v>
      </c>
      <c r="AB8" s="5">
        <v>8643.32</v>
      </c>
      <c r="AC8" s="5"/>
      <c r="AD8" s="5">
        <v>23024.83</v>
      </c>
    </row>
    <row r="9" spans="1:33" x14ac:dyDescent="0.35">
      <c r="A9" s="2" t="s">
        <v>119</v>
      </c>
      <c r="B9" s="2" t="s">
        <v>33</v>
      </c>
      <c r="H9" s="5">
        <v>0</v>
      </c>
      <c r="K9" s="5">
        <v>0</v>
      </c>
      <c r="L9"/>
      <c r="M9"/>
      <c r="N9"/>
      <c r="O9"/>
      <c r="P9"/>
      <c r="Q9"/>
      <c r="U9" s="2" t="s">
        <v>58</v>
      </c>
      <c r="V9" s="2" t="s">
        <v>83</v>
      </c>
      <c r="W9" s="5"/>
      <c r="X9" s="5">
        <v>171.30000000000004</v>
      </c>
      <c r="Y9" s="5"/>
      <c r="Z9" s="5"/>
      <c r="AA9" s="5">
        <v>311.8</v>
      </c>
      <c r="AB9" s="5">
        <v>125.01</v>
      </c>
      <c r="AC9" s="5"/>
      <c r="AD9" s="5">
        <v>608.11</v>
      </c>
    </row>
    <row r="10" spans="1:33" x14ac:dyDescent="0.35">
      <c r="A10" s="2" t="s">
        <v>19</v>
      </c>
      <c r="B10" s="2" t="s">
        <v>34</v>
      </c>
      <c r="C10" s="5">
        <v>-3000</v>
      </c>
      <c r="D10" s="5">
        <v>-3000</v>
      </c>
      <c r="F10" s="5">
        <v>-875.15</v>
      </c>
      <c r="G10" s="5">
        <v>-11750.029999999999</v>
      </c>
      <c r="H10" s="5">
        <v>-13192.130000000001</v>
      </c>
      <c r="I10" s="5">
        <v>-14167.689999999999</v>
      </c>
      <c r="K10" s="5">
        <v>-45985</v>
      </c>
      <c r="L10"/>
      <c r="M10"/>
      <c r="N10"/>
      <c r="O10"/>
      <c r="P10"/>
      <c r="Q10"/>
      <c r="U10" s="2" t="s">
        <v>59</v>
      </c>
      <c r="V10" s="2" t="s">
        <v>84</v>
      </c>
      <c r="W10" s="5"/>
      <c r="X10" s="5"/>
      <c r="Y10" s="5"/>
      <c r="Z10" s="5"/>
      <c r="AA10" s="5">
        <v>1389.83</v>
      </c>
      <c r="AB10" s="5"/>
      <c r="AC10" s="5">
        <v>1892.78</v>
      </c>
      <c r="AD10" s="5">
        <v>3282.6099999999997</v>
      </c>
    </row>
    <row r="11" spans="1:33" x14ac:dyDescent="0.35">
      <c r="A11" s="2" t="s">
        <v>25</v>
      </c>
      <c r="B11" s="2" t="s">
        <v>40</v>
      </c>
      <c r="C11" s="5">
        <v>1452.37</v>
      </c>
      <c r="E11" s="5">
        <v>-295.58999999999997</v>
      </c>
      <c r="K11" s="5">
        <v>1156.78</v>
      </c>
      <c r="L11"/>
      <c r="M11"/>
      <c r="N11"/>
      <c r="O11"/>
      <c r="P11"/>
      <c r="Q11"/>
      <c r="U11" s="2" t="s">
        <v>62</v>
      </c>
      <c r="V11" s="2" t="s">
        <v>87</v>
      </c>
      <c r="W11" s="5">
        <v>193.32</v>
      </c>
      <c r="X11" s="5">
        <v>290</v>
      </c>
      <c r="Y11" s="5"/>
      <c r="Z11" s="5"/>
      <c r="AA11" s="5">
        <v>1079</v>
      </c>
      <c r="AB11" s="5">
        <v>737.5</v>
      </c>
      <c r="AC11" s="5"/>
      <c r="AD11" s="5">
        <v>2299.8199999999997</v>
      </c>
    </row>
    <row r="12" spans="1:33" x14ac:dyDescent="0.35">
      <c r="A12" s="2" t="s">
        <v>26</v>
      </c>
      <c r="B12" s="2" t="s">
        <v>41</v>
      </c>
      <c r="E12" s="5">
        <v>-11.24</v>
      </c>
      <c r="K12" s="5">
        <v>-11.24</v>
      </c>
      <c r="L12"/>
      <c r="M12"/>
      <c r="N12"/>
      <c r="O12"/>
      <c r="P12"/>
      <c r="Q12"/>
      <c r="U12" s="2" t="s">
        <v>65</v>
      </c>
      <c r="V12" s="2" t="s">
        <v>90</v>
      </c>
      <c r="W12" s="5">
        <v>0</v>
      </c>
      <c r="X12" s="5"/>
      <c r="Y12" s="5"/>
      <c r="Z12" s="5"/>
      <c r="AA12" s="5">
        <v>13.14</v>
      </c>
      <c r="AB12" s="5"/>
      <c r="AC12" s="5">
        <v>4829.03</v>
      </c>
      <c r="AD12" s="5">
        <v>4842.17</v>
      </c>
    </row>
    <row r="13" spans="1:33" x14ac:dyDescent="0.35">
      <c r="A13" s="2" t="s">
        <v>29</v>
      </c>
      <c r="B13" s="2" t="s">
        <v>44</v>
      </c>
      <c r="C13" s="5">
        <v>0</v>
      </c>
      <c r="D13" s="5">
        <v>295.58999999999997</v>
      </c>
      <c r="F13" s="5">
        <v>96.56</v>
      </c>
      <c r="G13" s="5">
        <v>1365.34</v>
      </c>
      <c r="H13" s="5">
        <v>1615.13</v>
      </c>
      <c r="I13" s="5">
        <v>1503.8500000000001</v>
      </c>
      <c r="J13" s="5">
        <v>3.14</v>
      </c>
      <c r="K13" s="5">
        <v>4879.6100000000006</v>
      </c>
      <c r="L13"/>
      <c r="M13"/>
      <c r="N13"/>
      <c r="O13"/>
      <c r="P13"/>
      <c r="Q13"/>
      <c r="U13" s="2" t="s">
        <v>66</v>
      </c>
      <c r="V13" s="2" t="s">
        <v>91</v>
      </c>
      <c r="W13" s="5"/>
      <c r="X13" s="5">
        <v>1308.5</v>
      </c>
      <c r="Y13" s="5"/>
      <c r="Z13" s="5"/>
      <c r="AA13" s="5"/>
      <c r="AB13" s="5">
        <v>510</v>
      </c>
      <c r="AC13" s="5"/>
      <c r="AD13" s="5">
        <v>1818.5</v>
      </c>
    </row>
    <row r="14" spans="1:33" x14ac:dyDescent="0.35">
      <c r="A14" s="2" t="s">
        <v>16</v>
      </c>
      <c r="C14" s="5">
        <v>-1547.63</v>
      </c>
      <c r="D14" s="5">
        <v>-2704.41</v>
      </c>
      <c r="E14" s="5">
        <v>-306.83</v>
      </c>
      <c r="F14" s="5">
        <v>-778.58999999999992</v>
      </c>
      <c r="G14" s="5">
        <v>-10384.689999999999</v>
      </c>
      <c r="H14" s="5">
        <v>-11577</v>
      </c>
      <c r="I14" s="5">
        <v>-12663.839999999998</v>
      </c>
      <c r="J14" s="5">
        <v>3.14</v>
      </c>
      <c r="K14" s="5">
        <v>-39959.85</v>
      </c>
      <c r="L14"/>
      <c r="M14"/>
      <c r="N14"/>
      <c r="O14"/>
      <c r="P14"/>
      <c r="Q14"/>
      <c r="U14" s="2" t="s">
        <v>67</v>
      </c>
      <c r="V14" s="2" t="s">
        <v>92</v>
      </c>
      <c r="W14" s="5"/>
      <c r="X14" s="5"/>
      <c r="Y14" s="5"/>
      <c r="Z14" s="5"/>
      <c r="AA14" s="5">
        <v>18.27</v>
      </c>
      <c r="AB14" s="5"/>
      <c r="AC14" s="5">
        <v>20.95</v>
      </c>
      <c r="AD14" s="5">
        <v>39.22</v>
      </c>
    </row>
    <row r="15" spans="1:33" x14ac:dyDescent="0.35"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U15" s="2" t="s">
        <v>71</v>
      </c>
      <c r="V15" s="2" t="s">
        <v>96</v>
      </c>
      <c r="W15" s="5"/>
      <c r="X15" s="5"/>
      <c r="Y15" s="5">
        <v>81.38</v>
      </c>
      <c r="Z15" s="5">
        <v>72.31</v>
      </c>
      <c r="AA15" s="5">
        <v>379.47</v>
      </c>
      <c r="AB15" s="5">
        <v>4299.22</v>
      </c>
      <c r="AC15" s="5">
        <v>-1750.79</v>
      </c>
      <c r="AD15" s="5">
        <v>3081.59</v>
      </c>
    </row>
    <row r="16" spans="1:33" x14ac:dyDescent="0.35"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U16" s="2" t="s">
        <v>77</v>
      </c>
      <c r="V16" s="2" t="s">
        <v>101</v>
      </c>
      <c r="W16" s="5">
        <v>15.209999999999999</v>
      </c>
      <c r="X16" s="5">
        <v>40.51</v>
      </c>
      <c r="Y16" s="5">
        <v>4.18</v>
      </c>
      <c r="Z16" s="5">
        <v>159.68000000000004</v>
      </c>
      <c r="AA16" s="5">
        <v>443.27000000000004</v>
      </c>
      <c r="AB16" s="5">
        <v>344.97</v>
      </c>
      <c r="AC16" s="5">
        <v>104.22</v>
      </c>
      <c r="AD16" s="5">
        <v>1112.0400000000002</v>
      </c>
    </row>
    <row r="17" spans="3:30" x14ac:dyDescent="0.35"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U17" s="2" t="s">
        <v>16</v>
      </c>
      <c r="W17" s="5">
        <v>1558.87</v>
      </c>
      <c r="X17" s="5">
        <v>3000</v>
      </c>
      <c r="Y17" s="5">
        <v>85.56</v>
      </c>
      <c r="Z17" s="5">
        <v>3494.6899999999996</v>
      </c>
      <c r="AA17" s="5">
        <v>12213.56</v>
      </c>
      <c r="AB17" s="5">
        <v>14660.02</v>
      </c>
      <c r="AC17" s="5">
        <v>5096.1899999999996</v>
      </c>
      <c r="AD17" s="5">
        <v>40108.89</v>
      </c>
    </row>
    <row r="18" spans="3:30" x14ac:dyDescent="0.35"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3:30" x14ac:dyDescent="0.35"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3:30" x14ac:dyDescent="0.35"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3:30" x14ac:dyDescent="0.35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</row>
    <row r="22" spans="3:30" x14ac:dyDescent="0.35"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</row>
    <row r="23" spans="3:30" x14ac:dyDescent="0.35"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</row>
    <row r="24" spans="3:30" x14ac:dyDescent="0.35"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</row>
    <row r="25" spans="3:30" x14ac:dyDescent="0.35"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</row>
    <row r="26" spans="3:30" x14ac:dyDescent="0.35"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</row>
    <row r="27" spans="3:30" x14ac:dyDescent="0.3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3:30" x14ac:dyDescent="0.35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3:30" x14ac:dyDescent="0.35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</row>
    <row r="30" spans="3:30" x14ac:dyDescent="0.35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</row>
    <row r="31" spans="3:30" x14ac:dyDescent="0.3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3:30" x14ac:dyDescent="0.35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3:33" x14ac:dyDescent="0.35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3:33" x14ac:dyDescent="0.35"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3:33" x14ac:dyDescent="0.3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3:33" x14ac:dyDescent="0.3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3:33" x14ac:dyDescent="0.3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3:33" x14ac:dyDescent="0.3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3:33" x14ac:dyDescent="0.3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3:33" x14ac:dyDescent="0.3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3:33" x14ac:dyDescent="0.3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3:33" x14ac:dyDescent="0.3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3:33" x14ac:dyDescent="0.3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3:33" x14ac:dyDescent="0.3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3:33" x14ac:dyDescent="0.3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AG45" s="5"/>
    </row>
    <row r="67" spans="1:33" x14ac:dyDescent="0.35">
      <c r="U67" s="3" t="s">
        <v>1</v>
      </c>
      <c r="V67" s="4" t="s" vm="9">
        <v>151</v>
      </c>
    </row>
    <row r="68" spans="1:33" x14ac:dyDescent="0.35">
      <c r="A68" s="3" t="s">
        <v>1</v>
      </c>
      <c r="B68" s="4" t="s" vm="10">
        <v>152</v>
      </c>
      <c r="U68" s="3" t="s">
        <v>2</v>
      </c>
      <c r="V68" s="4" t="s" vm="3">
        <v>125</v>
      </c>
    </row>
    <row r="69" spans="1:33" x14ac:dyDescent="0.35">
      <c r="A69" s="3" t="s">
        <v>2</v>
      </c>
      <c r="B69" s="4" t="s" vm="3">
        <v>125</v>
      </c>
      <c r="U69" s="3" t="s">
        <v>3</v>
      </c>
      <c r="V69" s="4" t="s" vm="1">
        <v>4</v>
      </c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x14ac:dyDescent="0.35">
      <c r="A70" s="3" t="s">
        <v>3</v>
      </c>
      <c r="B70" s="4" t="s" vm="1">
        <v>4</v>
      </c>
      <c r="U70" s="1" t="s">
        <v>113</v>
      </c>
      <c r="V70" t="s" vm="12">
        <v>155</v>
      </c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x14ac:dyDescent="0.35">
      <c r="A71" s="1" t="s">
        <v>106</v>
      </c>
      <c r="B71" t="s" vm="2">
        <v>107</v>
      </c>
      <c r="U71" s="1" t="s">
        <v>110</v>
      </c>
      <c r="V71" t="s" vm="5">
        <v>134</v>
      </c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x14ac:dyDescent="0.35">
      <c r="A72" s="6" t="s">
        <v>113</v>
      </c>
      <c r="B72" s="5" t="s" vm="12">
        <v>155</v>
      </c>
    </row>
    <row r="73" spans="1:33" x14ac:dyDescent="0.35">
      <c r="A73" s="1" t="s">
        <v>110</v>
      </c>
      <c r="B73" t="s" vm="5">
        <v>134</v>
      </c>
      <c r="U73" s="1" t="s">
        <v>48</v>
      </c>
      <c r="W73" s="1" t="s">
        <v>5</v>
      </c>
    </row>
    <row r="74" spans="1:33" x14ac:dyDescent="0.3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U74" s="1" t="s">
        <v>17</v>
      </c>
      <c r="V74" s="1" t="s">
        <v>103</v>
      </c>
    </row>
    <row r="75" spans="1:33" x14ac:dyDescent="0.35">
      <c r="A75" s="1" t="s">
        <v>48</v>
      </c>
      <c r="C75" s="1" t="s">
        <v>5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1:33" x14ac:dyDescent="0.35">
      <c r="A76" s="1" t="s">
        <v>17</v>
      </c>
      <c r="B76" s="1" t="s">
        <v>47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1:33" x14ac:dyDescent="0.3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1:33" x14ac:dyDescent="0.3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1:33" x14ac:dyDescent="0.3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1:33" x14ac:dyDescent="0.3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59999389629810485"/>
  </sheetPr>
  <dimension ref="A1:AO114"/>
  <sheetViews>
    <sheetView topLeftCell="I37" zoomScale="80" zoomScaleNormal="80" workbookViewId="0">
      <selection activeCell="A10" sqref="A10:B10"/>
    </sheetView>
  </sheetViews>
  <sheetFormatPr defaultRowHeight="14.5" x14ac:dyDescent="0.35"/>
  <cols>
    <col min="1" max="1" width="17.7265625" bestFit="1" customWidth="1"/>
    <col min="2" max="2" width="20.1796875" bestFit="1" customWidth="1"/>
    <col min="3" max="3" width="16.7265625" style="5" bestFit="1" customWidth="1"/>
    <col min="4" max="4" width="8.54296875" style="5" bestFit="1" customWidth="1"/>
    <col min="5" max="5" width="10.1796875" style="5" bestFit="1" customWidth="1"/>
    <col min="6" max="8" width="8.54296875" style="5" bestFit="1" customWidth="1"/>
    <col min="9" max="13" width="10.1796875" style="5" bestFit="1" customWidth="1"/>
    <col min="14" max="14" width="13" bestFit="1" customWidth="1"/>
    <col min="15" max="16" width="11.26953125" bestFit="1" customWidth="1"/>
    <col min="17" max="17" width="10.1796875" bestFit="1" customWidth="1"/>
    <col min="18" max="18" width="11.26953125" bestFit="1" customWidth="1"/>
    <col min="19" max="19" width="13" bestFit="1" customWidth="1"/>
    <col min="20" max="22" width="13" customWidth="1"/>
    <col min="23" max="23" width="17.7265625" bestFit="1" customWidth="1"/>
    <col min="24" max="24" width="22.1796875" bestFit="1" customWidth="1"/>
    <col min="25" max="25" width="16.7265625" bestFit="1" customWidth="1"/>
    <col min="26" max="26" width="11.26953125" bestFit="1" customWidth="1"/>
    <col min="27" max="30" width="10.1796875" bestFit="1" customWidth="1"/>
    <col min="31" max="31" width="11.26953125" bestFit="1" customWidth="1"/>
    <col min="32" max="35" width="10.1796875" bestFit="1" customWidth="1"/>
    <col min="36" max="36" width="13" bestFit="1" customWidth="1"/>
    <col min="37" max="38" width="12.26953125" bestFit="1" customWidth="1"/>
    <col min="39" max="40" width="11.26953125" bestFit="1" customWidth="1"/>
    <col min="41" max="41" width="13.81640625" bestFit="1" customWidth="1"/>
    <col min="42" max="45" width="10.54296875" customWidth="1"/>
    <col min="46" max="46" width="10.54296875" bestFit="1" customWidth="1"/>
    <col min="47" max="47" width="10.54296875" customWidth="1"/>
    <col min="48" max="48" width="10.54296875" bestFit="1" customWidth="1"/>
    <col min="49" max="50" width="11.54296875" bestFit="1" customWidth="1"/>
    <col min="51" max="51" width="10.54296875" customWidth="1"/>
    <col min="52" max="52" width="10.54296875" bestFit="1" customWidth="1"/>
    <col min="53" max="59" width="10.54296875" customWidth="1"/>
    <col min="60" max="60" width="11.453125" customWidth="1"/>
    <col min="61" max="62" width="10.54296875" customWidth="1"/>
    <col min="63" max="63" width="11.54296875" bestFit="1" customWidth="1"/>
    <col min="64" max="64" width="10.54296875" customWidth="1"/>
    <col min="65" max="65" width="11.54296875" bestFit="1" customWidth="1"/>
    <col min="66" max="66" width="10.54296875" customWidth="1"/>
    <col min="67" max="67" width="10.54296875" bestFit="1" customWidth="1"/>
    <col min="68" max="70" width="10.54296875" customWidth="1"/>
    <col min="71" max="71" width="11.54296875" bestFit="1" customWidth="1"/>
    <col min="72" max="75" width="10.54296875" customWidth="1"/>
    <col min="76" max="77" width="5.1796875" customWidth="1"/>
    <col min="78" max="78" width="11.54296875" bestFit="1" customWidth="1"/>
    <col min="79" max="88" width="10.54296875" customWidth="1"/>
    <col min="89" max="89" width="10.453125" customWidth="1"/>
    <col min="90" max="90" width="10.54296875" customWidth="1"/>
    <col min="91" max="91" width="11.54296875" bestFit="1" customWidth="1"/>
    <col min="92" max="95" width="10.54296875" customWidth="1"/>
    <col min="96" max="96" width="11.54296875" bestFit="1" customWidth="1"/>
    <col min="97" max="97" width="10.54296875" bestFit="1" customWidth="1"/>
    <col min="98" max="103" width="10.54296875" customWidth="1"/>
    <col min="104" max="105" width="5.1796875" customWidth="1"/>
    <col min="106" max="106" width="11.54296875" bestFit="1" customWidth="1"/>
    <col min="107" max="108" width="10.54296875" customWidth="1"/>
    <col min="109" max="109" width="10.54296875" bestFit="1" customWidth="1"/>
    <col min="110" max="115" width="10.54296875" customWidth="1"/>
    <col min="116" max="116" width="10.54296875" bestFit="1" customWidth="1"/>
    <col min="117" max="118" width="10.54296875" customWidth="1"/>
    <col min="119" max="120" width="5.1796875" customWidth="1"/>
    <col min="121" max="121" width="11.54296875" bestFit="1" customWidth="1"/>
    <col min="122" max="130" width="10.54296875" customWidth="1"/>
    <col min="131" max="131" width="11.54296875" bestFit="1" customWidth="1"/>
    <col min="132" max="132" width="10.54296875" customWidth="1"/>
    <col min="133" max="133" width="12.453125" bestFit="1" customWidth="1"/>
    <col min="134" max="134" width="11.54296875" customWidth="1"/>
    <col min="135" max="141" width="10.54296875" bestFit="1" customWidth="1"/>
    <col min="142" max="143" width="11.54296875" bestFit="1" customWidth="1"/>
    <col min="144" max="144" width="10.54296875" bestFit="1" customWidth="1"/>
    <col min="145" max="145" width="11.54296875" bestFit="1" customWidth="1"/>
    <col min="146" max="146" width="11.453125" bestFit="1" customWidth="1"/>
    <col min="147" max="147" width="11.54296875" bestFit="1" customWidth="1"/>
    <col min="148" max="154" width="10.54296875" bestFit="1" customWidth="1"/>
    <col min="155" max="155" width="11.54296875" bestFit="1" customWidth="1"/>
    <col min="156" max="156" width="13.453125" bestFit="1" customWidth="1"/>
  </cols>
  <sheetData>
    <row r="1" spans="1:41" x14ac:dyDescent="0.35">
      <c r="A1" s="3" t="s">
        <v>1</v>
      </c>
      <c r="B1" s="4" t="s" vm="10">
        <v>152</v>
      </c>
      <c r="W1" s="3" t="s">
        <v>1</v>
      </c>
      <c r="X1" s="4" t="s" vm="9">
        <v>151</v>
      </c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41" x14ac:dyDescent="0.35">
      <c r="A2" s="3" t="s">
        <v>2</v>
      </c>
      <c r="B2" s="4" t="s" vm="3">
        <v>125</v>
      </c>
      <c r="W2" s="3" t="s">
        <v>2</v>
      </c>
      <c r="X2" s="4" t="s" vm="3">
        <v>125</v>
      </c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41" x14ac:dyDescent="0.35">
      <c r="A3" s="3" t="s">
        <v>3</v>
      </c>
      <c r="B3" s="4" t="s" vm="1">
        <v>4</v>
      </c>
      <c r="W3" s="3" t="s">
        <v>3</v>
      </c>
      <c r="X3" s="4" t="s" vm="1">
        <v>4</v>
      </c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1" x14ac:dyDescent="0.35">
      <c r="A4" s="1" t="s">
        <v>106</v>
      </c>
      <c r="B4" t="s" vm="2">
        <v>107</v>
      </c>
      <c r="W4" s="1" t="s">
        <v>110</v>
      </c>
      <c r="X4" t="s" vm="6">
        <v>135</v>
      </c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41" x14ac:dyDescent="0.35">
      <c r="A5" s="1" t="s">
        <v>110</v>
      </c>
      <c r="B5" t="s" vm="6">
        <v>135</v>
      </c>
      <c r="C5"/>
      <c r="D5"/>
      <c r="E5"/>
      <c r="F5"/>
      <c r="G5"/>
      <c r="H5"/>
      <c r="I5"/>
      <c r="J5"/>
      <c r="K5"/>
      <c r="L5"/>
      <c r="M5"/>
    </row>
    <row r="6" spans="1:41" x14ac:dyDescent="0.35">
      <c r="C6"/>
      <c r="D6"/>
      <c r="E6"/>
      <c r="F6"/>
      <c r="G6"/>
      <c r="H6"/>
      <c r="I6"/>
      <c r="J6"/>
      <c r="K6"/>
      <c r="L6"/>
      <c r="M6"/>
      <c r="W6" s="1" t="s">
        <v>48</v>
      </c>
      <c r="Y6" s="6" t="s">
        <v>5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1" x14ac:dyDescent="0.35">
      <c r="A7" s="1" t="s">
        <v>48</v>
      </c>
      <c r="C7" s="6" t="s">
        <v>5</v>
      </c>
      <c r="N7" s="5"/>
      <c r="O7" s="5"/>
      <c r="P7" s="5"/>
      <c r="Q7" s="5"/>
      <c r="R7" s="5"/>
      <c r="S7" s="5"/>
      <c r="T7" s="5"/>
      <c r="U7" s="5"/>
      <c r="V7" s="5"/>
      <c r="W7" s="1" t="s">
        <v>17</v>
      </c>
      <c r="X7" s="1" t="s">
        <v>103</v>
      </c>
      <c r="Y7" s="5" t="s">
        <v>6</v>
      </c>
      <c r="Z7" s="5" t="s">
        <v>7</v>
      </c>
      <c r="AA7" s="5" t="s">
        <v>8</v>
      </c>
      <c r="AB7" s="5" t="s">
        <v>9</v>
      </c>
      <c r="AC7" s="5" t="s">
        <v>10</v>
      </c>
      <c r="AD7" s="5" t="s">
        <v>11</v>
      </c>
      <c r="AE7" s="5" t="s">
        <v>12</v>
      </c>
      <c r="AF7" s="5" t="s">
        <v>13</v>
      </c>
      <c r="AG7" s="5" t="s">
        <v>14</v>
      </c>
      <c r="AH7" s="5" t="s">
        <v>15</v>
      </c>
      <c r="AI7" s="5" t="s">
        <v>137</v>
      </c>
      <c r="AJ7" s="5" t="s">
        <v>144</v>
      </c>
      <c r="AK7" s="5" t="s">
        <v>145</v>
      </c>
      <c r="AL7" s="5" t="s">
        <v>148</v>
      </c>
      <c r="AM7" s="5" t="s">
        <v>150</v>
      </c>
      <c r="AN7" s="5" t="s">
        <v>155</v>
      </c>
      <c r="AO7" s="5" t="s">
        <v>16</v>
      </c>
    </row>
    <row r="8" spans="1:41" x14ac:dyDescent="0.35">
      <c r="A8" s="1" t="s">
        <v>17</v>
      </c>
      <c r="B8" s="1" t="s">
        <v>47</v>
      </c>
      <c r="C8" s="5" t="s">
        <v>6</v>
      </c>
      <c r="D8" s="5" t="s">
        <v>7</v>
      </c>
      <c r="E8" s="5" t="s">
        <v>8</v>
      </c>
      <c r="F8" s="5" t="s">
        <v>9</v>
      </c>
      <c r="G8" s="5" t="s">
        <v>10</v>
      </c>
      <c r="H8" s="5" t="s">
        <v>11</v>
      </c>
      <c r="I8" s="5" t="s">
        <v>12</v>
      </c>
      <c r="J8" s="5" t="s">
        <v>13</v>
      </c>
      <c r="K8" s="5" t="s">
        <v>14</v>
      </c>
      <c r="L8" s="5" t="s">
        <v>15</v>
      </c>
      <c r="M8" s="5" t="s">
        <v>137</v>
      </c>
      <c r="N8" s="5" t="s">
        <v>144</v>
      </c>
      <c r="O8" s="5" t="s">
        <v>145</v>
      </c>
      <c r="P8" s="5" t="s">
        <v>148</v>
      </c>
      <c r="Q8" s="5" t="s">
        <v>150</v>
      </c>
      <c r="R8" s="5" t="s">
        <v>155</v>
      </c>
      <c r="S8" s="5" t="s">
        <v>16</v>
      </c>
      <c r="T8" s="5"/>
      <c r="U8" s="5"/>
      <c r="V8" s="5"/>
      <c r="W8" s="2" t="s">
        <v>51</v>
      </c>
      <c r="X8" s="2" t="s">
        <v>79</v>
      </c>
      <c r="Y8" s="5">
        <v>47835.479999999996</v>
      </c>
      <c r="Z8" s="5">
        <v>55965.920000000006</v>
      </c>
      <c r="AA8" s="5">
        <v>55239.999999999993</v>
      </c>
      <c r="AB8" s="5">
        <v>55239.999999999978</v>
      </c>
      <c r="AC8" s="5">
        <v>57449.599999999977</v>
      </c>
      <c r="AD8" s="5">
        <v>57449.599999999984</v>
      </c>
      <c r="AE8" s="5">
        <v>57897.61</v>
      </c>
      <c r="AF8" s="5">
        <v>58580.000000000007</v>
      </c>
      <c r="AG8" s="5">
        <v>61283.200000000033</v>
      </c>
      <c r="AH8" s="5">
        <v>59756.799999999974</v>
      </c>
      <c r="AI8" s="5">
        <v>60604.800000000003</v>
      </c>
      <c r="AJ8" s="5">
        <v>62422.409999999974</v>
      </c>
      <c r="AK8" s="5">
        <v>64911.619999999995</v>
      </c>
      <c r="AL8" s="5">
        <v>69740.960000000021</v>
      </c>
      <c r="AM8" s="5">
        <v>34726.670000000013</v>
      </c>
      <c r="AN8" s="5">
        <v>53330.399999999994</v>
      </c>
      <c r="AO8" s="5">
        <v>912435.06999999983</v>
      </c>
    </row>
    <row r="9" spans="1:41" x14ac:dyDescent="0.35">
      <c r="A9" s="2" t="s">
        <v>115</v>
      </c>
      <c r="B9" s="2" t="s">
        <v>116</v>
      </c>
      <c r="G9" s="5">
        <v>-60</v>
      </c>
      <c r="N9" s="5"/>
      <c r="O9" s="5"/>
      <c r="P9" s="5"/>
      <c r="Q9" s="5"/>
      <c r="R9" s="5"/>
      <c r="S9" s="5">
        <v>-60</v>
      </c>
      <c r="T9" s="5"/>
      <c r="U9" s="5"/>
      <c r="V9" s="5"/>
      <c r="W9" s="2" t="s">
        <v>53</v>
      </c>
      <c r="X9" s="2" t="s">
        <v>79</v>
      </c>
      <c r="Y9" s="5">
        <v>78.12</v>
      </c>
      <c r="Z9" s="5"/>
      <c r="AA9" s="5"/>
      <c r="AB9" s="5"/>
      <c r="AC9" s="5"/>
      <c r="AD9" s="5"/>
      <c r="AE9" s="5"/>
      <c r="AF9" s="5">
        <v>600</v>
      </c>
      <c r="AG9" s="5">
        <v>648</v>
      </c>
      <c r="AH9" s="5">
        <v>624</v>
      </c>
      <c r="AI9" s="5">
        <v>624</v>
      </c>
      <c r="AJ9" s="5">
        <v>716</v>
      </c>
      <c r="AK9" s="5">
        <v>832</v>
      </c>
      <c r="AL9" s="5">
        <v>934.36</v>
      </c>
      <c r="AM9" s="5">
        <v>2000</v>
      </c>
      <c r="AN9" s="5">
        <v>206.4</v>
      </c>
      <c r="AO9" s="5">
        <v>7262.8799999999992</v>
      </c>
    </row>
    <row r="10" spans="1:41" x14ac:dyDescent="0.35">
      <c r="A10" s="2" t="s">
        <v>146</v>
      </c>
      <c r="B10" s="2" t="s">
        <v>147</v>
      </c>
      <c r="N10" s="5"/>
      <c r="O10" s="5">
        <v>-150</v>
      </c>
      <c r="P10" s="5"/>
      <c r="Q10" s="5"/>
      <c r="R10" s="5"/>
      <c r="S10" s="5">
        <v>-150</v>
      </c>
      <c r="T10" s="5"/>
      <c r="U10" s="5"/>
      <c r="V10" s="5"/>
      <c r="W10" s="2" t="s">
        <v>54</v>
      </c>
      <c r="X10" s="2" t="s">
        <v>79</v>
      </c>
      <c r="Y10" s="5"/>
      <c r="Z10" s="5">
        <v>213.6</v>
      </c>
      <c r="AA10" s="5">
        <v>418.8</v>
      </c>
      <c r="AB10" s="5">
        <v>369.59999999999997</v>
      </c>
      <c r="AC10" s="5">
        <v>414</v>
      </c>
      <c r="AD10" s="5">
        <v>477.59999999999997</v>
      </c>
      <c r="AE10" s="5">
        <v>396</v>
      </c>
      <c r="AF10" s="5">
        <v>446.4</v>
      </c>
      <c r="AG10" s="5">
        <v>352.8</v>
      </c>
      <c r="AH10" s="5">
        <v>351.59999999999997</v>
      </c>
      <c r="AI10" s="5">
        <v>357.6</v>
      </c>
      <c r="AJ10" s="5">
        <v>318</v>
      </c>
      <c r="AK10" s="5">
        <v>288</v>
      </c>
      <c r="AL10" s="5">
        <v>346.8</v>
      </c>
      <c r="AM10" s="5">
        <v>701.02</v>
      </c>
      <c r="AN10" s="5">
        <v>12.98</v>
      </c>
      <c r="AO10" s="5">
        <v>5464.8000000000011</v>
      </c>
    </row>
    <row r="11" spans="1:41" x14ac:dyDescent="0.35">
      <c r="A11" s="2" t="s">
        <v>119</v>
      </c>
      <c r="B11" s="2" t="s">
        <v>33</v>
      </c>
      <c r="M11" s="5">
        <v>-363.3</v>
      </c>
      <c r="N11" s="5"/>
      <c r="O11" s="5">
        <v>-2831</v>
      </c>
      <c r="P11" s="5"/>
      <c r="Q11" s="5"/>
      <c r="R11" s="5"/>
      <c r="S11" s="5">
        <v>-3194.3</v>
      </c>
      <c r="T11" s="5"/>
      <c r="U11" s="5"/>
      <c r="V11" s="5"/>
      <c r="W11" s="2" t="s">
        <v>55</v>
      </c>
      <c r="X11" s="2" t="s">
        <v>80</v>
      </c>
      <c r="Y11" s="5">
        <v>25009.300000000003</v>
      </c>
      <c r="Z11" s="5">
        <v>30078.06</v>
      </c>
      <c r="AA11" s="5">
        <v>29972.23</v>
      </c>
      <c r="AB11" s="5">
        <v>27700.750000000004</v>
      </c>
      <c r="AC11" s="5">
        <v>26174.980000000003</v>
      </c>
      <c r="AD11" s="5">
        <v>26199.140000000007</v>
      </c>
      <c r="AE11" s="5">
        <v>30519.019999999997</v>
      </c>
      <c r="AF11" s="5">
        <v>31845.819999999996</v>
      </c>
      <c r="AG11" s="5">
        <v>34030.19</v>
      </c>
      <c r="AH11" s="5">
        <v>34522.68</v>
      </c>
      <c r="AI11" s="5">
        <v>36125.530000000006</v>
      </c>
      <c r="AJ11" s="5">
        <v>37444.189999999995</v>
      </c>
      <c r="AK11" s="5">
        <v>35156.630000000012</v>
      </c>
      <c r="AL11" s="5">
        <v>37282.61</v>
      </c>
      <c r="AM11" s="5">
        <v>22360.84</v>
      </c>
      <c r="AN11" s="5">
        <v>30508.68</v>
      </c>
      <c r="AO11" s="5">
        <v>494930.65000000008</v>
      </c>
    </row>
    <row r="12" spans="1:41" x14ac:dyDescent="0.35">
      <c r="A12" s="2" t="s">
        <v>21</v>
      </c>
      <c r="B12" s="2" t="s">
        <v>36</v>
      </c>
      <c r="D12" s="5">
        <v>-80</v>
      </c>
      <c r="N12" s="5"/>
      <c r="O12" s="5"/>
      <c r="P12" s="5"/>
      <c r="Q12" s="5"/>
      <c r="R12" s="5"/>
      <c r="S12" s="5">
        <v>-80</v>
      </c>
      <c r="T12" s="5"/>
      <c r="U12" s="5"/>
      <c r="V12" s="5"/>
      <c r="W12" s="2" t="s">
        <v>56</v>
      </c>
      <c r="X12" s="2" t="s">
        <v>81</v>
      </c>
      <c r="Y12" s="5">
        <v>0</v>
      </c>
      <c r="Z12" s="5">
        <v>651.20000000000005</v>
      </c>
      <c r="AA12" s="5">
        <v>8607.0000000000018</v>
      </c>
      <c r="AB12" s="5">
        <v>8379.7799999999988</v>
      </c>
      <c r="AC12" s="5"/>
      <c r="AD12" s="5"/>
      <c r="AE12" s="5"/>
      <c r="AF12" s="5"/>
      <c r="AG12" s="5"/>
      <c r="AH12" s="5"/>
      <c r="AI12" s="5"/>
      <c r="AJ12" s="5">
        <v>5008.5199999999995</v>
      </c>
      <c r="AK12" s="5">
        <v>11276.590000000004</v>
      </c>
      <c r="AL12" s="5">
        <v>5164.5999999999995</v>
      </c>
      <c r="AM12" s="5">
        <v>4710.1099999999997</v>
      </c>
      <c r="AN12" s="5"/>
      <c r="AO12" s="5">
        <v>43797.8</v>
      </c>
    </row>
    <row r="13" spans="1:41" x14ac:dyDescent="0.35">
      <c r="A13" s="2" t="s">
        <v>25</v>
      </c>
      <c r="B13" s="2" t="s">
        <v>40</v>
      </c>
      <c r="C13" s="5">
        <v>1085406.28</v>
      </c>
      <c r="G13" s="5">
        <v>-1523594.73</v>
      </c>
      <c r="N13" s="5"/>
      <c r="O13" s="5"/>
      <c r="P13" s="5"/>
      <c r="Q13" s="5"/>
      <c r="R13" s="5"/>
      <c r="S13" s="5">
        <v>-438188.44999999995</v>
      </c>
      <c r="T13" s="5"/>
      <c r="U13" s="5"/>
      <c r="V13" s="5"/>
      <c r="W13" s="2" t="s">
        <v>58</v>
      </c>
      <c r="X13" s="2" t="s">
        <v>83</v>
      </c>
      <c r="Y13" s="5">
        <v>375.55</v>
      </c>
      <c r="Z13" s="5">
        <v>74.109999999999985</v>
      </c>
      <c r="AA13" s="5">
        <v>606.87999999999988</v>
      </c>
      <c r="AB13" s="5">
        <v>785.67000000000007</v>
      </c>
      <c r="AC13" s="5">
        <v>334.73</v>
      </c>
      <c r="AD13" s="5">
        <v>22.88</v>
      </c>
      <c r="AE13" s="5">
        <v>256.06</v>
      </c>
      <c r="AF13" s="5">
        <v>337.98</v>
      </c>
      <c r="AG13" s="5">
        <v>32.56</v>
      </c>
      <c r="AH13" s="5">
        <v>174.84</v>
      </c>
      <c r="AI13" s="5">
        <v>258.86</v>
      </c>
      <c r="AJ13" s="5">
        <v>477.42999999999995</v>
      </c>
      <c r="AK13" s="5">
        <v>478.61</v>
      </c>
      <c r="AL13" s="5"/>
      <c r="AM13" s="5"/>
      <c r="AN13" s="5"/>
      <c r="AO13" s="5">
        <v>4216.16</v>
      </c>
    </row>
    <row r="14" spans="1:41" x14ac:dyDescent="0.35">
      <c r="A14" s="2" t="s">
        <v>26</v>
      </c>
      <c r="B14" s="2" t="s">
        <v>41</v>
      </c>
      <c r="D14" s="5">
        <v>45.47</v>
      </c>
      <c r="E14" s="5">
        <v>-1039.3799999999999</v>
      </c>
      <c r="G14" s="5">
        <v>1596.1</v>
      </c>
      <c r="I14" s="5">
        <v>-1110.8599999999999</v>
      </c>
      <c r="K14" s="5">
        <v>36.590000000000003</v>
      </c>
      <c r="M14" s="5">
        <v>-947.01</v>
      </c>
      <c r="N14" s="5"/>
      <c r="O14" s="5"/>
      <c r="P14" s="5">
        <v>-66.69</v>
      </c>
      <c r="Q14" s="5"/>
      <c r="R14" s="5"/>
      <c r="S14" s="5">
        <v>-1485.7800000000002</v>
      </c>
      <c r="T14" s="5"/>
      <c r="U14" s="5"/>
      <c r="V14" s="5"/>
      <c r="W14" s="2" t="s">
        <v>59</v>
      </c>
      <c r="X14" s="2" t="s">
        <v>84</v>
      </c>
      <c r="Y14" s="5">
        <v>1415.69</v>
      </c>
      <c r="Z14" s="5">
        <v>0</v>
      </c>
      <c r="AA14" s="5">
        <v>402.37</v>
      </c>
      <c r="AB14" s="5">
        <v>1031.71</v>
      </c>
      <c r="AC14" s="5"/>
      <c r="AD14" s="5">
        <v>731.62</v>
      </c>
      <c r="AE14" s="5">
        <v>2215.41</v>
      </c>
      <c r="AF14" s="5">
        <v>2646.7200000000003</v>
      </c>
      <c r="AG14" s="5">
        <v>2425.31</v>
      </c>
      <c r="AH14" s="5">
        <v>1283.1300000000006</v>
      </c>
      <c r="AI14" s="5">
        <v>4671.4699999999993</v>
      </c>
      <c r="AJ14" s="5">
        <v>3400.98</v>
      </c>
      <c r="AK14" s="5">
        <v>689.2399999999999</v>
      </c>
      <c r="AL14" s="5"/>
      <c r="AM14" s="5"/>
      <c r="AN14" s="5"/>
      <c r="AO14" s="5">
        <v>20913.650000000001</v>
      </c>
    </row>
    <row r="15" spans="1:41" x14ac:dyDescent="0.35">
      <c r="A15" s="2" t="s">
        <v>28</v>
      </c>
      <c r="B15" s="2" t="s">
        <v>43</v>
      </c>
      <c r="N15" s="5">
        <v>-6762</v>
      </c>
      <c r="O15" s="5">
        <v>-6376.5</v>
      </c>
      <c r="P15" s="5"/>
      <c r="Q15" s="5"/>
      <c r="R15" s="5"/>
      <c r="S15" s="5">
        <v>-13138.5</v>
      </c>
      <c r="T15" s="5"/>
      <c r="U15" s="5"/>
      <c r="V15" s="5"/>
      <c r="W15" s="2" t="s">
        <v>60</v>
      </c>
      <c r="X15" s="2" t="s">
        <v>85</v>
      </c>
      <c r="Y15" s="5"/>
      <c r="Z15" s="5"/>
      <c r="AA15" s="5"/>
      <c r="AB15" s="5"/>
      <c r="AC15" s="5"/>
      <c r="AD15" s="5"/>
      <c r="AE15" s="5"/>
      <c r="AF15" s="5"/>
      <c r="AG15" s="5">
        <v>35.72</v>
      </c>
      <c r="AH15" s="5"/>
      <c r="AI15" s="5"/>
      <c r="AJ15" s="5"/>
      <c r="AK15" s="5"/>
      <c r="AL15" s="5"/>
      <c r="AM15" s="5"/>
      <c r="AN15" s="5"/>
      <c r="AO15" s="5">
        <v>35.72</v>
      </c>
    </row>
    <row r="16" spans="1:41" x14ac:dyDescent="0.35">
      <c r="A16" s="2" t="s">
        <v>29</v>
      </c>
      <c r="B16" s="2" t="s">
        <v>44</v>
      </c>
      <c r="C16" s="5">
        <v>11382.3</v>
      </c>
      <c r="D16" s="5">
        <v>19173.879999999997</v>
      </c>
      <c r="E16" s="5">
        <v>21905.25</v>
      </c>
      <c r="F16" s="5">
        <v>27017.070000000003</v>
      </c>
      <c r="G16" s="5">
        <v>24342.07</v>
      </c>
      <c r="H16" s="5">
        <v>24017.989999999998</v>
      </c>
      <c r="I16" s="5">
        <v>12532.250000000004</v>
      </c>
      <c r="J16" s="5">
        <v>12496.769999999999</v>
      </c>
      <c r="K16" s="5">
        <v>12977.1</v>
      </c>
      <c r="L16" s="5">
        <v>12831.39</v>
      </c>
      <c r="M16" s="5">
        <v>13375.37</v>
      </c>
      <c r="N16" s="5">
        <v>16260.91</v>
      </c>
      <c r="O16" s="5">
        <v>17871.39</v>
      </c>
      <c r="P16" s="5">
        <v>18244.409999999996</v>
      </c>
      <c r="Q16" s="5">
        <v>9837.69</v>
      </c>
      <c r="R16" s="5">
        <v>11432.43</v>
      </c>
      <c r="S16" s="5">
        <v>265698.27</v>
      </c>
      <c r="T16" s="5"/>
      <c r="U16" s="5"/>
      <c r="V16" s="5"/>
      <c r="W16" s="2" t="s">
        <v>61</v>
      </c>
      <c r="X16" s="2" t="s">
        <v>86</v>
      </c>
      <c r="Y16" s="5"/>
      <c r="Z16" s="5"/>
      <c r="AA16" s="5"/>
      <c r="AB16" s="5">
        <v>8.44</v>
      </c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>
        <v>8.44</v>
      </c>
    </row>
    <row r="17" spans="1:41" x14ac:dyDescent="0.35">
      <c r="A17" s="2" t="s">
        <v>16</v>
      </c>
      <c r="C17" s="5">
        <v>1096788.58</v>
      </c>
      <c r="D17" s="5">
        <v>19139.349999999999</v>
      </c>
      <c r="E17" s="5">
        <v>20865.87</v>
      </c>
      <c r="F17" s="5">
        <v>27017.070000000003</v>
      </c>
      <c r="G17" s="5">
        <v>-1497716.5599999998</v>
      </c>
      <c r="H17" s="5">
        <v>24017.989999999998</v>
      </c>
      <c r="I17" s="5">
        <v>11421.390000000003</v>
      </c>
      <c r="J17" s="5">
        <v>12496.769999999999</v>
      </c>
      <c r="K17" s="5">
        <v>13013.69</v>
      </c>
      <c r="L17" s="5">
        <v>12831.39</v>
      </c>
      <c r="M17" s="5">
        <v>12065.060000000001</v>
      </c>
      <c r="N17" s="5">
        <v>9498.91</v>
      </c>
      <c r="O17" s="5">
        <v>8513.89</v>
      </c>
      <c r="P17" s="5">
        <v>18177.719999999998</v>
      </c>
      <c r="Q17" s="5">
        <v>9837.69</v>
      </c>
      <c r="R17" s="5">
        <v>11432.43</v>
      </c>
      <c r="S17" s="5">
        <v>-190598.75999999981</v>
      </c>
      <c r="W17" s="2" t="s">
        <v>62</v>
      </c>
      <c r="X17" s="2" t="s">
        <v>87</v>
      </c>
      <c r="Y17" s="5">
        <v>759.26</v>
      </c>
      <c r="Z17" s="5">
        <v>193.70000000000016</v>
      </c>
      <c r="AA17" s="5">
        <v>197.97</v>
      </c>
      <c r="AB17" s="5">
        <v>310.83</v>
      </c>
      <c r="AC17" s="5">
        <v>90</v>
      </c>
      <c r="AD17" s="5">
        <v>545.66999999999996</v>
      </c>
      <c r="AE17" s="5"/>
      <c r="AF17" s="5">
        <v>-182.32</v>
      </c>
      <c r="AG17" s="5">
        <v>0</v>
      </c>
      <c r="AH17" s="5"/>
      <c r="AI17" s="5"/>
      <c r="AJ17" s="5">
        <v>124</v>
      </c>
      <c r="AK17" s="5"/>
      <c r="AL17" s="5"/>
      <c r="AM17" s="5"/>
      <c r="AN17" s="5"/>
      <c r="AO17" s="5">
        <v>2039.1100000000001</v>
      </c>
    </row>
    <row r="18" spans="1:41" x14ac:dyDescent="0.35">
      <c r="C18"/>
      <c r="D18"/>
      <c r="E18"/>
      <c r="F18"/>
      <c r="G18"/>
      <c r="H18"/>
      <c r="I18"/>
      <c r="J18"/>
      <c r="K18"/>
      <c r="L18"/>
      <c r="M18"/>
      <c r="W18" s="2" t="s">
        <v>63</v>
      </c>
      <c r="X18" s="2" t="s">
        <v>88</v>
      </c>
      <c r="Y18" s="5"/>
      <c r="Z18" s="5"/>
      <c r="AA18" s="5"/>
      <c r="AB18" s="5"/>
      <c r="AC18" s="5"/>
      <c r="AD18" s="5"/>
      <c r="AE18" s="5"/>
      <c r="AF18" s="5">
        <v>107.91</v>
      </c>
      <c r="AG18" s="5"/>
      <c r="AH18" s="5"/>
      <c r="AI18" s="5"/>
      <c r="AJ18" s="5"/>
      <c r="AK18" s="5"/>
      <c r="AL18" s="5"/>
      <c r="AM18" s="5"/>
      <c r="AN18" s="5"/>
      <c r="AO18" s="5">
        <v>107.91</v>
      </c>
    </row>
    <row r="19" spans="1:41" x14ac:dyDescent="0.35">
      <c r="C19"/>
      <c r="D19"/>
      <c r="E19"/>
      <c r="F19"/>
      <c r="G19"/>
      <c r="H19"/>
      <c r="I19"/>
      <c r="J19"/>
      <c r="K19"/>
      <c r="L19"/>
      <c r="M19"/>
      <c r="W19" s="2" t="s">
        <v>64</v>
      </c>
      <c r="X19" s="2" t="s">
        <v>89</v>
      </c>
      <c r="Y19" s="5">
        <v>56.09</v>
      </c>
      <c r="Z19" s="5">
        <v>57.47</v>
      </c>
      <c r="AA19" s="5">
        <v>51.97</v>
      </c>
      <c r="AB19" s="5"/>
      <c r="AC19" s="5"/>
      <c r="AD19" s="5">
        <v>125</v>
      </c>
      <c r="AE19" s="5">
        <v>68.319999999999993</v>
      </c>
      <c r="AF19" s="5"/>
      <c r="AG19" s="5"/>
      <c r="AH19" s="5"/>
      <c r="AI19" s="5">
        <v>308</v>
      </c>
      <c r="AJ19" s="5">
        <v>163.6</v>
      </c>
      <c r="AK19" s="5">
        <v>163.6</v>
      </c>
      <c r="AL19" s="5">
        <v>361</v>
      </c>
      <c r="AM19" s="5">
        <v>197</v>
      </c>
      <c r="AN19" s="5">
        <v>298</v>
      </c>
      <c r="AO19" s="5">
        <v>1850.0500000000002</v>
      </c>
    </row>
    <row r="20" spans="1:41" x14ac:dyDescent="0.35">
      <c r="C20"/>
      <c r="D20"/>
      <c r="E20"/>
      <c r="F20"/>
      <c r="G20"/>
      <c r="H20"/>
      <c r="I20"/>
      <c r="J20"/>
      <c r="K20"/>
      <c r="L20"/>
      <c r="M20"/>
      <c r="W20" s="2" t="s">
        <v>65</v>
      </c>
      <c r="X20" s="2" t="s">
        <v>90</v>
      </c>
      <c r="Y20" s="5">
        <v>568.65000000000009</v>
      </c>
      <c r="Z20" s="5">
        <v>1142.78</v>
      </c>
      <c r="AA20" s="5">
        <v>384.26</v>
      </c>
      <c r="AB20" s="5">
        <v>1153.4999999999998</v>
      </c>
      <c r="AC20" s="5">
        <v>640.35</v>
      </c>
      <c r="AD20" s="5">
        <v>858.61</v>
      </c>
      <c r="AE20" s="5">
        <v>618.87</v>
      </c>
      <c r="AF20" s="5">
        <v>1890.8799999999999</v>
      </c>
      <c r="AG20" s="5">
        <v>597.9799999999999</v>
      </c>
      <c r="AH20" s="5">
        <v>546.67000000000007</v>
      </c>
      <c r="AI20" s="5">
        <v>896.10999999999979</v>
      </c>
      <c r="AJ20" s="5">
        <v>1282.8399999999999</v>
      </c>
      <c r="AK20" s="5">
        <v>1531.23</v>
      </c>
      <c r="AL20" s="5">
        <v>58</v>
      </c>
      <c r="AM20" s="5">
        <v>192</v>
      </c>
      <c r="AN20" s="5"/>
      <c r="AO20" s="5">
        <v>12362.73</v>
      </c>
    </row>
    <row r="21" spans="1:41" x14ac:dyDescent="0.35">
      <c r="C21"/>
      <c r="D21"/>
      <c r="E21"/>
      <c r="F21"/>
      <c r="G21"/>
      <c r="H21"/>
      <c r="I21"/>
      <c r="J21"/>
      <c r="K21"/>
      <c r="L21"/>
      <c r="M21"/>
      <c r="W21" s="2" t="s">
        <v>66</v>
      </c>
      <c r="X21" s="2" t="s">
        <v>91</v>
      </c>
      <c r="Y21" s="5">
        <v>60</v>
      </c>
      <c r="Z21" s="5"/>
      <c r="AA21" s="5"/>
      <c r="AB21" s="5"/>
      <c r="AC21" s="5"/>
      <c r="AD21" s="5">
        <v>75</v>
      </c>
      <c r="AE21" s="5">
        <v>99</v>
      </c>
      <c r="AF21" s="5"/>
      <c r="AG21" s="5"/>
      <c r="AH21" s="5"/>
      <c r="AI21" s="5">
        <v>400</v>
      </c>
      <c r="AJ21" s="5">
        <v>55</v>
      </c>
      <c r="AK21" s="5">
        <v>1200.8800000000001</v>
      </c>
      <c r="AL21" s="5">
        <v>195</v>
      </c>
      <c r="AM21" s="5">
        <v>95</v>
      </c>
      <c r="AN21" s="5"/>
      <c r="AO21" s="5">
        <v>2179.88</v>
      </c>
    </row>
    <row r="22" spans="1:41" x14ac:dyDescent="0.35">
      <c r="C22"/>
      <c r="D22"/>
      <c r="E22"/>
      <c r="F22"/>
      <c r="G22"/>
      <c r="H22"/>
      <c r="I22"/>
      <c r="J22"/>
      <c r="K22"/>
      <c r="L22"/>
      <c r="M22"/>
      <c r="W22" s="2" t="s">
        <v>67</v>
      </c>
      <c r="X22" s="2" t="s">
        <v>92</v>
      </c>
      <c r="Y22" s="5">
        <v>89.93</v>
      </c>
      <c r="Z22" s="5">
        <v>66.97</v>
      </c>
      <c r="AA22" s="5">
        <v>110.91</v>
      </c>
      <c r="AB22" s="5">
        <v>142.49</v>
      </c>
      <c r="AC22" s="5">
        <v>112.39</v>
      </c>
      <c r="AD22" s="5">
        <v>115.66</v>
      </c>
      <c r="AE22" s="5">
        <v>148.13</v>
      </c>
      <c r="AF22" s="5">
        <v>168.88</v>
      </c>
      <c r="AG22" s="5">
        <v>173.1</v>
      </c>
      <c r="AH22" s="5">
        <v>139.66</v>
      </c>
      <c r="AI22" s="5">
        <v>117.14000000000001</v>
      </c>
      <c r="AJ22" s="5"/>
      <c r="AK22" s="5">
        <v>66.69</v>
      </c>
      <c r="AL22" s="5"/>
      <c r="AM22" s="5"/>
      <c r="AN22" s="5"/>
      <c r="AO22" s="5">
        <v>1451.9500000000003</v>
      </c>
    </row>
    <row r="23" spans="1:41" x14ac:dyDescent="0.35">
      <c r="C23"/>
      <c r="D23"/>
      <c r="E23"/>
      <c r="F23"/>
      <c r="G23"/>
      <c r="H23"/>
      <c r="I23"/>
      <c r="J23"/>
      <c r="K23"/>
      <c r="L23"/>
      <c r="M23"/>
      <c r="W23" s="2" t="s">
        <v>68</v>
      </c>
      <c r="X23" s="2" t="s">
        <v>93</v>
      </c>
      <c r="Y23" s="5">
        <v>78.28</v>
      </c>
      <c r="Z23" s="5">
        <v>40.270000000000003</v>
      </c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>
        <v>329.65</v>
      </c>
      <c r="AL23" s="5"/>
      <c r="AM23" s="5"/>
      <c r="AN23" s="5"/>
      <c r="AO23" s="5">
        <v>448.19999999999993</v>
      </c>
    </row>
    <row r="24" spans="1:41" x14ac:dyDescent="0.35">
      <c r="C24"/>
      <c r="D24"/>
      <c r="E24"/>
      <c r="F24"/>
      <c r="G24"/>
      <c r="H24"/>
      <c r="I24"/>
      <c r="J24"/>
      <c r="K24"/>
      <c r="L24"/>
      <c r="M24"/>
      <c r="W24" s="2" t="s">
        <v>70</v>
      </c>
      <c r="X24" s="2" t="s">
        <v>142</v>
      </c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>
        <v>42.19</v>
      </c>
      <c r="AK24" s="5"/>
      <c r="AL24" s="5"/>
      <c r="AM24" s="5">
        <v>183.1</v>
      </c>
      <c r="AN24" s="5"/>
      <c r="AO24" s="5">
        <v>225.29</v>
      </c>
    </row>
    <row r="25" spans="1:41" x14ac:dyDescent="0.35">
      <c r="C25"/>
      <c r="D25"/>
      <c r="E25"/>
      <c r="F25"/>
      <c r="G25"/>
      <c r="H25"/>
      <c r="I25"/>
      <c r="J25"/>
      <c r="K25"/>
      <c r="L25"/>
      <c r="M25"/>
      <c r="W25" s="2" t="s">
        <v>71</v>
      </c>
      <c r="X25" s="2" t="s">
        <v>96</v>
      </c>
      <c r="Y25" s="5"/>
      <c r="Z25" s="5">
        <v>50</v>
      </c>
      <c r="AA25" s="5">
        <v>69.319999999999993</v>
      </c>
      <c r="AB25" s="5">
        <v>129.58000000000001</v>
      </c>
      <c r="AC25" s="5"/>
      <c r="AD25" s="5">
        <v>13.25</v>
      </c>
      <c r="AE25" s="5">
        <v>83.460000000000008</v>
      </c>
      <c r="AF25" s="5">
        <v>33.6</v>
      </c>
      <c r="AG25" s="5">
        <v>37.979999999999997</v>
      </c>
      <c r="AH25" s="5">
        <v>511.18000000000006</v>
      </c>
      <c r="AI25" s="5">
        <v>115.13</v>
      </c>
      <c r="AJ25" s="5">
        <v>45.91</v>
      </c>
      <c r="AK25" s="5">
        <v>349.49</v>
      </c>
      <c r="AL25" s="5">
        <v>13.99</v>
      </c>
      <c r="AM25" s="5">
        <v>87.11</v>
      </c>
      <c r="AN25" s="5"/>
      <c r="AO25" s="5">
        <v>1540</v>
      </c>
    </row>
    <row r="26" spans="1:41" x14ac:dyDescent="0.35">
      <c r="C26"/>
      <c r="D26"/>
      <c r="E26"/>
      <c r="F26"/>
      <c r="G26"/>
      <c r="H26"/>
      <c r="I26"/>
      <c r="J26"/>
      <c r="K26"/>
      <c r="L26"/>
      <c r="M26"/>
      <c r="W26" s="2" t="s">
        <v>77</v>
      </c>
      <c r="X26" s="2" t="s">
        <v>101</v>
      </c>
      <c r="Y26" s="5">
        <v>751.87999999999988</v>
      </c>
      <c r="Z26" s="5">
        <v>1211.9699999999998</v>
      </c>
      <c r="AA26" s="5">
        <v>878.48000000000025</v>
      </c>
      <c r="AB26" s="5">
        <v>767.04</v>
      </c>
      <c r="AC26" s="5">
        <v>875.21</v>
      </c>
      <c r="AD26" s="5">
        <v>1326.4299999999998</v>
      </c>
      <c r="AE26" s="5">
        <v>3825.7</v>
      </c>
      <c r="AF26" s="5">
        <v>4958.88</v>
      </c>
      <c r="AG26" s="5">
        <v>4769.7100000000009</v>
      </c>
      <c r="AH26" s="5">
        <v>3687.2799999999997</v>
      </c>
      <c r="AI26" s="5">
        <v>2517.9299999999998</v>
      </c>
      <c r="AJ26" s="5">
        <v>2328.16</v>
      </c>
      <c r="AK26" s="5">
        <v>3288.1899999999991</v>
      </c>
      <c r="AL26" s="5">
        <v>3386.43</v>
      </c>
      <c r="AM26" s="5">
        <v>3478.6200000000003</v>
      </c>
      <c r="AN26" s="5">
        <v>4774.0599999999995</v>
      </c>
      <c r="AO26" s="5">
        <v>42825.969999999994</v>
      </c>
    </row>
    <row r="27" spans="1:41" x14ac:dyDescent="0.35">
      <c r="C27"/>
      <c r="D27"/>
      <c r="E27"/>
      <c r="F27"/>
      <c r="G27"/>
      <c r="H27"/>
      <c r="I27"/>
      <c r="J27"/>
      <c r="K27"/>
      <c r="L27"/>
      <c r="M27"/>
      <c r="W27" s="2" t="s">
        <v>16</v>
      </c>
      <c r="Y27" s="5">
        <v>77078.229999999981</v>
      </c>
      <c r="Z27" s="5">
        <v>89746.050000000017</v>
      </c>
      <c r="AA27" s="5">
        <v>96940.19</v>
      </c>
      <c r="AB27" s="5">
        <v>96019.39</v>
      </c>
      <c r="AC27" s="5">
        <v>86091.26</v>
      </c>
      <c r="AD27" s="5">
        <v>87940.459999999992</v>
      </c>
      <c r="AE27" s="5">
        <v>96127.58</v>
      </c>
      <c r="AF27" s="5">
        <v>101434.75</v>
      </c>
      <c r="AG27" s="5">
        <v>104386.55000000005</v>
      </c>
      <c r="AH27" s="5">
        <v>101597.83999999998</v>
      </c>
      <c r="AI27" s="5">
        <v>106996.57000000002</v>
      </c>
      <c r="AJ27" s="5">
        <v>113829.22999999997</v>
      </c>
      <c r="AK27" s="5">
        <v>120562.42000000003</v>
      </c>
      <c r="AL27" s="5">
        <v>117483.75000000003</v>
      </c>
      <c r="AM27" s="5">
        <v>68731.470000000016</v>
      </c>
      <c r="AN27" s="5">
        <v>89130.519999999975</v>
      </c>
      <c r="AO27" s="5">
        <v>1554096.2600000002</v>
      </c>
    </row>
    <row r="28" spans="1:41" x14ac:dyDescent="0.35">
      <c r="C28"/>
      <c r="D28"/>
      <c r="E28"/>
      <c r="F28"/>
      <c r="G28"/>
      <c r="H28"/>
      <c r="I28"/>
      <c r="J28"/>
      <c r="K28"/>
      <c r="L28"/>
      <c r="M28"/>
    </row>
    <row r="29" spans="1:41" x14ac:dyDescent="0.35">
      <c r="C29"/>
      <c r="D29"/>
      <c r="E29"/>
      <c r="F29"/>
      <c r="G29"/>
      <c r="H29"/>
      <c r="I29"/>
      <c r="J29"/>
      <c r="K29"/>
      <c r="L29"/>
      <c r="M29"/>
    </row>
    <row r="30" spans="1:41" x14ac:dyDescent="0.35">
      <c r="C30"/>
      <c r="D30"/>
      <c r="E30"/>
      <c r="F30"/>
      <c r="G30"/>
      <c r="H30"/>
      <c r="I30"/>
      <c r="J30"/>
      <c r="K30"/>
      <c r="L30"/>
      <c r="M30"/>
    </row>
    <row r="31" spans="1:41" x14ac:dyDescent="0.35">
      <c r="C31"/>
      <c r="D31"/>
      <c r="E31"/>
      <c r="F31"/>
      <c r="G31"/>
      <c r="H31"/>
      <c r="I31"/>
      <c r="J31"/>
      <c r="K31"/>
      <c r="L31"/>
      <c r="M31"/>
    </row>
    <row r="32" spans="1:41" x14ac:dyDescent="0.35">
      <c r="C32"/>
      <c r="D32"/>
      <c r="E32"/>
      <c r="F32"/>
      <c r="G32"/>
      <c r="H32"/>
      <c r="I32"/>
      <c r="J32"/>
      <c r="K32"/>
      <c r="L32"/>
      <c r="M32"/>
    </row>
    <row r="33" spans="3:35" x14ac:dyDescent="0.35">
      <c r="C33"/>
      <c r="D33"/>
      <c r="E33"/>
      <c r="F33"/>
      <c r="G33"/>
      <c r="H33"/>
      <c r="I33"/>
      <c r="J33"/>
      <c r="K33"/>
      <c r="L33"/>
      <c r="M33"/>
    </row>
    <row r="34" spans="3:35" x14ac:dyDescent="0.35">
      <c r="C34"/>
      <c r="D34"/>
      <c r="E34"/>
      <c r="F34"/>
      <c r="G34"/>
      <c r="H34"/>
      <c r="I34"/>
      <c r="J34"/>
      <c r="K34"/>
      <c r="L34"/>
      <c r="M34"/>
    </row>
    <row r="35" spans="3:35" x14ac:dyDescent="0.35">
      <c r="C35"/>
      <c r="D35"/>
      <c r="E35"/>
      <c r="F35"/>
      <c r="G35"/>
      <c r="H35"/>
      <c r="I35"/>
      <c r="J35"/>
      <c r="K35"/>
      <c r="L35"/>
      <c r="M35"/>
    </row>
    <row r="36" spans="3:35" x14ac:dyDescent="0.35">
      <c r="C36"/>
      <c r="D36"/>
      <c r="E36"/>
      <c r="F36"/>
      <c r="G36"/>
      <c r="H36"/>
      <c r="I36"/>
      <c r="J36"/>
      <c r="K36"/>
      <c r="L36"/>
      <c r="M36"/>
    </row>
    <row r="37" spans="3:35" x14ac:dyDescent="0.35">
      <c r="C37"/>
      <c r="D37"/>
      <c r="E37"/>
      <c r="F37"/>
      <c r="G37"/>
      <c r="H37"/>
      <c r="I37"/>
      <c r="J37"/>
      <c r="K37"/>
      <c r="L37"/>
      <c r="M37"/>
    </row>
    <row r="38" spans="3:35" x14ac:dyDescent="0.35">
      <c r="C38"/>
      <c r="D38"/>
      <c r="E38"/>
      <c r="F38"/>
      <c r="G38"/>
      <c r="H38"/>
      <c r="I38"/>
      <c r="J38"/>
      <c r="K38"/>
      <c r="L38"/>
      <c r="M38"/>
    </row>
    <row r="39" spans="3:35" x14ac:dyDescent="0.35">
      <c r="C39"/>
      <c r="D39"/>
      <c r="E39"/>
      <c r="F39"/>
      <c r="G39"/>
      <c r="H39"/>
      <c r="I39"/>
      <c r="J39"/>
      <c r="K39"/>
      <c r="L39"/>
      <c r="M39"/>
    </row>
    <row r="40" spans="3:35" x14ac:dyDescent="0.35">
      <c r="C40"/>
      <c r="D40"/>
      <c r="E40"/>
      <c r="F40"/>
      <c r="G40"/>
      <c r="H40"/>
      <c r="I40"/>
      <c r="J40"/>
      <c r="K40"/>
      <c r="L40"/>
      <c r="M40"/>
    </row>
    <row r="41" spans="3:35" x14ac:dyDescent="0.35">
      <c r="C41"/>
      <c r="D41"/>
      <c r="E41"/>
      <c r="F41"/>
      <c r="G41"/>
      <c r="H41"/>
      <c r="I41"/>
      <c r="J41"/>
      <c r="K41"/>
      <c r="L41"/>
      <c r="M41"/>
    </row>
    <row r="42" spans="3:35" x14ac:dyDescent="0.35">
      <c r="C42"/>
      <c r="D42"/>
      <c r="E42"/>
      <c r="F42"/>
      <c r="G42"/>
      <c r="H42"/>
      <c r="I42"/>
      <c r="J42"/>
      <c r="K42"/>
      <c r="L42"/>
      <c r="M42"/>
    </row>
    <row r="43" spans="3:35" x14ac:dyDescent="0.35">
      <c r="C43"/>
      <c r="D43"/>
      <c r="E43"/>
      <c r="F43"/>
      <c r="G43"/>
      <c r="H43"/>
      <c r="I43"/>
      <c r="J43"/>
      <c r="K43"/>
      <c r="L43"/>
      <c r="M43"/>
    </row>
    <row r="44" spans="3:35" x14ac:dyDescent="0.35">
      <c r="C44"/>
      <c r="D44"/>
      <c r="E44"/>
      <c r="F44"/>
      <c r="G44"/>
      <c r="H44"/>
      <c r="I44"/>
      <c r="J44"/>
      <c r="K44"/>
      <c r="L44"/>
      <c r="M44"/>
    </row>
    <row r="45" spans="3:35" x14ac:dyDescent="0.35">
      <c r="C45"/>
      <c r="D45"/>
      <c r="E45"/>
      <c r="F45"/>
      <c r="G45"/>
      <c r="H45"/>
      <c r="I45"/>
      <c r="J45"/>
      <c r="K45"/>
      <c r="L45"/>
      <c r="M45"/>
      <c r="AI45" s="5"/>
    </row>
    <row r="67" spans="1:36" x14ac:dyDescent="0.35">
      <c r="W67" s="3" t="s">
        <v>1</v>
      </c>
      <c r="X67" s="4" t="s" vm="9">
        <v>151</v>
      </c>
    </row>
    <row r="68" spans="1:36" x14ac:dyDescent="0.35">
      <c r="A68" s="3" t="s">
        <v>1</v>
      </c>
      <c r="B68" s="4" t="s" vm="10">
        <v>152</v>
      </c>
      <c r="W68" s="3" t="s">
        <v>2</v>
      </c>
      <c r="X68" s="4" t="s" vm="3">
        <v>125</v>
      </c>
    </row>
    <row r="69" spans="1:36" x14ac:dyDescent="0.35">
      <c r="A69" s="3" t="s">
        <v>2</v>
      </c>
      <c r="B69" s="4" t="s" vm="3">
        <v>125</v>
      </c>
      <c r="W69" s="3" t="s">
        <v>3</v>
      </c>
      <c r="X69" s="4" t="s" vm="1">
        <v>4</v>
      </c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6" x14ac:dyDescent="0.35">
      <c r="A70" s="3" t="s">
        <v>3</v>
      </c>
      <c r="B70" s="4" t="s" vm="1">
        <v>4</v>
      </c>
      <c r="W70" s="1" t="s">
        <v>113</v>
      </c>
      <c r="X70" t="s" vm="12">
        <v>155</v>
      </c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6" x14ac:dyDescent="0.35">
      <c r="A71" s="1" t="s">
        <v>106</v>
      </c>
      <c r="B71" t="s" vm="2">
        <v>107</v>
      </c>
      <c r="W71" s="1" t="s">
        <v>110</v>
      </c>
      <c r="X71" t="s" vm="6">
        <v>135</v>
      </c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6" x14ac:dyDescent="0.35">
      <c r="A72" s="6" t="s">
        <v>113</v>
      </c>
      <c r="B72" s="5" t="s" vm="12">
        <v>155</v>
      </c>
    </row>
    <row r="73" spans="1:36" x14ac:dyDescent="0.35">
      <c r="A73" s="1" t="s">
        <v>110</v>
      </c>
      <c r="B73" t="s" vm="6">
        <v>135</v>
      </c>
      <c r="W73" s="1" t="s">
        <v>48</v>
      </c>
      <c r="Y73" s="1" t="s">
        <v>5</v>
      </c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1:36" x14ac:dyDescent="0.35">
      <c r="C74"/>
      <c r="D74"/>
      <c r="E74"/>
      <c r="F74"/>
      <c r="G74"/>
      <c r="H74"/>
      <c r="I74"/>
      <c r="J74"/>
      <c r="K74"/>
      <c r="L74"/>
      <c r="M74"/>
      <c r="W74" s="1" t="s">
        <v>17</v>
      </c>
      <c r="X74" s="1" t="s">
        <v>103</v>
      </c>
      <c r="Y74" t="s">
        <v>112</v>
      </c>
      <c r="Z74" t="s">
        <v>149</v>
      </c>
      <c r="AA74" t="s">
        <v>154</v>
      </c>
      <c r="AB74" t="s">
        <v>157</v>
      </c>
      <c r="AC74" t="s">
        <v>158</v>
      </c>
      <c r="AD74" t="s">
        <v>159</v>
      </c>
      <c r="AE74" t="s">
        <v>160</v>
      </c>
      <c r="AF74" t="s">
        <v>161</v>
      </c>
      <c r="AG74" t="s">
        <v>162</v>
      </c>
      <c r="AH74" t="s">
        <v>163</v>
      </c>
      <c r="AI74" t="s">
        <v>164</v>
      </c>
      <c r="AJ74" s="5" t="s">
        <v>16</v>
      </c>
    </row>
    <row r="75" spans="1:36" x14ac:dyDescent="0.35">
      <c r="A75" s="1" t="s">
        <v>48</v>
      </c>
      <c r="C75" s="1" t="s">
        <v>5</v>
      </c>
      <c r="N75" s="5"/>
      <c r="W75" s="2" t="s">
        <v>51</v>
      </c>
      <c r="X75" s="2" t="s">
        <v>79</v>
      </c>
      <c r="Y75" s="5">
        <v>2205.6</v>
      </c>
      <c r="Z75" s="5">
        <v>6746.4</v>
      </c>
      <c r="AA75" s="5">
        <v>4497.6000000000004</v>
      </c>
      <c r="AB75" s="5">
        <v>4600.8</v>
      </c>
      <c r="AC75" s="5">
        <v>4704</v>
      </c>
      <c r="AD75" s="5">
        <v>4704</v>
      </c>
      <c r="AE75" s="5">
        <v>7056</v>
      </c>
      <c r="AF75" s="5">
        <v>4704</v>
      </c>
      <c r="AG75" s="5">
        <v>4704</v>
      </c>
      <c r="AH75" s="5">
        <v>4704</v>
      </c>
      <c r="AI75" s="5">
        <v>4704</v>
      </c>
      <c r="AJ75" s="5">
        <v>53330.400000000001</v>
      </c>
    </row>
    <row r="76" spans="1:36" x14ac:dyDescent="0.35">
      <c r="A76" s="1" t="s">
        <v>17</v>
      </c>
      <c r="B76" s="1" t="s">
        <v>47</v>
      </c>
      <c r="C76" t="s">
        <v>112</v>
      </c>
      <c r="D76" t="s">
        <v>149</v>
      </c>
      <c r="E76" t="s">
        <v>154</v>
      </c>
      <c r="F76" t="s">
        <v>157</v>
      </c>
      <c r="G76" t="s">
        <v>158</v>
      </c>
      <c r="H76" t="s">
        <v>159</v>
      </c>
      <c r="I76" t="s">
        <v>160</v>
      </c>
      <c r="J76" t="s">
        <v>161</v>
      </c>
      <c r="K76" t="s">
        <v>162</v>
      </c>
      <c r="L76" t="s">
        <v>163</v>
      </c>
      <c r="M76" t="s">
        <v>164</v>
      </c>
      <c r="N76" s="5" t="s">
        <v>16</v>
      </c>
      <c r="W76" s="2" t="s">
        <v>53</v>
      </c>
      <c r="X76" s="2" t="s">
        <v>79</v>
      </c>
      <c r="Y76" s="5"/>
      <c r="Z76" s="5"/>
      <c r="AA76" s="5"/>
      <c r="AB76" s="5">
        <v>206.4</v>
      </c>
      <c r="AC76" s="5"/>
      <c r="AD76" s="5"/>
      <c r="AE76" s="5"/>
      <c r="AF76" s="5"/>
      <c r="AG76" s="5"/>
      <c r="AH76" s="5"/>
      <c r="AI76" s="5"/>
      <c r="AJ76" s="5">
        <v>206.4</v>
      </c>
    </row>
    <row r="77" spans="1:36" x14ac:dyDescent="0.35">
      <c r="A77" s="2" t="s">
        <v>29</v>
      </c>
      <c r="B77" s="2" t="s">
        <v>44</v>
      </c>
      <c r="C77" s="5">
        <v>2.25</v>
      </c>
      <c r="D77" s="5">
        <v>582.69000000000005</v>
      </c>
      <c r="E77" s="5">
        <v>1411.59</v>
      </c>
      <c r="F77" s="5">
        <v>914.4</v>
      </c>
      <c r="G77" s="5">
        <v>975.99</v>
      </c>
      <c r="H77" s="5">
        <v>955.46</v>
      </c>
      <c r="I77" s="5">
        <v>1223.72</v>
      </c>
      <c r="J77" s="5">
        <v>1834.94</v>
      </c>
      <c r="K77" s="5">
        <v>1225.54</v>
      </c>
      <c r="L77" s="5">
        <v>1082.56</v>
      </c>
      <c r="M77" s="5">
        <v>1223.29</v>
      </c>
      <c r="N77" s="5">
        <v>11432.43</v>
      </c>
      <c r="W77" s="2" t="s">
        <v>54</v>
      </c>
      <c r="X77" s="2" t="s">
        <v>79</v>
      </c>
      <c r="Y77" s="5"/>
      <c r="Z77" s="5">
        <v>12.98</v>
      </c>
      <c r="AA77" s="5"/>
      <c r="AB77" s="5"/>
      <c r="AC77" s="5"/>
      <c r="AD77" s="5"/>
      <c r="AE77" s="5"/>
      <c r="AF77" s="5"/>
      <c r="AG77" s="5"/>
      <c r="AH77" s="5"/>
      <c r="AI77" s="5"/>
      <c r="AJ77" s="5">
        <v>12.98</v>
      </c>
    </row>
    <row r="78" spans="1:36" x14ac:dyDescent="0.35">
      <c r="A78" s="2" t="s">
        <v>16</v>
      </c>
      <c r="C78" s="5">
        <v>2.25</v>
      </c>
      <c r="D78" s="5">
        <v>582.69000000000005</v>
      </c>
      <c r="E78" s="5">
        <v>1411.59</v>
      </c>
      <c r="F78" s="5">
        <v>914.4</v>
      </c>
      <c r="G78" s="5">
        <v>975.99</v>
      </c>
      <c r="H78" s="5">
        <v>955.46</v>
      </c>
      <c r="I78" s="5">
        <v>1223.72</v>
      </c>
      <c r="J78" s="5">
        <v>1834.94</v>
      </c>
      <c r="K78" s="5">
        <v>1225.54</v>
      </c>
      <c r="L78" s="5">
        <v>1082.56</v>
      </c>
      <c r="M78" s="5">
        <v>1223.29</v>
      </c>
      <c r="N78" s="5">
        <v>11432.43</v>
      </c>
      <c r="W78" s="2" t="s">
        <v>55</v>
      </c>
      <c r="X78" s="2" t="s">
        <v>80</v>
      </c>
      <c r="Y78" s="5">
        <v>1678.99</v>
      </c>
      <c r="Z78" s="5">
        <v>2368.2400000000002</v>
      </c>
      <c r="AA78" s="5">
        <v>1598.43</v>
      </c>
      <c r="AB78" s="5">
        <v>1699.39</v>
      </c>
      <c r="AC78" s="5">
        <v>1665.75</v>
      </c>
      <c r="AD78" s="5">
        <v>3454.1200000000003</v>
      </c>
      <c r="AE78" s="5">
        <v>5176.8999999999996</v>
      </c>
      <c r="AF78" s="5">
        <v>3451.2600000000007</v>
      </c>
      <c r="AG78" s="5">
        <v>2513.0700000000002</v>
      </c>
      <c r="AH78" s="5">
        <v>3451.26</v>
      </c>
      <c r="AI78" s="5">
        <v>3451.2700000000004</v>
      </c>
      <c r="AJ78" s="5">
        <v>30508.680000000004</v>
      </c>
    </row>
    <row r="79" spans="1:36" x14ac:dyDescent="0.35">
      <c r="C79"/>
      <c r="D79"/>
      <c r="E79"/>
      <c r="F79"/>
      <c r="G79"/>
      <c r="H79"/>
      <c r="I79"/>
      <c r="J79"/>
      <c r="K79"/>
      <c r="L79"/>
      <c r="M79"/>
      <c r="W79" s="2" t="s">
        <v>64</v>
      </c>
      <c r="X79" s="2" t="s">
        <v>89</v>
      </c>
      <c r="Y79" s="5"/>
      <c r="Z79" s="5">
        <v>283</v>
      </c>
      <c r="AA79" s="5"/>
      <c r="AB79" s="5"/>
      <c r="AC79" s="5"/>
      <c r="AD79" s="5"/>
      <c r="AE79" s="5"/>
      <c r="AF79" s="5">
        <v>15</v>
      </c>
      <c r="AG79" s="5"/>
      <c r="AH79" s="5"/>
      <c r="AI79" s="5"/>
      <c r="AJ79" s="5">
        <v>298</v>
      </c>
    </row>
    <row r="80" spans="1:36" x14ac:dyDescent="0.35">
      <c r="C80"/>
      <c r="D80"/>
      <c r="E80"/>
      <c r="F80"/>
      <c r="G80"/>
      <c r="H80"/>
      <c r="I80"/>
      <c r="J80"/>
      <c r="K80"/>
      <c r="L80"/>
      <c r="M80"/>
      <c r="W80" s="2" t="s">
        <v>77</v>
      </c>
      <c r="X80" s="2" t="s">
        <v>101</v>
      </c>
      <c r="Y80" s="5">
        <v>243.36</v>
      </c>
      <c r="Z80" s="5">
        <v>589.58000000000004</v>
      </c>
      <c r="AA80" s="5">
        <v>381.93</v>
      </c>
      <c r="AB80" s="5">
        <v>407.64</v>
      </c>
      <c r="AC80" s="5">
        <v>399.07</v>
      </c>
      <c r="AD80" s="5">
        <v>511.12000000000006</v>
      </c>
      <c r="AE80" s="5">
        <v>766.40000000000009</v>
      </c>
      <c r="AF80" s="5">
        <v>511.87</v>
      </c>
      <c r="AG80" s="5">
        <v>452.15</v>
      </c>
      <c r="AH80" s="5">
        <v>510.94000000000005</v>
      </c>
      <c r="AI80" s="5"/>
      <c r="AJ80" s="5">
        <v>4774.0599999999995</v>
      </c>
    </row>
    <row r="81" spans="23:36" customFormat="1" x14ac:dyDescent="0.35">
      <c r="W81" s="2" t="s">
        <v>16</v>
      </c>
      <c r="Y81" s="5">
        <v>4127.95</v>
      </c>
      <c r="Z81" s="5">
        <v>10000.199999999999</v>
      </c>
      <c r="AA81" s="5">
        <v>6477.9600000000009</v>
      </c>
      <c r="AB81" s="5">
        <v>6914.23</v>
      </c>
      <c r="AC81" s="5">
        <v>6768.82</v>
      </c>
      <c r="AD81" s="5">
        <v>8669.2400000000016</v>
      </c>
      <c r="AE81" s="5">
        <v>12999.3</v>
      </c>
      <c r="AF81" s="5">
        <v>8682.130000000001</v>
      </c>
      <c r="AG81" s="5">
        <v>7669.2199999999993</v>
      </c>
      <c r="AH81" s="5">
        <v>8666.2000000000007</v>
      </c>
      <c r="AI81" s="5">
        <v>8155.27</v>
      </c>
      <c r="AJ81" s="5">
        <v>89130.520000000019</v>
      </c>
    </row>
    <row r="82" spans="23:36" customFormat="1" x14ac:dyDescent="0.35"/>
    <row r="83" spans="23:36" customFormat="1" x14ac:dyDescent="0.35"/>
    <row r="84" spans="23:36" customFormat="1" x14ac:dyDescent="0.35"/>
    <row r="85" spans="23:36" customFormat="1" x14ac:dyDescent="0.35"/>
    <row r="86" spans="23:36" customFormat="1" x14ac:dyDescent="0.35"/>
    <row r="87" spans="23:36" customFormat="1" x14ac:dyDescent="0.35"/>
    <row r="88" spans="23:36" customFormat="1" x14ac:dyDescent="0.35"/>
    <row r="89" spans="23:36" customFormat="1" x14ac:dyDescent="0.35"/>
    <row r="90" spans="23:36" customFormat="1" x14ac:dyDescent="0.35"/>
    <row r="91" spans="23:36" customFormat="1" x14ac:dyDescent="0.35"/>
    <row r="92" spans="23:36" customFormat="1" x14ac:dyDescent="0.35"/>
    <row r="93" spans="23:36" customFormat="1" x14ac:dyDescent="0.35"/>
    <row r="94" spans="23:36" customFormat="1" x14ac:dyDescent="0.35"/>
    <row r="95" spans="23:36" customFormat="1" x14ac:dyDescent="0.35"/>
    <row r="96" spans="23:3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</sheetPr>
  <dimension ref="A1:AQ114"/>
  <sheetViews>
    <sheetView topLeftCell="I34" zoomScale="80" zoomScaleNormal="80" workbookViewId="0">
      <selection activeCell="C1" sqref="C1"/>
    </sheetView>
  </sheetViews>
  <sheetFormatPr defaultRowHeight="14.5" x14ac:dyDescent="0.35"/>
  <cols>
    <col min="1" max="1" width="17.7265625" bestFit="1" customWidth="1"/>
    <col min="2" max="2" width="26.453125" bestFit="1" customWidth="1"/>
    <col min="3" max="3" width="16.7265625" style="5" bestFit="1" customWidth="1"/>
    <col min="4" max="6" width="10.81640625" style="5" bestFit="1" customWidth="1"/>
    <col min="7" max="7" width="12" style="5" bestFit="1" customWidth="1"/>
    <col min="8" max="8" width="13" style="5" bestFit="1" customWidth="1"/>
    <col min="9" max="11" width="12" style="5" bestFit="1" customWidth="1"/>
    <col min="12" max="13" width="10.81640625" style="5" bestFit="1" customWidth="1"/>
    <col min="14" max="18" width="13" bestFit="1" customWidth="1"/>
    <col min="19" max="19" width="14.81640625" bestFit="1" customWidth="1"/>
    <col min="20" max="24" width="14.81640625" customWidth="1"/>
    <col min="25" max="25" width="17.7265625" bestFit="1" customWidth="1"/>
    <col min="26" max="26" width="22.1796875" bestFit="1" customWidth="1"/>
    <col min="27" max="27" width="16.7265625" bestFit="1" customWidth="1"/>
    <col min="28" max="37" width="11.26953125" bestFit="1" customWidth="1"/>
    <col min="38" max="38" width="13" bestFit="1" customWidth="1"/>
    <col min="39" max="42" width="12.26953125" bestFit="1" customWidth="1"/>
    <col min="43" max="43" width="13.81640625" bestFit="1" customWidth="1"/>
    <col min="44" max="47" width="10.54296875" customWidth="1"/>
    <col min="48" max="48" width="10.54296875" bestFit="1" customWidth="1"/>
    <col min="49" max="49" width="10.54296875" customWidth="1"/>
    <col min="50" max="50" width="10.54296875" bestFit="1" customWidth="1"/>
    <col min="51" max="52" width="11.54296875" bestFit="1" customWidth="1"/>
    <col min="53" max="53" width="10.54296875" customWidth="1"/>
    <col min="54" max="54" width="10.54296875" bestFit="1" customWidth="1"/>
    <col min="55" max="61" width="10.54296875" customWidth="1"/>
    <col min="62" max="62" width="11.453125" customWidth="1"/>
    <col min="63" max="64" width="10.54296875" customWidth="1"/>
    <col min="65" max="65" width="11.54296875" bestFit="1" customWidth="1"/>
    <col min="66" max="66" width="10.54296875" customWidth="1"/>
    <col min="67" max="67" width="11.54296875" bestFit="1" customWidth="1"/>
    <col min="68" max="68" width="10.54296875" customWidth="1"/>
    <col min="69" max="69" width="10.54296875" bestFit="1" customWidth="1"/>
    <col min="70" max="72" width="10.54296875" customWidth="1"/>
    <col min="73" max="73" width="11.54296875" bestFit="1" customWidth="1"/>
    <col min="74" max="77" width="10.54296875" customWidth="1"/>
    <col min="78" max="79" width="5.1796875" customWidth="1"/>
    <col min="80" max="80" width="11.54296875" bestFit="1" customWidth="1"/>
    <col min="81" max="90" width="10.54296875" customWidth="1"/>
    <col min="91" max="91" width="10.453125" customWidth="1"/>
    <col min="92" max="92" width="10.54296875" customWidth="1"/>
    <col min="93" max="93" width="11.54296875" bestFit="1" customWidth="1"/>
    <col min="94" max="97" width="10.54296875" customWidth="1"/>
    <col min="98" max="98" width="11.54296875" bestFit="1" customWidth="1"/>
    <col min="99" max="99" width="10.54296875" bestFit="1" customWidth="1"/>
    <col min="100" max="105" width="10.54296875" customWidth="1"/>
    <col min="106" max="107" width="5.1796875" customWidth="1"/>
    <col min="108" max="108" width="11.54296875" bestFit="1" customWidth="1"/>
    <col min="109" max="110" width="10.54296875" customWidth="1"/>
    <col min="111" max="111" width="10.54296875" bestFit="1" customWidth="1"/>
    <col min="112" max="117" width="10.54296875" customWidth="1"/>
    <col min="118" max="118" width="10.54296875" bestFit="1" customWidth="1"/>
    <col min="119" max="120" width="10.54296875" customWidth="1"/>
    <col min="121" max="122" width="5.1796875" customWidth="1"/>
    <col min="123" max="123" width="11.54296875" bestFit="1" customWidth="1"/>
    <col min="124" max="132" width="10.54296875" customWidth="1"/>
    <col min="133" max="133" width="11.54296875" bestFit="1" customWidth="1"/>
    <col min="134" max="134" width="10.54296875" customWidth="1"/>
    <col min="135" max="135" width="12.453125" bestFit="1" customWidth="1"/>
    <col min="136" max="136" width="11.54296875" customWidth="1"/>
    <col min="137" max="143" width="10.54296875" bestFit="1" customWidth="1"/>
    <col min="144" max="145" width="11.54296875" bestFit="1" customWidth="1"/>
    <col min="146" max="146" width="10.54296875" bestFit="1" customWidth="1"/>
    <col min="147" max="147" width="11.54296875" bestFit="1" customWidth="1"/>
    <col min="148" max="148" width="11.453125" bestFit="1" customWidth="1"/>
    <col min="149" max="149" width="11.54296875" bestFit="1" customWidth="1"/>
    <col min="150" max="156" width="10.54296875" bestFit="1" customWidth="1"/>
    <col min="157" max="157" width="11.54296875" bestFit="1" customWidth="1"/>
    <col min="158" max="158" width="13.453125" bestFit="1" customWidth="1"/>
  </cols>
  <sheetData>
    <row r="1" spans="1:43" x14ac:dyDescent="0.35">
      <c r="A1" s="3" t="s">
        <v>1</v>
      </c>
      <c r="B1" s="4" t="s" vm="10">
        <v>152</v>
      </c>
      <c r="Y1" s="3" t="s">
        <v>1</v>
      </c>
      <c r="Z1" s="4" t="s" vm="9">
        <v>151</v>
      </c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</row>
    <row r="2" spans="1:43" x14ac:dyDescent="0.35">
      <c r="A2" s="3" t="s">
        <v>2</v>
      </c>
      <c r="B2" s="4" t="s" vm="3">
        <v>125</v>
      </c>
      <c r="Y2" s="3" t="s">
        <v>2</v>
      </c>
      <c r="Z2" s="4" t="s" vm="3">
        <v>125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pans="1:43" x14ac:dyDescent="0.35">
      <c r="A3" s="3" t="s">
        <v>3</v>
      </c>
      <c r="B3" s="4" t="s" vm="1">
        <v>4</v>
      </c>
      <c r="Y3" s="3" t="s">
        <v>3</v>
      </c>
      <c r="Z3" s="4" t="s" vm="1">
        <v>4</v>
      </c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43" x14ac:dyDescent="0.35">
      <c r="A4" s="1" t="s">
        <v>106</v>
      </c>
      <c r="B4" t="s" vm="2">
        <v>107</v>
      </c>
      <c r="Y4" s="1" t="s">
        <v>110</v>
      </c>
      <c r="Z4" t="s" vm="7">
        <v>136</v>
      </c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</row>
    <row r="5" spans="1:43" x14ac:dyDescent="0.35">
      <c r="A5" s="1" t="s">
        <v>110</v>
      </c>
      <c r="B5" t="s" vm="7">
        <v>136</v>
      </c>
      <c r="C5"/>
      <c r="D5"/>
      <c r="E5"/>
      <c r="F5"/>
      <c r="G5"/>
      <c r="H5"/>
      <c r="I5"/>
      <c r="J5"/>
      <c r="K5"/>
      <c r="L5"/>
      <c r="M5"/>
    </row>
    <row r="6" spans="1:43" x14ac:dyDescent="0.35">
      <c r="C6"/>
      <c r="D6"/>
      <c r="E6"/>
      <c r="F6"/>
      <c r="G6"/>
      <c r="H6"/>
      <c r="I6"/>
      <c r="J6"/>
      <c r="K6"/>
      <c r="L6"/>
      <c r="M6"/>
      <c r="Y6" s="1" t="s">
        <v>48</v>
      </c>
      <c r="AA6" s="6" t="s">
        <v>5</v>
      </c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x14ac:dyDescent="0.35">
      <c r="A7" s="1" t="s">
        <v>48</v>
      </c>
      <c r="C7" s="6" t="s">
        <v>5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1" t="s">
        <v>17</v>
      </c>
      <c r="Z7" s="1" t="s">
        <v>103</v>
      </c>
      <c r="AA7" s="5" t="s">
        <v>6</v>
      </c>
      <c r="AB7" s="5" t="s">
        <v>7</v>
      </c>
      <c r="AC7" s="5" t="s">
        <v>8</v>
      </c>
      <c r="AD7" s="5" t="s">
        <v>9</v>
      </c>
      <c r="AE7" s="5" t="s">
        <v>10</v>
      </c>
      <c r="AF7" s="5" t="s">
        <v>11</v>
      </c>
      <c r="AG7" s="5" t="s">
        <v>12</v>
      </c>
      <c r="AH7" s="5" t="s">
        <v>13</v>
      </c>
      <c r="AI7" s="5" t="s">
        <v>14</v>
      </c>
      <c r="AJ7" s="5" t="s">
        <v>15</v>
      </c>
      <c r="AK7" s="5" t="s">
        <v>137</v>
      </c>
      <c r="AL7" s="5" t="s">
        <v>144</v>
      </c>
      <c r="AM7" s="5" t="s">
        <v>145</v>
      </c>
      <c r="AN7" s="5" t="s">
        <v>148</v>
      </c>
      <c r="AO7" s="5" t="s">
        <v>150</v>
      </c>
      <c r="AP7" s="5" t="s">
        <v>155</v>
      </c>
      <c r="AQ7" s="5" t="s">
        <v>16</v>
      </c>
    </row>
    <row r="8" spans="1:43" x14ac:dyDescent="0.35">
      <c r="A8" s="1" t="s">
        <v>17</v>
      </c>
      <c r="B8" s="1" t="s">
        <v>47</v>
      </c>
      <c r="C8" s="5" t="s">
        <v>6</v>
      </c>
      <c r="D8" s="5" t="s">
        <v>7</v>
      </c>
      <c r="E8" s="5" t="s">
        <v>8</v>
      </c>
      <c r="F8" s="5" t="s">
        <v>9</v>
      </c>
      <c r="G8" s="5" t="s">
        <v>10</v>
      </c>
      <c r="H8" s="5" t="s">
        <v>11</v>
      </c>
      <c r="I8" s="5" t="s">
        <v>12</v>
      </c>
      <c r="J8" s="5" t="s">
        <v>13</v>
      </c>
      <c r="K8" s="5" t="s">
        <v>14</v>
      </c>
      <c r="L8" s="5" t="s">
        <v>15</v>
      </c>
      <c r="M8" s="5" t="s">
        <v>137</v>
      </c>
      <c r="N8" s="5" t="s">
        <v>144</v>
      </c>
      <c r="O8" s="5" t="s">
        <v>145</v>
      </c>
      <c r="P8" s="5" t="s">
        <v>148</v>
      </c>
      <c r="Q8" s="5" t="s">
        <v>150</v>
      </c>
      <c r="R8" s="5" t="s">
        <v>155</v>
      </c>
      <c r="S8" s="5" t="s">
        <v>16</v>
      </c>
      <c r="T8" s="5"/>
      <c r="U8" s="5"/>
      <c r="V8" s="5"/>
      <c r="W8" s="5"/>
      <c r="X8" s="5"/>
      <c r="Y8" s="2" t="s">
        <v>50</v>
      </c>
      <c r="Z8" s="2" t="s">
        <v>79</v>
      </c>
      <c r="AA8" s="5"/>
      <c r="AB8" s="5"/>
      <c r="AC8" s="5"/>
      <c r="AD8" s="5"/>
      <c r="AE8" s="5"/>
      <c r="AF8" s="5"/>
      <c r="AG8" s="5"/>
      <c r="AH8" s="5"/>
      <c r="AI8" s="5">
        <v>1566.4</v>
      </c>
      <c r="AJ8" s="5"/>
      <c r="AK8" s="5"/>
      <c r="AL8" s="5"/>
      <c r="AM8" s="5"/>
      <c r="AN8" s="5"/>
      <c r="AO8" s="5"/>
      <c r="AP8" s="5"/>
      <c r="AQ8" s="5">
        <v>1566.4</v>
      </c>
    </row>
    <row r="9" spans="1:43" x14ac:dyDescent="0.35">
      <c r="A9" s="2" t="s">
        <v>115</v>
      </c>
      <c r="B9" s="2" t="s">
        <v>116</v>
      </c>
      <c r="C9" s="5">
        <v>-174005</v>
      </c>
      <c r="D9" s="5">
        <v>-224290</v>
      </c>
      <c r="E9" s="5">
        <v>-206900</v>
      </c>
      <c r="F9" s="5">
        <v>-215860</v>
      </c>
      <c r="G9" s="5">
        <v>-227960</v>
      </c>
      <c r="H9" s="5">
        <v>-229980</v>
      </c>
      <c r="I9" s="5">
        <v>-227570</v>
      </c>
      <c r="J9" s="5">
        <v>-240350</v>
      </c>
      <c r="K9" s="5">
        <v>-244590</v>
      </c>
      <c r="L9" s="5">
        <v>-253460</v>
      </c>
      <c r="M9" s="5">
        <v>-254700</v>
      </c>
      <c r="N9" s="5">
        <v>-247940</v>
      </c>
      <c r="O9" s="5">
        <v>-258720</v>
      </c>
      <c r="P9" s="5">
        <v>-255620.12</v>
      </c>
      <c r="Q9" s="5">
        <v>-268120</v>
      </c>
      <c r="R9" s="5">
        <v>-211600</v>
      </c>
      <c r="S9" s="5">
        <v>-3741665.12</v>
      </c>
      <c r="T9" s="5"/>
      <c r="U9" s="5"/>
      <c r="V9" s="5"/>
      <c r="W9" s="5"/>
      <c r="X9" s="5"/>
      <c r="Y9" s="2" t="s">
        <v>51</v>
      </c>
      <c r="Z9" s="2" t="s">
        <v>79</v>
      </c>
      <c r="AA9" s="5">
        <v>115002.43999999999</v>
      </c>
      <c r="AB9" s="5">
        <v>134348.20999999993</v>
      </c>
      <c r="AC9" s="5">
        <v>115128.67</v>
      </c>
      <c r="AD9" s="5">
        <v>186424.16</v>
      </c>
      <c r="AE9" s="5">
        <v>194363.81999999998</v>
      </c>
      <c r="AF9" s="5">
        <v>191972.86</v>
      </c>
      <c r="AG9" s="5">
        <v>197721.34999999998</v>
      </c>
      <c r="AH9" s="5">
        <v>214017.94000000003</v>
      </c>
      <c r="AI9" s="5">
        <v>183333.70999999996</v>
      </c>
      <c r="AJ9" s="5">
        <v>180192.09000000008</v>
      </c>
      <c r="AK9" s="5">
        <v>208631.07000000007</v>
      </c>
      <c r="AL9" s="5">
        <v>220143.02000000002</v>
      </c>
      <c r="AM9" s="5">
        <v>232427.05000000002</v>
      </c>
      <c r="AN9" s="5">
        <v>242844.37000000008</v>
      </c>
      <c r="AO9" s="5">
        <v>253366.96999999994</v>
      </c>
      <c r="AP9" s="5">
        <v>246453.67999999993</v>
      </c>
      <c r="AQ9" s="5">
        <v>3116371.4099999992</v>
      </c>
    </row>
    <row r="10" spans="1:43" x14ac:dyDescent="0.35">
      <c r="A10" s="2" t="s">
        <v>138</v>
      </c>
      <c r="B10" s="2" t="s">
        <v>139</v>
      </c>
      <c r="M10" s="5">
        <v>-82.5</v>
      </c>
      <c r="N10" s="5"/>
      <c r="O10" s="5"/>
      <c r="P10" s="5"/>
      <c r="Q10" s="5"/>
      <c r="R10" s="5"/>
      <c r="S10" s="5">
        <v>-82.5</v>
      </c>
      <c r="T10" s="5"/>
      <c r="U10" s="5"/>
      <c r="V10" s="5"/>
      <c r="W10" s="5"/>
      <c r="X10" s="5"/>
      <c r="Y10" s="2" t="s">
        <v>53</v>
      </c>
      <c r="Z10" s="2" t="s">
        <v>79</v>
      </c>
      <c r="AA10" s="5">
        <v>2259.16</v>
      </c>
      <c r="AB10" s="5">
        <v>4905.0199999999995</v>
      </c>
      <c r="AC10" s="5">
        <v>13749.55</v>
      </c>
      <c r="AD10" s="5">
        <v>4679.8000000000011</v>
      </c>
      <c r="AE10" s="5">
        <v>1981.9</v>
      </c>
      <c r="AF10" s="5">
        <v>3131.6400000000003</v>
      </c>
      <c r="AG10" s="5">
        <v>1988.4699999999998</v>
      </c>
      <c r="AH10" s="5">
        <v>2577.3000000000002</v>
      </c>
      <c r="AI10" s="5">
        <v>2339.75</v>
      </c>
      <c r="AJ10" s="5">
        <v>16041.66</v>
      </c>
      <c r="AK10" s="5">
        <v>2019.4</v>
      </c>
      <c r="AL10" s="5">
        <v>1805.49</v>
      </c>
      <c r="AM10" s="5">
        <v>2364.67</v>
      </c>
      <c r="AN10" s="5">
        <v>3160.08</v>
      </c>
      <c r="AO10" s="5">
        <v>10705.66</v>
      </c>
      <c r="AP10" s="5">
        <v>2112</v>
      </c>
      <c r="AQ10" s="5">
        <v>75821.55</v>
      </c>
    </row>
    <row r="11" spans="1:43" x14ac:dyDescent="0.35">
      <c r="A11" s="2" t="s">
        <v>25</v>
      </c>
      <c r="B11" s="2" t="s">
        <v>40</v>
      </c>
      <c r="C11" s="5">
        <v>378209.28000000003</v>
      </c>
      <c r="G11" s="5">
        <v>-646305.01</v>
      </c>
      <c r="N11" s="5"/>
      <c r="O11" s="5"/>
      <c r="P11" s="5"/>
      <c r="Q11" s="5"/>
      <c r="R11" s="5"/>
      <c r="S11" s="5">
        <v>-268095.73</v>
      </c>
      <c r="T11" s="5"/>
      <c r="U11" s="5"/>
      <c r="V11" s="5"/>
      <c r="W11" s="5"/>
      <c r="X11" s="5"/>
      <c r="Y11" s="2" t="s">
        <v>54</v>
      </c>
      <c r="Z11" s="2" t="s">
        <v>79</v>
      </c>
      <c r="AA11" s="5">
        <v>146.99</v>
      </c>
      <c r="AB11" s="5">
        <v>676.07999999999993</v>
      </c>
      <c r="AC11" s="5">
        <v>1297.1199999999999</v>
      </c>
      <c r="AD11" s="5">
        <v>1706.47</v>
      </c>
      <c r="AE11" s="5">
        <v>1596.6600000000003</v>
      </c>
      <c r="AF11" s="5">
        <v>1875.8400000000001</v>
      </c>
      <c r="AG11" s="5">
        <v>1538.49</v>
      </c>
      <c r="AH11" s="5">
        <v>1769.6599999999999</v>
      </c>
      <c r="AI11" s="5">
        <v>1149.26</v>
      </c>
      <c r="AJ11" s="5">
        <v>1437.84</v>
      </c>
      <c r="AK11" s="5">
        <v>1471.97</v>
      </c>
      <c r="AL11" s="5">
        <v>1378.74</v>
      </c>
      <c r="AM11" s="5">
        <v>1201.8400000000001</v>
      </c>
      <c r="AN11" s="5">
        <v>1453.8200000000002</v>
      </c>
      <c r="AO11" s="5">
        <v>1468.8</v>
      </c>
      <c r="AP11" s="5"/>
      <c r="AQ11" s="5">
        <v>20169.579999999998</v>
      </c>
    </row>
    <row r="12" spans="1:43" x14ac:dyDescent="0.35">
      <c r="A12" s="2" t="s">
        <v>29</v>
      </c>
      <c r="B12" s="2" t="s">
        <v>44</v>
      </c>
      <c r="C12" s="5">
        <v>26075.690000000002</v>
      </c>
      <c r="D12" s="5">
        <v>46489.14</v>
      </c>
      <c r="E12" s="5">
        <v>45751.07</v>
      </c>
      <c r="F12" s="5">
        <v>79932.72</v>
      </c>
      <c r="G12" s="5">
        <v>84721.23</v>
      </c>
      <c r="H12" s="5">
        <v>81211.199999999997</v>
      </c>
      <c r="I12" s="5">
        <v>41726.519999999997</v>
      </c>
      <c r="J12" s="5">
        <v>43399.95</v>
      </c>
      <c r="K12" s="5">
        <v>38673.56</v>
      </c>
      <c r="L12" s="5">
        <v>40212.6</v>
      </c>
      <c r="M12" s="5">
        <v>44875.15</v>
      </c>
      <c r="N12" s="5">
        <v>53026.42</v>
      </c>
      <c r="O12" s="5">
        <v>54445.73000000001</v>
      </c>
      <c r="P12" s="5">
        <v>54550.549999999996</v>
      </c>
      <c r="Q12" s="5">
        <v>57604.35</v>
      </c>
      <c r="R12" s="5">
        <v>53207.97</v>
      </c>
      <c r="S12" s="5">
        <v>845903.85</v>
      </c>
      <c r="T12" s="5"/>
      <c r="U12" s="5"/>
      <c r="V12" s="5"/>
      <c r="W12" s="5"/>
      <c r="X12" s="5"/>
      <c r="Y12" s="2" t="s">
        <v>55</v>
      </c>
      <c r="Z12" s="2" t="s">
        <v>80</v>
      </c>
      <c r="AA12" s="5">
        <v>60645.69000000001</v>
      </c>
      <c r="AB12" s="5">
        <v>73735.61</v>
      </c>
      <c r="AC12" s="5">
        <v>61988.149999999994</v>
      </c>
      <c r="AD12" s="5">
        <v>104523</v>
      </c>
      <c r="AE12" s="5">
        <v>98202.31</v>
      </c>
      <c r="AF12" s="5">
        <v>94798.809999999939</v>
      </c>
      <c r="AG12" s="5">
        <v>108356.00999999997</v>
      </c>
      <c r="AH12" s="5">
        <v>117693.26</v>
      </c>
      <c r="AI12" s="5">
        <v>106311.00999999997</v>
      </c>
      <c r="AJ12" s="5">
        <v>112958.54000000001</v>
      </c>
      <c r="AK12" s="5">
        <v>134839.69</v>
      </c>
      <c r="AL12" s="5">
        <v>134533.84999999998</v>
      </c>
      <c r="AM12" s="5">
        <v>126303.42000000003</v>
      </c>
      <c r="AN12" s="5">
        <v>118979.90000000005</v>
      </c>
      <c r="AO12" s="5">
        <v>118006.72</v>
      </c>
      <c r="AP12" s="5">
        <v>107119.89</v>
      </c>
      <c r="AQ12" s="5">
        <v>1678995.8599999996</v>
      </c>
    </row>
    <row r="13" spans="1:43" x14ac:dyDescent="0.35">
      <c r="A13" s="2" t="s">
        <v>16</v>
      </c>
      <c r="C13" s="5">
        <v>230279.97000000003</v>
      </c>
      <c r="D13" s="5">
        <v>-177800.86</v>
      </c>
      <c r="E13" s="5">
        <v>-161148.93</v>
      </c>
      <c r="F13" s="5">
        <v>-135927.28</v>
      </c>
      <c r="G13" s="5">
        <v>-789543.78</v>
      </c>
      <c r="H13" s="5">
        <v>-148768.79999999999</v>
      </c>
      <c r="I13" s="5">
        <v>-185843.48</v>
      </c>
      <c r="J13" s="5">
        <v>-196950.05</v>
      </c>
      <c r="K13" s="5">
        <v>-205916.44</v>
      </c>
      <c r="L13" s="5">
        <v>-213247.4</v>
      </c>
      <c r="M13" s="5">
        <v>-209907.35</v>
      </c>
      <c r="N13" s="5">
        <v>-194913.58000000002</v>
      </c>
      <c r="O13" s="5">
        <v>-204274.27</v>
      </c>
      <c r="P13" s="5">
        <v>-201069.57</v>
      </c>
      <c r="Q13" s="5">
        <v>-210515.65</v>
      </c>
      <c r="R13" s="5">
        <v>-158392.03</v>
      </c>
      <c r="S13" s="5">
        <v>-3163939.5</v>
      </c>
      <c r="T13" s="5"/>
      <c r="U13" s="5"/>
      <c r="V13" s="5"/>
      <c r="W13" s="5"/>
      <c r="X13" s="5"/>
      <c r="Y13" s="2" t="s">
        <v>61</v>
      </c>
      <c r="Z13" s="2" t="s">
        <v>86</v>
      </c>
      <c r="AA13" s="5">
        <v>99.63000000000001</v>
      </c>
      <c r="AB13" s="5">
        <v>94.75</v>
      </c>
      <c r="AC13" s="5">
        <v>100.18999999999998</v>
      </c>
      <c r="AD13" s="5">
        <v>92.82</v>
      </c>
      <c r="AE13" s="5">
        <v>27.669999999999998</v>
      </c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>
        <v>415.06</v>
      </c>
    </row>
    <row r="14" spans="1:43" x14ac:dyDescent="0.35">
      <c r="C14"/>
      <c r="D14"/>
      <c r="E14"/>
      <c r="F14"/>
      <c r="G14"/>
      <c r="H14"/>
      <c r="I14"/>
      <c r="J14"/>
      <c r="K14"/>
      <c r="L14"/>
      <c r="M14"/>
      <c r="Y14" s="2" t="s">
        <v>62</v>
      </c>
      <c r="Z14" s="2" t="s">
        <v>87</v>
      </c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>
        <v>-124</v>
      </c>
      <c r="AM14" s="5"/>
      <c r="AN14" s="5"/>
      <c r="AO14" s="5"/>
      <c r="AP14" s="5"/>
      <c r="AQ14" s="5">
        <v>-124</v>
      </c>
    </row>
    <row r="15" spans="1:43" x14ac:dyDescent="0.35">
      <c r="C15"/>
      <c r="D15"/>
      <c r="E15"/>
      <c r="F15"/>
      <c r="G15"/>
      <c r="H15"/>
      <c r="I15"/>
      <c r="J15"/>
      <c r="K15"/>
      <c r="L15"/>
      <c r="M15"/>
      <c r="Y15" s="2" t="s">
        <v>64</v>
      </c>
      <c r="Z15" s="2" t="s">
        <v>89</v>
      </c>
      <c r="AA15" s="5">
        <v>141.74</v>
      </c>
      <c r="AB15" s="5">
        <v>172.41</v>
      </c>
      <c r="AC15" s="5">
        <v>103.94</v>
      </c>
      <c r="AD15" s="5"/>
      <c r="AE15" s="5">
        <v>365.38</v>
      </c>
      <c r="AF15" s="5"/>
      <c r="AG15" s="5">
        <v>273.27999999999997</v>
      </c>
      <c r="AH15" s="5"/>
      <c r="AI15" s="5"/>
      <c r="AJ15" s="5">
        <v>175</v>
      </c>
      <c r="AK15" s="5">
        <v>462</v>
      </c>
      <c r="AL15" s="5">
        <v>40</v>
      </c>
      <c r="AM15" s="5">
        <v>40</v>
      </c>
      <c r="AN15" s="5"/>
      <c r="AO15" s="5"/>
      <c r="AP15" s="5">
        <v>150</v>
      </c>
      <c r="AQ15" s="5">
        <v>1923.75</v>
      </c>
    </row>
    <row r="16" spans="1:43" x14ac:dyDescent="0.35">
      <c r="C16"/>
      <c r="D16"/>
      <c r="E16"/>
      <c r="F16"/>
      <c r="G16"/>
      <c r="H16"/>
      <c r="I16"/>
      <c r="J16"/>
      <c r="K16"/>
      <c r="L16"/>
      <c r="M16"/>
      <c r="Y16" s="2" t="s">
        <v>68</v>
      </c>
      <c r="Z16" s="2" t="s">
        <v>93</v>
      </c>
      <c r="AA16" s="5">
        <v>30.72</v>
      </c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>
        <v>30.72</v>
      </c>
    </row>
    <row r="17" spans="3:43" x14ac:dyDescent="0.35">
      <c r="C17"/>
      <c r="D17"/>
      <c r="E17"/>
      <c r="F17"/>
      <c r="G17"/>
      <c r="H17"/>
      <c r="I17"/>
      <c r="J17"/>
      <c r="K17"/>
      <c r="L17"/>
      <c r="M17"/>
      <c r="Y17" s="2" t="s">
        <v>71</v>
      </c>
      <c r="Z17" s="2" t="s">
        <v>96</v>
      </c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>
        <v>14.58</v>
      </c>
      <c r="AM17" s="5"/>
      <c r="AN17" s="5"/>
      <c r="AO17" s="5"/>
      <c r="AP17" s="5"/>
      <c r="AQ17" s="5">
        <v>14.58</v>
      </c>
    </row>
    <row r="18" spans="3:43" x14ac:dyDescent="0.35">
      <c r="C18"/>
      <c r="D18"/>
      <c r="E18"/>
      <c r="F18"/>
      <c r="G18"/>
      <c r="H18"/>
      <c r="I18"/>
      <c r="J18"/>
      <c r="K18"/>
      <c r="L18"/>
      <c r="M18"/>
      <c r="Y18" s="2" t="s">
        <v>76</v>
      </c>
      <c r="Z18" s="2" t="s">
        <v>100</v>
      </c>
      <c r="AA18" s="5"/>
      <c r="AB18" s="5"/>
      <c r="AC18" s="5"/>
      <c r="AD18" s="5">
        <v>10</v>
      </c>
      <c r="AE18" s="5">
        <v>0</v>
      </c>
      <c r="AF18" s="5">
        <v>0</v>
      </c>
      <c r="AG18" s="5">
        <v>10</v>
      </c>
      <c r="AH18" s="5"/>
      <c r="AI18" s="5">
        <v>0</v>
      </c>
      <c r="AJ18" s="5"/>
      <c r="AK18" s="5">
        <v>0</v>
      </c>
      <c r="AL18" s="5">
        <v>0</v>
      </c>
      <c r="AM18" s="5">
        <v>0</v>
      </c>
      <c r="AN18" s="5">
        <v>2.5</v>
      </c>
      <c r="AO18" s="5">
        <v>0</v>
      </c>
      <c r="AP18" s="5"/>
      <c r="AQ18" s="5">
        <v>22.5</v>
      </c>
    </row>
    <row r="19" spans="3:43" x14ac:dyDescent="0.35">
      <c r="C19"/>
      <c r="D19"/>
      <c r="E19"/>
      <c r="F19"/>
      <c r="G19"/>
      <c r="H19"/>
      <c r="I19"/>
      <c r="J19"/>
      <c r="K19"/>
      <c r="L19"/>
      <c r="M19"/>
      <c r="Y19" s="2" t="s">
        <v>77</v>
      </c>
      <c r="Z19" s="2" t="s">
        <v>101</v>
      </c>
      <c r="AA19" s="5">
        <v>1756.4899999999996</v>
      </c>
      <c r="AB19" s="5">
        <v>2928.8699999999994</v>
      </c>
      <c r="AC19" s="5">
        <v>1759.3299999999995</v>
      </c>
      <c r="AD19" s="5">
        <v>2395.1000000000004</v>
      </c>
      <c r="AE19" s="5">
        <v>3045.4300000000003</v>
      </c>
      <c r="AF19" s="5">
        <v>4468.84</v>
      </c>
      <c r="AG19" s="5">
        <v>12777.379999999997</v>
      </c>
      <c r="AH19" s="5">
        <v>17273.45</v>
      </c>
      <c r="AI19" s="5">
        <v>14110.230000000001</v>
      </c>
      <c r="AJ19" s="5">
        <v>11704.980000000003</v>
      </c>
      <c r="AK19" s="5">
        <v>8372.94</v>
      </c>
      <c r="AL19" s="5">
        <v>7470.6099999999988</v>
      </c>
      <c r="AM19" s="5">
        <v>10159.890000000001</v>
      </c>
      <c r="AN19" s="5">
        <v>10875.750000000002</v>
      </c>
      <c r="AO19" s="5">
        <v>20446.89</v>
      </c>
      <c r="AP19" s="5">
        <v>20356.230000000003</v>
      </c>
      <c r="AQ19" s="5">
        <v>149902.41</v>
      </c>
    </row>
    <row r="20" spans="3:43" x14ac:dyDescent="0.35">
      <c r="C20"/>
      <c r="D20"/>
      <c r="E20"/>
      <c r="F20"/>
      <c r="G20"/>
      <c r="H20"/>
      <c r="I20"/>
      <c r="J20"/>
      <c r="K20"/>
      <c r="L20"/>
      <c r="M20"/>
      <c r="Y20" s="2" t="s">
        <v>16</v>
      </c>
      <c r="AA20" s="5">
        <v>180082.86</v>
      </c>
      <c r="AB20" s="5">
        <v>216860.94999999992</v>
      </c>
      <c r="AC20" s="5">
        <v>194126.94999999998</v>
      </c>
      <c r="AD20" s="5">
        <v>299831.34999999998</v>
      </c>
      <c r="AE20" s="5">
        <v>299583.16999999993</v>
      </c>
      <c r="AF20" s="5">
        <v>296247.98999999993</v>
      </c>
      <c r="AG20" s="5">
        <v>322664.97999999992</v>
      </c>
      <c r="AH20" s="5">
        <v>353331.61</v>
      </c>
      <c r="AI20" s="5">
        <v>308810.35999999993</v>
      </c>
      <c r="AJ20" s="5">
        <v>322510.1100000001</v>
      </c>
      <c r="AK20" s="5">
        <v>355797.07000000007</v>
      </c>
      <c r="AL20" s="5">
        <v>365262.29</v>
      </c>
      <c r="AM20" s="5">
        <v>372496.87000000011</v>
      </c>
      <c r="AN20" s="5">
        <v>377316.42000000016</v>
      </c>
      <c r="AO20" s="5">
        <v>403995.03999999992</v>
      </c>
      <c r="AP20" s="5">
        <v>376191.79999999993</v>
      </c>
      <c r="AQ20" s="5">
        <v>5045109.8199999994</v>
      </c>
    </row>
    <row r="21" spans="3:43" x14ac:dyDescent="0.35">
      <c r="C21"/>
      <c r="D21"/>
      <c r="E21"/>
      <c r="F21"/>
      <c r="G21"/>
      <c r="H21"/>
      <c r="I21"/>
      <c r="J21"/>
      <c r="K21"/>
      <c r="L21"/>
      <c r="M21"/>
    </row>
    <row r="22" spans="3:43" x14ac:dyDescent="0.35">
      <c r="C22"/>
      <c r="D22"/>
      <c r="E22"/>
      <c r="F22"/>
      <c r="G22"/>
      <c r="H22"/>
      <c r="I22"/>
      <c r="J22"/>
      <c r="K22"/>
      <c r="L22"/>
      <c r="M22"/>
    </row>
    <row r="23" spans="3:43" x14ac:dyDescent="0.35">
      <c r="C23"/>
      <c r="D23"/>
      <c r="E23"/>
      <c r="F23"/>
      <c r="G23"/>
      <c r="H23"/>
      <c r="I23"/>
      <c r="J23"/>
      <c r="K23"/>
      <c r="L23"/>
      <c r="M23"/>
    </row>
    <row r="24" spans="3:43" x14ac:dyDescent="0.35">
      <c r="C24"/>
      <c r="D24"/>
      <c r="E24"/>
      <c r="F24"/>
      <c r="G24"/>
      <c r="H24"/>
      <c r="I24"/>
      <c r="J24"/>
      <c r="K24"/>
      <c r="L24"/>
      <c r="M24"/>
    </row>
    <row r="25" spans="3:43" x14ac:dyDescent="0.35">
      <c r="C25"/>
      <c r="D25"/>
      <c r="E25"/>
      <c r="F25"/>
      <c r="G25"/>
      <c r="H25"/>
      <c r="I25"/>
      <c r="J25"/>
      <c r="K25"/>
      <c r="L25"/>
      <c r="M25"/>
    </row>
    <row r="26" spans="3:43" x14ac:dyDescent="0.35">
      <c r="C26"/>
      <c r="D26"/>
      <c r="E26"/>
      <c r="F26"/>
      <c r="G26"/>
      <c r="H26"/>
      <c r="I26"/>
      <c r="J26"/>
      <c r="K26"/>
      <c r="L26"/>
      <c r="M26"/>
    </row>
    <row r="27" spans="3:43" x14ac:dyDescent="0.35">
      <c r="C27"/>
      <c r="D27"/>
      <c r="E27"/>
      <c r="F27"/>
      <c r="G27"/>
      <c r="H27"/>
      <c r="I27"/>
      <c r="J27"/>
      <c r="K27"/>
      <c r="L27"/>
      <c r="M27"/>
    </row>
    <row r="28" spans="3:43" x14ac:dyDescent="0.35">
      <c r="C28"/>
      <c r="D28"/>
      <c r="E28"/>
      <c r="F28"/>
      <c r="G28"/>
      <c r="H28"/>
      <c r="I28"/>
      <c r="J28"/>
      <c r="K28"/>
      <c r="L28"/>
      <c r="M28"/>
    </row>
    <row r="29" spans="3:43" x14ac:dyDescent="0.35">
      <c r="C29"/>
      <c r="D29"/>
      <c r="E29"/>
      <c r="F29"/>
      <c r="G29"/>
      <c r="H29"/>
      <c r="I29"/>
      <c r="J29"/>
      <c r="K29"/>
      <c r="L29"/>
      <c r="M29"/>
    </row>
    <row r="30" spans="3:43" x14ac:dyDescent="0.35">
      <c r="C30"/>
      <c r="D30"/>
      <c r="E30"/>
      <c r="F30"/>
      <c r="G30"/>
      <c r="H30"/>
      <c r="I30"/>
      <c r="J30"/>
      <c r="K30"/>
      <c r="L30"/>
      <c r="M30"/>
    </row>
    <row r="31" spans="3:43" x14ac:dyDescent="0.35">
      <c r="C31"/>
      <c r="D31"/>
      <c r="E31"/>
      <c r="F31"/>
      <c r="G31"/>
      <c r="H31"/>
      <c r="I31"/>
      <c r="J31"/>
      <c r="K31"/>
      <c r="L31"/>
      <c r="M31"/>
    </row>
    <row r="32" spans="3:43" x14ac:dyDescent="0.35">
      <c r="C32"/>
      <c r="D32"/>
      <c r="E32"/>
      <c r="F32"/>
      <c r="G32"/>
      <c r="H32"/>
      <c r="I32"/>
      <c r="J32"/>
      <c r="K32"/>
      <c r="L32"/>
      <c r="M32"/>
    </row>
    <row r="33" spans="3:37" x14ac:dyDescent="0.35">
      <c r="C33"/>
      <c r="D33"/>
      <c r="E33"/>
      <c r="F33"/>
      <c r="G33"/>
      <c r="H33"/>
      <c r="I33"/>
      <c r="J33"/>
      <c r="K33"/>
      <c r="L33"/>
      <c r="M33"/>
    </row>
    <row r="34" spans="3:37" x14ac:dyDescent="0.35">
      <c r="C34"/>
      <c r="D34"/>
      <c r="E34"/>
      <c r="F34"/>
      <c r="G34"/>
      <c r="H34"/>
      <c r="I34"/>
      <c r="J34"/>
      <c r="K34"/>
      <c r="L34"/>
      <c r="M34"/>
    </row>
    <row r="35" spans="3:37" x14ac:dyDescent="0.35">
      <c r="C35"/>
      <c r="D35"/>
      <c r="E35"/>
      <c r="F35"/>
      <c r="G35"/>
      <c r="H35"/>
      <c r="I35"/>
      <c r="J35"/>
      <c r="K35"/>
      <c r="L35"/>
      <c r="M35"/>
    </row>
    <row r="36" spans="3:37" x14ac:dyDescent="0.35">
      <c r="C36"/>
      <c r="D36"/>
      <c r="E36"/>
      <c r="F36"/>
      <c r="G36"/>
      <c r="H36"/>
      <c r="I36"/>
      <c r="J36"/>
      <c r="K36"/>
      <c r="L36"/>
      <c r="M36"/>
    </row>
    <row r="37" spans="3:37" x14ac:dyDescent="0.35">
      <c r="C37"/>
      <c r="D37"/>
      <c r="E37"/>
      <c r="F37"/>
      <c r="G37"/>
      <c r="H37"/>
      <c r="I37"/>
      <c r="J37"/>
      <c r="K37"/>
      <c r="L37"/>
      <c r="M37"/>
    </row>
    <row r="38" spans="3:37" x14ac:dyDescent="0.35">
      <c r="C38"/>
      <c r="D38"/>
      <c r="E38"/>
      <c r="F38"/>
      <c r="G38"/>
      <c r="H38"/>
      <c r="I38"/>
      <c r="J38"/>
      <c r="K38"/>
      <c r="L38"/>
      <c r="M38"/>
    </row>
    <row r="39" spans="3:37" x14ac:dyDescent="0.35">
      <c r="C39"/>
      <c r="D39"/>
      <c r="E39"/>
      <c r="F39"/>
      <c r="G39"/>
      <c r="H39"/>
      <c r="I39"/>
      <c r="J39"/>
      <c r="K39"/>
      <c r="L39"/>
      <c r="M39"/>
    </row>
    <row r="40" spans="3:37" x14ac:dyDescent="0.35">
      <c r="C40"/>
      <c r="D40"/>
      <c r="E40"/>
      <c r="F40"/>
      <c r="G40"/>
      <c r="H40"/>
      <c r="I40"/>
      <c r="J40"/>
      <c r="K40"/>
      <c r="L40"/>
      <c r="M40"/>
    </row>
    <row r="41" spans="3:37" x14ac:dyDescent="0.35">
      <c r="C41"/>
      <c r="D41"/>
      <c r="E41"/>
      <c r="F41"/>
      <c r="G41"/>
      <c r="H41"/>
      <c r="I41"/>
      <c r="J41"/>
      <c r="K41"/>
      <c r="L41"/>
      <c r="M41"/>
    </row>
    <row r="42" spans="3:37" x14ac:dyDescent="0.35">
      <c r="C42"/>
      <c r="D42"/>
      <c r="E42"/>
      <c r="F42"/>
      <c r="G42"/>
      <c r="H42"/>
      <c r="I42"/>
      <c r="J42"/>
      <c r="K42"/>
      <c r="L42"/>
      <c r="M42"/>
    </row>
    <row r="43" spans="3:37" x14ac:dyDescent="0.35">
      <c r="C43"/>
      <c r="D43"/>
      <c r="E43"/>
      <c r="F43"/>
      <c r="G43"/>
      <c r="H43"/>
      <c r="I43"/>
      <c r="J43"/>
      <c r="K43"/>
      <c r="L43"/>
      <c r="M43"/>
    </row>
    <row r="44" spans="3:37" x14ac:dyDescent="0.35">
      <c r="C44"/>
      <c r="D44"/>
      <c r="E44"/>
      <c r="F44"/>
      <c r="G44"/>
      <c r="H44"/>
      <c r="I44"/>
      <c r="J44"/>
      <c r="K44"/>
      <c r="L44"/>
      <c r="M44"/>
    </row>
    <row r="45" spans="3:37" x14ac:dyDescent="0.35">
      <c r="C45"/>
      <c r="D45"/>
      <c r="E45"/>
      <c r="F45"/>
      <c r="G45"/>
      <c r="H45"/>
      <c r="I45"/>
      <c r="J45"/>
      <c r="K45"/>
      <c r="L45"/>
      <c r="M45"/>
      <c r="AK45" s="5"/>
    </row>
    <row r="67" spans="1:38" x14ac:dyDescent="0.35">
      <c r="Y67" s="3" t="s">
        <v>1</v>
      </c>
      <c r="Z67" s="4" t="s" vm="9">
        <v>151</v>
      </c>
    </row>
    <row r="68" spans="1:38" x14ac:dyDescent="0.35">
      <c r="A68" s="3" t="s">
        <v>1</v>
      </c>
      <c r="B68" s="4" t="s" vm="10">
        <v>152</v>
      </c>
      <c r="Y68" s="3" t="s">
        <v>2</v>
      </c>
      <c r="Z68" s="4" t="s" vm="3">
        <v>125</v>
      </c>
    </row>
    <row r="69" spans="1:38" x14ac:dyDescent="0.35">
      <c r="A69" s="3" t="s">
        <v>2</v>
      </c>
      <c r="B69" s="4" t="s" vm="3">
        <v>125</v>
      </c>
      <c r="Y69" s="3" t="s">
        <v>3</v>
      </c>
      <c r="Z69" s="4" t="s" vm="1">
        <v>4</v>
      </c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</row>
    <row r="70" spans="1:38" x14ac:dyDescent="0.35">
      <c r="A70" s="3" t="s">
        <v>3</v>
      </c>
      <c r="B70" s="4" t="s" vm="1">
        <v>4</v>
      </c>
      <c r="Y70" s="1" t="s">
        <v>113</v>
      </c>
      <c r="Z70" t="s" vm="12">
        <v>155</v>
      </c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</row>
    <row r="71" spans="1:38" x14ac:dyDescent="0.35">
      <c r="A71" s="1" t="s">
        <v>106</v>
      </c>
      <c r="B71" t="s" vm="2">
        <v>107</v>
      </c>
      <c r="Y71" s="1" t="s">
        <v>110</v>
      </c>
      <c r="Z71" t="s" vm="7">
        <v>136</v>
      </c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</row>
    <row r="72" spans="1:38" x14ac:dyDescent="0.35">
      <c r="A72" s="6" t="s">
        <v>113</v>
      </c>
      <c r="B72" s="5" t="s" vm="12">
        <v>155</v>
      </c>
    </row>
    <row r="73" spans="1:38" x14ac:dyDescent="0.35">
      <c r="A73" s="1" t="s">
        <v>110</v>
      </c>
      <c r="B73" t="s" vm="7">
        <v>136</v>
      </c>
      <c r="Y73" s="1" t="s">
        <v>48</v>
      </c>
      <c r="AA73" s="1" t="s">
        <v>5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35">
      <c r="C74"/>
      <c r="D74"/>
      <c r="E74"/>
      <c r="F74"/>
      <c r="G74"/>
      <c r="H74"/>
      <c r="I74"/>
      <c r="J74"/>
      <c r="K74"/>
      <c r="L74"/>
      <c r="M74"/>
      <c r="Y74" s="1" t="s">
        <v>17</v>
      </c>
      <c r="Z74" s="1" t="s">
        <v>103</v>
      </c>
      <c r="AA74" t="s">
        <v>112</v>
      </c>
      <c r="AB74" t="s">
        <v>149</v>
      </c>
      <c r="AC74" t="s">
        <v>154</v>
      </c>
      <c r="AD74" t="s">
        <v>157</v>
      </c>
      <c r="AE74" t="s">
        <v>158</v>
      </c>
      <c r="AF74" t="s">
        <v>159</v>
      </c>
      <c r="AG74" t="s">
        <v>160</v>
      </c>
      <c r="AH74" t="s">
        <v>161</v>
      </c>
      <c r="AI74" t="s">
        <v>162</v>
      </c>
      <c r="AJ74" t="s">
        <v>163</v>
      </c>
      <c r="AK74" t="s">
        <v>164</v>
      </c>
      <c r="AL74" s="5" t="s">
        <v>16</v>
      </c>
    </row>
    <row r="75" spans="1:38" x14ac:dyDescent="0.35">
      <c r="A75" s="1" t="s">
        <v>48</v>
      </c>
      <c r="C75" s="1" t="s">
        <v>5</v>
      </c>
      <c r="N75" s="5"/>
      <c r="Y75" s="2" t="s">
        <v>51</v>
      </c>
      <c r="Z75" s="2" t="s">
        <v>79</v>
      </c>
      <c r="AA75" s="5">
        <v>19994.399999999998</v>
      </c>
      <c r="AB75" s="5">
        <v>30880.799999999996</v>
      </c>
      <c r="AC75" s="5">
        <v>20587.199999999997</v>
      </c>
      <c r="AD75" s="5">
        <v>20587.21</v>
      </c>
      <c r="AE75" s="5">
        <v>20587.230000000003</v>
      </c>
      <c r="AF75" s="5">
        <v>20587.2</v>
      </c>
      <c r="AG75" s="5">
        <v>30880.81</v>
      </c>
      <c r="AH75" s="5">
        <v>20587.199999999997</v>
      </c>
      <c r="AI75" s="5">
        <v>20587.22</v>
      </c>
      <c r="AJ75" s="5">
        <v>20587.2</v>
      </c>
      <c r="AK75" s="5">
        <v>20587.21</v>
      </c>
      <c r="AL75" s="5">
        <v>246453.68</v>
      </c>
    </row>
    <row r="76" spans="1:38" x14ac:dyDescent="0.35">
      <c r="A76" s="1" t="s">
        <v>17</v>
      </c>
      <c r="B76" s="1" t="s">
        <v>47</v>
      </c>
      <c r="C76" t="s">
        <v>112</v>
      </c>
      <c r="D76" t="s">
        <v>149</v>
      </c>
      <c r="E76" t="s">
        <v>154</v>
      </c>
      <c r="F76" t="s">
        <v>157</v>
      </c>
      <c r="G76" t="s">
        <v>158</v>
      </c>
      <c r="H76" t="s">
        <v>159</v>
      </c>
      <c r="I76" t="s">
        <v>160</v>
      </c>
      <c r="J76" t="s">
        <v>161</v>
      </c>
      <c r="K76" t="s">
        <v>162</v>
      </c>
      <c r="L76" t="s">
        <v>163</v>
      </c>
      <c r="M76" t="s">
        <v>164</v>
      </c>
      <c r="N76" s="5" t="s">
        <v>16</v>
      </c>
      <c r="Y76" s="2" t="s">
        <v>53</v>
      </c>
      <c r="Z76" s="2" t="s">
        <v>79</v>
      </c>
      <c r="AA76" s="5">
        <v>176</v>
      </c>
      <c r="AB76" s="5">
        <v>264</v>
      </c>
      <c r="AC76" s="5">
        <v>176</v>
      </c>
      <c r="AD76" s="5">
        <v>176</v>
      </c>
      <c r="AE76" s="5">
        <v>176</v>
      </c>
      <c r="AF76" s="5">
        <v>176</v>
      </c>
      <c r="AG76" s="5">
        <v>264</v>
      </c>
      <c r="AH76" s="5">
        <v>176</v>
      </c>
      <c r="AI76" s="5">
        <v>176</v>
      </c>
      <c r="AJ76" s="5">
        <v>176</v>
      </c>
      <c r="AK76" s="5">
        <v>176</v>
      </c>
      <c r="AL76" s="5">
        <v>2112</v>
      </c>
    </row>
    <row r="77" spans="1:38" x14ac:dyDescent="0.35">
      <c r="A77" s="2" t="s">
        <v>115</v>
      </c>
      <c r="B77" s="2" t="s">
        <v>116</v>
      </c>
      <c r="C77" s="5">
        <v>-2400</v>
      </c>
      <c r="D77" s="5">
        <v>-1440</v>
      </c>
      <c r="E77" s="5">
        <v>-1320</v>
      </c>
      <c r="F77" s="5">
        <v>-1420</v>
      </c>
      <c r="G77" s="5">
        <v>-23140</v>
      </c>
      <c r="H77" s="5">
        <v>-101580</v>
      </c>
      <c r="I77" s="5">
        <v>-22620</v>
      </c>
      <c r="J77" s="5">
        <v>-11600</v>
      </c>
      <c r="K77" s="5">
        <v>-36380</v>
      </c>
      <c r="L77" s="5">
        <v>-5200</v>
      </c>
      <c r="M77" s="5">
        <v>-4500</v>
      </c>
      <c r="N77" s="5">
        <v>-211600</v>
      </c>
      <c r="Y77" s="2" t="s">
        <v>55</v>
      </c>
      <c r="Z77" s="2" t="s">
        <v>80</v>
      </c>
      <c r="AA77" s="5">
        <v>9958.19</v>
      </c>
      <c r="AB77" s="5">
        <v>10812.41</v>
      </c>
      <c r="AC77" s="5">
        <v>7317.4</v>
      </c>
      <c r="AD77" s="5">
        <v>7317.39</v>
      </c>
      <c r="AE77" s="5">
        <v>7317.42</v>
      </c>
      <c r="AF77" s="5">
        <v>10151.5</v>
      </c>
      <c r="AG77" s="5">
        <v>15223.810000000001</v>
      </c>
      <c r="AH77" s="5">
        <v>10149.080000000002</v>
      </c>
      <c r="AI77" s="5">
        <v>8568.18</v>
      </c>
      <c r="AJ77" s="5">
        <v>10151.200000000001</v>
      </c>
      <c r="AK77" s="5">
        <v>10153.310000000001</v>
      </c>
      <c r="AL77" s="5">
        <v>107119.89</v>
      </c>
    </row>
    <row r="78" spans="1:38" x14ac:dyDescent="0.35">
      <c r="A78" s="2" t="s">
        <v>29</v>
      </c>
      <c r="B78" s="2" t="s">
        <v>44</v>
      </c>
      <c r="C78" s="5">
        <v>4470.1099999999997</v>
      </c>
      <c r="D78" s="5">
        <v>4519.29</v>
      </c>
      <c r="E78" s="5">
        <v>6293.58</v>
      </c>
      <c r="F78" s="5">
        <v>4234.59</v>
      </c>
      <c r="G78" s="5">
        <v>4212.09</v>
      </c>
      <c r="H78" s="5">
        <v>4212.1000000000004</v>
      </c>
      <c r="I78" s="5">
        <v>4637.21</v>
      </c>
      <c r="J78" s="5">
        <v>6955.29</v>
      </c>
      <c r="K78" s="5">
        <v>4636.84</v>
      </c>
      <c r="L78" s="5">
        <v>4399.71</v>
      </c>
      <c r="M78" s="5">
        <v>4637.16</v>
      </c>
      <c r="N78" s="5">
        <v>53207.97</v>
      </c>
      <c r="Y78" s="2" t="s">
        <v>64</v>
      </c>
      <c r="Z78" s="2" t="s">
        <v>89</v>
      </c>
      <c r="AA78" s="5"/>
      <c r="AB78" s="5"/>
      <c r="AC78" s="5">
        <v>150</v>
      </c>
      <c r="AD78" s="5"/>
      <c r="AE78" s="5"/>
      <c r="AF78" s="5"/>
      <c r="AG78" s="5"/>
      <c r="AH78" s="5"/>
      <c r="AI78" s="5"/>
      <c r="AJ78" s="5"/>
      <c r="AK78" s="5"/>
      <c r="AL78" s="5">
        <v>150</v>
      </c>
    </row>
    <row r="79" spans="1:38" x14ac:dyDescent="0.35">
      <c r="A79" s="2" t="s">
        <v>16</v>
      </c>
      <c r="C79" s="5">
        <v>2070.1099999999997</v>
      </c>
      <c r="D79" s="5">
        <v>3079.29</v>
      </c>
      <c r="E79" s="5">
        <v>4973.58</v>
      </c>
      <c r="F79" s="5">
        <v>2814.59</v>
      </c>
      <c r="G79" s="5">
        <v>-18927.91</v>
      </c>
      <c r="H79" s="5">
        <v>-97367.9</v>
      </c>
      <c r="I79" s="5">
        <v>-17982.79</v>
      </c>
      <c r="J79" s="5">
        <v>-4644.71</v>
      </c>
      <c r="K79" s="5">
        <v>-31743.16</v>
      </c>
      <c r="L79" s="5">
        <v>-800.29</v>
      </c>
      <c r="M79" s="5">
        <v>137.15999999999985</v>
      </c>
      <c r="N79" s="5">
        <v>-158392.03</v>
      </c>
      <c r="Y79" s="2" t="s">
        <v>77</v>
      </c>
      <c r="Z79" s="2" t="s">
        <v>101</v>
      </c>
      <c r="AA79" s="5">
        <v>1887.5699999999997</v>
      </c>
      <c r="AB79" s="5">
        <v>2628.61</v>
      </c>
      <c r="AC79" s="5">
        <v>1768.67</v>
      </c>
      <c r="AD79" s="5">
        <v>1759.25</v>
      </c>
      <c r="AE79" s="5">
        <v>1759.2600000000002</v>
      </c>
      <c r="AF79" s="5">
        <v>1936.81</v>
      </c>
      <c r="AG79" s="5">
        <v>2905</v>
      </c>
      <c r="AH79" s="5">
        <v>1936.6499999999999</v>
      </c>
      <c r="AI79" s="5">
        <v>1837.62</v>
      </c>
      <c r="AJ79" s="5">
        <v>1936.79</v>
      </c>
      <c r="AK79" s="5"/>
      <c r="AL79" s="5">
        <v>20356.23</v>
      </c>
    </row>
    <row r="80" spans="1:38" x14ac:dyDescent="0.35">
      <c r="C80"/>
      <c r="D80"/>
      <c r="E80"/>
      <c r="F80"/>
      <c r="G80"/>
      <c r="H80"/>
      <c r="I80"/>
      <c r="J80"/>
      <c r="K80"/>
      <c r="L80"/>
      <c r="M80"/>
      <c r="Y80" s="2" t="s">
        <v>16</v>
      </c>
      <c r="AA80" s="5">
        <v>32016.159999999996</v>
      </c>
      <c r="AB80" s="5">
        <v>44585.819999999992</v>
      </c>
      <c r="AC80" s="5">
        <v>29999.269999999997</v>
      </c>
      <c r="AD80" s="5">
        <v>29839.85</v>
      </c>
      <c r="AE80" s="5">
        <v>29839.910000000003</v>
      </c>
      <c r="AF80" s="5">
        <v>32851.51</v>
      </c>
      <c r="AG80" s="5">
        <v>49273.62</v>
      </c>
      <c r="AH80" s="5">
        <v>32848.93</v>
      </c>
      <c r="AI80" s="5">
        <v>31169.02</v>
      </c>
      <c r="AJ80" s="5">
        <v>32851.19</v>
      </c>
      <c r="AK80" s="5">
        <v>30916.52</v>
      </c>
      <c r="AL80" s="5">
        <v>376191.80000000005</v>
      </c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97481-9104-4F2E-8BD6-A2EF1D351D3E}">
  <sheetPr>
    <tabColor theme="6" tint="0.59999389629810485"/>
  </sheetPr>
  <dimension ref="A1:AK114"/>
  <sheetViews>
    <sheetView topLeftCell="X34" zoomScale="80" zoomScaleNormal="80" workbookViewId="0">
      <selection activeCell="B9" sqref="B9"/>
    </sheetView>
  </sheetViews>
  <sheetFormatPr defaultRowHeight="14.5" x14ac:dyDescent="0.35"/>
  <cols>
    <col min="1" max="1" width="17.7265625" bestFit="1" customWidth="1"/>
    <col min="2" max="2" width="20.1796875" bestFit="1" customWidth="1"/>
    <col min="3" max="3" width="16.7265625" style="5" bestFit="1" customWidth="1"/>
    <col min="4" max="4" width="13" style="5" bestFit="1" customWidth="1"/>
    <col min="5" max="5" width="8.1796875" style="5" bestFit="1" customWidth="1"/>
    <col min="6" max="6" width="7.453125" style="5" bestFit="1" customWidth="1"/>
    <col min="7" max="7" width="8.54296875" style="5" bestFit="1" customWidth="1"/>
    <col min="8" max="8" width="7.453125" style="5" bestFit="1" customWidth="1"/>
    <col min="9" max="9" width="13" style="5" bestFit="1" customWidth="1"/>
    <col min="10" max="13" width="12.453125" style="5" bestFit="1" customWidth="1"/>
    <col min="14" max="16" width="12.453125" bestFit="1" customWidth="1"/>
    <col min="17" max="17" width="10.453125" bestFit="1" customWidth="1"/>
    <col min="18" max="18" width="14.1796875" bestFit="1" customWidth="1"/>
    <col min="19" max="24" width="14.81640625" customWidth="1"/>
    <col min="25" max="25" width="17.7265625" bestFit="1" customWidth="1"/>
    <col min="26" max="27" width="16.7265625" bestFit="1" customWidth="1"/>
    <col min="28" max="28" width="13" bestFit="1" customWidth="1"/>
    <col min="29" max="29" width="10.1796875" bestFit="1" customWidth="1"/>
    <col min="30" max="30" width="8.54296875" bestFit="1" customWidth="1"/>
    <col min="31" max="31" width="13" bestFit="1" customWidth="1"/>
    <col min="32" max="38" width="10.54296875" bestFit="1" customWidth="1"/>
    <col min="39" max="39" width="5.453125" bestFit="1" customWidth="1"/>
    <col min="40" max="40" width="12.453125" bestFit="1" customWidth="1"/>
    <col min="41" max="41" width="10.54296875" bestFit="1" customWidth="1"/>
    <col min="42" max="42" width="13.1796875" bestFit="1" customWidth="1"/>
    <col min="43" max="47" width="10.54296875" customWidth="1"/>
    <col min="48" max="48" width="10.54296875" bestFit="1" customWidth="1"/>
    <col min="49" max="49" width="10.54296875" customWidth="1"/>
    <col min="50" max="50" width="10.54296875" bestFit="1" customWidth="1"/>
    <col min="51" max="52" width="11.54296875" bestFit="1" customWidth="1"/>
    <col min="53" max="53" width="10.54296875" customWidth="1"/>
    <col min="54" max="54" width="10.54296875" bestFit="1" customWidth="1"/>
    <col min="55" max="61" width="10.54296875" customWidth="1"/>
    <col min="62" max="62" width="11.453125" customWidth="1"/>
    <col min="63" max="64" width="10.54296875" customWidth="1"/>
    <col min="65" max="65" width="11.54296875" bestFit="1" customWidth="1"/>
    <col min="66" max="66" width="10.54296875" customWidth="1"/>
    <col min="67" max="67" width="11.54296875" bestFit="1" customWidth="1"/>
    <col min="68" max="68" width="10.54296875" customWidth="1"/>
    <col min="69" max="69" width="10.54296875" bestFit="1" customWidth="1"/>
    <col min="70" max="72" width="10.54296875" customWidth="1"/>
    <col min="73" max="73" width="11.54296875" bestFit="1" customWidth="1"/>
    <col min="74" max="77" width="10.54296875" customWidth="1"/>
    <col min="78" max="79" width="5.1796875" customWidth="1"/>
    <col min="80" max="80" width="11.54296875" bestFit="1" customWidth="1"/>
    <col min="81" max="90" width="10.54296875" customWidth="1"/>
    <col min="91" max="91" width="10.453125" customWidth="1"/>
    <col min="92" max="92" width="10.54296875" customWidth="1"/>
    <col min="93" max="93" width="11.54296875" bestFit="1" customWidth="1"/>
    <col min="94" max="97" width="10.54296875" customWidth="1"/>
    <col min="98" max="98" width="11.54296875" bestFit="1" customWidth="1"/>
    <col min="99" max="99" width="10.54296875" bestFit="1" customWidth="1"/>
    <col min="100" max="105" width="10.54296875" customWidth="1"/>
    <col min="106" max="107" width="5.1796875" customWidth="1"/>
    <col min="108" max="108" width="11.54296875" bestFit="1" customWidth="1"/>
    <col min="109" max="110" width="10.54296875" customWidth="1"/>
    <col min="111" max="111" width="10.54296875" bestFit="1" customWidth="1"/>
    <col min="112" max="117" width="10.54296875" customWidth="1"/>
    <col min="118" max="118" width="10.54296875" bestFit="1" customWidth="1"/>
    <col min="119" max="120" width="10.54296875" customWidth="1"/>
    <col min="121" max="122" width="5.1796875" customWidth="1"/>
    <col min="123" max="123" width="11.54296875" bestFit="1" customWidth="1"/>
    <col min="124" max="132" width="10.54296875" customWidth="1"/>
    <col min="133" max="133" width="11.54296875" bestFit="1" customWidth="1"/>
    <col min="134" max="134" width="10.54296875" customWidth="1"/>
    <col min="135" max="135" width="12.453125" bestFit="1" customWidth="1"/>
    <col min="136" max="136" width="11.54296875" customWidth="1"/>
    <col min="137" max="143" width="10.54296875" bestFit="1" customWidth="1"/>
    <col min="144" max="145" width="11.54296875" bestFit="1" customWidth="1"/>
    <col min="146" max="146" width="10.54296875" bestFit="1" customWidth="1"/>
    <col min="147" max="147" width="11.54296875" bestFit="1" customWidth="1"/>
    <col min="148" max="148" width="11.453125" bestFit="1" customWidth="1"/>
    <col min="149" max="149" width="11.54296875" bestFit="1" customWidth="1"/>
    <col min="150" max="156" width="10.54296875" bestFit="1" customWidth="1"/>
    <col min="157" max="157" width="11.54296875" bestFit="1" customWidth="1"/>
    <col min="158" max="158" width="13.453125" bestFit="1" customWidth="1"/>
  </cols>
  <sheetData>
    <row r="1" spans="1:37" x14ac:dyDescent="0.35">
      <c r="A1" s="3" t="s">
        <v>1</v>
      </c>
      <c r="B1" s="4" t="s" vm="10">
        <v>152</v>
      </c>
      <c r="Y1" s="3" t="s">
        <v>1</v>
      </c>
      <c r="Z1" s="4" t="s" vm="9">
        <v>151</v>
      </c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</row>
    <row r="2" spans="1:37" x14ac:dyDescent="0.35">
      <c r="A2" s="3" t="s">
        <v>2</v>
      </c>
      <c r="B2" s="4" t="s" vm="3">
        <v>125</v>
      </c>
      <c r="Y2" s="3" t="s">
        <v>2</v>
      </c>
      <c r="Z2" s="4" t="s" vm="3">
        <v>125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pans="1:37" x14ac:dyDescent="0.35">
      <c r="A3" s="3" t="s">
        <v>3</v>
      </c>
      <c r="B3" s="4" t="s" vm="1">
        <v>4</v>
      </c>
      <c r="Y3" s="3" t="s">
        <v>3</v>
      </c>
      <c r="Z3" s="4" t="s" vm="1">
        <v>4</v>
      </c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37" x14ac:dyDescent="0.35">
      <c r="A4" s="1" t="s">
        <v>106</v>
      </c>
      <c r="B4" t="s" vm="2">
        <v>107</v>
      </c>
      <c r="Y4" s="1" t="s">
        <v>110</v>
      </c>
      <c r="Z4" t="s" vm="11">
        <v>153</v>
      </c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</row>
    <row r="5" spans="1:37" x14ac:dyDescent="0.35">
      <c r="A5" s="1" t="s">
        <v>110</v>
      </c>
      <c r="B5" t="s" vm="11">
        <v>153</v>
      </c>
      <c r="C5"/>
      <c r="D5"/>
      <c r="E5"/>
      <c r="F5"/>
      <c r="G5"/>
      <c r="H5"/>
      <c r="I5"/>
      <c r="J5"/>
      <c r="K5"/>
      <c r="L5"/>
      <c r="M5"/>
    </row>
    <row r="6" spans="1:37" x14ac:dyDescent="0.35">
      <c r="C6"/>
      <c r="D6"/>
      <c r="E6"/>
      <c r="F6"/>
      <c r="G6"/>
      <c r="H6"/>
      <c r="I6"/>
      <c r="J6"/>
      <c r="K6"/>
      <c r="L6"/>
      <c r="M6"/>
      <c r="Y6" s="1" t="s">
        <v>48</v>
      </c>
      <c r="AA6" s="6" t="s">
        <v>5</v>
      </c>
      <c r="AB6" s="5"/>
    </row>
    <row r="7" spans="1:37" x14ac:dyDescent="0.35">
      <c r="A7" s="1" t="s">
        <v>48</v>
      </c>
      <c r="C7" s="6" t="s">
        <v>5</v>
      </c>
      <c r="J7"/>
      <c r="K7"/>
      <c r="L7"/>
      <c r="M7"/>
      <c r="S7" s="5"/>
      <c r="T7" s="5"/>
      <c r="U7" s="5"/>
      <c r="V7" s="5"/>
      <c r="W7" s="5"/>
      <c r="X7" s="5"/>
      <c r="Y7" s="1" t="s">
        <v>17</v>
      </c>
      <c r="Z7" s="1" t="s">
        <v>103</v>
      </c>
      <c r="AA7" s="5" t="s">
        <v>150</v>
      </c>
      <c r="AB7" s="5" t="s">
        <v>16</v>
      </c>
    </row>
    <row r="8" spans="1:37" x14ac:dyDescent="0.35">
      <c r="A8" s="1" t="s">
        <v>17</v>
      </c>
      <c r="B8" s="1" t="s">
        <v>47</v>
      </c>
      <c r="C8" s="5" t="s">
        <v>7</v>
      </c>
      <c r="D8" s="5" t="s">
        <v>10</v>
      </c>
      <c r="E8" s="5" t="s">
        <v>13</v>
      </c>
      <c r="F8" s="5" t="s">
        <v>15</v>
      </c>
      <c r="G8" s="5" t="s">
        <v>150</v>
      </c>
      <c r="H8" s="5" t="s">
        <v>155</v>
      </c>
      <c r="I8" s="5" t="s">
        <v>16</v>
      </c>
      <c r="J8"/>
      <c r="K8"/>
      <c r="L8"/>
      <c r="M8"/>
      <c r="S8" s="5"/>
      <c r="T8" s="5"/>
      <c r="U8" s="5"/>
      <c r="V8" s="5"/>
      <c r="W8" s="5"/>
      <c r="X8" s="5"/>
      <c r="Y8" s="2" t="s">
        <v>51</v>
      </c>
      <c r="Z8" s="2" t="s">
        <v>79</v>
      </c>
      <c r="AA8" s="5">
        <v>2448.2600000000002</v>
      </c>
      <c r="AB8" s="5">
        <v>2448.2600000000002</v>
      </c>
    </row>
    <row r="9" spans="1:37" x14ac:dyDescent="0.35">
      <c r="A9" s="2" t="s">
        <v>18</v>
      </c>
      <c r="B9" s="2" t="s">
        <v>32</v>
      </c>
      <c r="C9" s="5">
        <v>70</v>
      </c>
      <c r="E9" s="5">
        <v>-20</v>
      </c>
      <c r="I9" s="5">
        <v>50</v>
      </c>
      <c r="J9"/>
      <c r="K9"/>
      <c r="L9"/>
      <c r="M9"/>
      <c r="S9" s="5"/>
      <c r="T9" s="5"/>
      <c r="U9" s="5"/>
      <c r="V9" s="5"/>
      <c r="W9" s="5"/>
      <c r="X9" s="5"/>
      <c r="Y9" s="2" t="s">
        <v>53</v>
      </c>
      <c r="Z9" s="2" t="s">
        <v>79</v>
      </c>
      <c r="AA9" s="5">
        <v>15.900000000000002</v>
      </c>
      <c r="AB9" s="5">
        <v>15.900000000000002</v>
      </c>
    </row>
    <row r="10" spans="1:37" x14ac:dyDescent="0.35">
      <c r="A10" s="2" t="s">
        <v>25</v>
      </c>
      <c r="B10" s="2" t="s">
        <v>40</v>
      </c>
      <c r="D10" s="5">
        <v>-70</v>
      </c>
      <c r="F10" s="5">
        <v>20</v>
      </c>
      <c r="I10" s="5">
        <v>-50</v>
      </c>
      <c r="J10"/>
      <c r="K10"/>
      <c r="L10"/>
      <c r="M10"/>
      <c r="S10" s="5"/>
      <c r="T10" s="5"/>
      <c r="U10" s="5"/>
      <c r="V10" s="5"/>
      <c r="W10" s="5"/>
      <c r="X10" s="5"/>
      <c r="Y10" s="2" t="s">
        <v>55</v>
      </c>
      <c r="Z10" s="2" t="s">
        <v>80</v>
      </c>
      <c r="AA10" s="5">
        <v>1364.5</v>
      </c>
      <c r="AB10" s="5">
        <v>1364.5</v>
      </c>
    </row>
    <row r="11" spans="1:37" x14ac:dyDescent="0.35">
      <c r="A11" s="2" t="s">
        <v>29</v>
      </c>
      <c r="B11" s="2" t="s">
        <v>44</v>
      </c>
      <c r="G11" s="5">
        <v>544.44000000000005</v>
      </c>
      <c r="H11" s="5">
        <v>29.86</v>
      </c>
      <c r="I11" s="5">
        <v>574.30000000000007</v>
      </c>
      <c r="J11"/>
      <c r="K11"/>
      <c r="L11"/>
      <c r="M11"/>
      <c r="S11" s="5"/>
      <c r="T11" s="5"/>
      <c r="U11" s="5"/>
      <c r="V11" s="5"/>
      <c r="W11" s="5"/>
      <c r="X11" s="5"/>
      <c r="Y11" s="2" t="s">
        <v>77</v>
      </c>
      <c r="Z11" s="2" t="s">
        <v>101</v>
      </c>
      <c r="AA11" s="5">
        <v>204.10000000000002</v>
      </c>
      <c r="AB11" s="5">
        <v>204.10000000000002</v>
      </c>
    </row>
    <row r="12" spans="1:37" x14ac:dyDescent="0.35">
      <c r="A12" s="2" t="s">
        <v>16</v>
      </c>
      <c r="C12" s="5">
        <v>70</v>
      </c>
      <c r="D12" s="5">
        <v>-70</v>
      </c>
      <c r="E12" s="5">
        <v>-20</v>
      </c>
      <c r="F12" s="5">
        <v>20</v>
      </c>
      <c r="G12" s="5">
        <v>544.44000000000005</v>
      </c>
      <c r="H12" s="5">
        <v>29.86</v>
      </c>
      <c r="I12" s="5">
        <v>574.30000000000007</v>
      </c>
      <c r="J12"/>
      <c r="K12"/>
      <c r="L12"/>
      <c r="M12"/>
      <c r="S12" s="5"/>
      <c r="T12" s="5"/>
      <c r="U12" s="5"/>
      <c r="V12" s="5"/>
      <c r="W12" s="5"/>
      <c r="X12" s="5"/>
      <c r="Y12" s="2" t="s">
        <v>16</v>
      </c>
      <c r="AA12" s="5">
        <v>4032.76</v>
      </c>
      <c r="AB12" s="5">
        <v>4032.76</v>
      </c>
    </row>
    <row r="13" spans="1:37" x14ac:dyDescent="0.35">
      <c r="C13"/>
      <c r="D13"/>
      <c r="E13"/>
      <c r="F13"/>
      <c r="G13"/>
      <c r="H13"/>
      <c r="I13"/>
      <c r="J13"/>
      <c r="K13"/>
      <c r="L13"/>
      <c r="M13"/>
      <c r="S13" s="5"/>
      <c r="T13" s="5"/>
      <c r="U13" s="5"/>
      <c r="V13" s="5"/>
      <c r="W13" s="5"/>
      <c r="X13" s="5"/>
    </row>
    <row r="14" spans="1:37" x14ac:dyDescent="0.35">
      <c r="C14"/>
      <c r="D14"/>
      <c r="E14"/>
      <c r="F14"/>
      <c r="G14"/>
      <c r="H14"/>
      <c r="I14"/>
      <c r="J14"/>
      <c r="K14"/>
      <c r="L14"/>
      <c r="M14"/>
    </row>
    <row r="15" spans="1:37" x14ac:dyDescent="0.35">
      <c r="C15"/>
      <c r="D15"/>
      <c r="E15"/>
      <c r="F15"/>
      <c r="G15"/>
      <c r="H15"/>
      <c r="I15"/>
      <c r="J15"/>
      <c r="K15"/>
      <c r="L15"/>
      <c r="M15"/>
    </row>
    <row r="16" spans="1:37" x14ac:dyDescent="0.35">
      <c r="C16"/>
      <c r="D16"/>
      <c r="E16"/>
      <c r="F16"/>
      <c r="G16"/>
      <c r="H16"/>
      <c r="I16"/>
      <c r="J16"/>
      <c r="K16"/>
      <c r="L16"/>
      <c r="M16"/>
    </row>
    <row r="17" customFormat="1" x14ac:dyDescent="0.35"/>
    <row r="18" customForma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3:37" x14ac:dyDescent="0.35">
      <c r="C33"/>
      <c r="D33"/>
      <c r="E33"/>
      <c r="F33"/>
      <c r="G33"/>
      <c r="H33"/>
      <c r="I33"/>
      <c r="J33"/>
      <c r="K33"/>
      <c r="L33"/>
      <c r="M33"/>
    </row>
    <row r="34" spans="3:37" x14ac:dyDescent="0.35">
      <c r="C34"/>
      <c r="D34"/>
      <c r="E34"/>
      <c r="F34"/>
      <c r="G34"/>
      <c r="H34"/>
      <c r="I34"/>
      <c r="J34"/>
      <c r="K34"/>
      <c r="L34"/>
      <c r="M34"/>
    </row>
    <row r="35" spans="3:37" x14ac:dyDescent="0.35">
      <c r="C35"/>
      <c r="D35"/>
      <c r="E35"/>
      <c r="F35"/>
      <c r="G35"/>
      <c r="H35"/>
      <c r="I35"/>
      <c r="J35"/>
      <c r="K35"/>
      <c r="L35"/>
      <c r="M35"/>
    </row>
    <row r="36" spans="3:37" x14ac:dyDescent="0.35">
      <c r="C36"/>
      <c r="D36"/>
      <c r="E36"/>
      <c r="F36"/>
      <c r="G36"/>
      <c r="H36"/>
      <c r="I36"/>
      <c r="J36"/>
      <c r="K36"/>
      <c r="L36"/>
      <c r="M36"/>
    </row>
    <row r="37" spans="3:37" x14ac:dyDescent="0.35">
      <c r="C37"/>
      <c r="D37"/>
      <c r="E37"/>
      <c r="F37"/>
      <c r="G37"/>
      <c r="H37"/>
      <c r="I37"/>
      <c r="J37"/>
      <c r="K37"/>
      <c r="L37"/>
      <c r="M37"/>
    </row>
    <row r="38" spans="3:37" x14ac:dyDescent="0.35">
      <c r="C38"/>
      <c r="D38"/>
      <c r="E38"/>
      <c r="F38"/>
      <c r="G38"/>
      <c r="H38"/>
      <c r="I38"/>
      <c r="J38"/>
      <c r="K38"/>
      <c r="L38"/>
      <c r="M38"/>
    </row>
    <row r="39" spans="3:37" x14ac:dyDescent="0.35">
      <c r="C39"/>
      <c r="D39"/>
      <c r="E39"/>
      <c r="F39"/>
      <c r="G39"/>
      <c r="H39"/>
      <c r="I39"/>
      <c r="J39"/>
      <c r="K39"/>
      <c r="L39"/>
      <c r="M39"/>
    </row>
    <row r="40" spans="3:37" x14ac:dyDescent="0.35">
      <c r="C40"/>
      <c r="D40"/>
      <c r="E40"/>
      <c r="F40"/>
      <c r="G40"/>
      <c r="H40"/>
      <c r="I40"/>
      <c r="J40"/>
      <c r="K40"/>
      <c r="L40"/>
      <c r="M40"/>
    </row>
    <row r="41" spans="3:37" x14ac:dyDescent="0.35">
      <c r="C41"/>
      <c r="D41"/>
      <c r="E41"/>
      <c r="F41"/>
      <c r="G41"/>
      <c r="H41"/>
      <c r="I41"/>
      <c r="J41"/>
      <c r="K41"/>
      <c r="L41"/>
      <c r="M41"/>
    </row>
    <row r="42" spans="3:37" x14ac:dyDescent="0.35">
      <c r="C42"/>
      <c r="D42"/>
      <c r="E42"/>
      <c r="F42"/>
      <c r="G42"/>
      <c r="H42"/>
      <c r="I42"/>
      <c r="J42"/>
      <c r="K42"/>
      <c r="L42"/>
      <c r="M42"/>
    </row>
    <row r="43" spans="3:37" x14ac:dyDescent="0.35">
      <c r="C43"/>
      <c r="D43"/>
      <c r="E43"/>
      <c r="F43"/>
      <c r="G43"/>
      <c r="H43"/>
      <c r="I43"/>
      <c r="J43"/>
      <c r="K43"/>
      <c r="L43"/>
      <c r="M43"/>
    </row>
    <row r="44" spans="3:37" x14ac:dyDescent="0.35">
      <c r="C44"/>
      <c r="D44"/>
      <c r="E44"/>
      <c r="F44"/>
      <c r="G44"/>
      <c r="H44"/>
      <c r="I44"/>
      <c r="J44"/>
      <c r="K44"/>
      <c r="L44"/>
      <c r="M44"/>
    </row>
    <row r="45" spans="3:37" x14ac:dyDescent="0.35">
      <c r="C45"/>
      <c r="D45"/>
      <c r="E45"/>
      <c r="F45"/>
      <c r="G45"/>
      <c r="H45"/>
      <c r="I45"/>
      <c r="J45"/>
      <c r="K45"/>
      <c r="L45"/>
      <c r="M45"/>
      <c r="AK45" s="5"/>
    </row>
    <row r="67" spans="1:37" x14ac:dyDescent="0.35">
      <c r="Y67" s="3" t="s">
        <v>1</v>
      </c>
      <c r="Z67" s="4" t="s" vm="9">
        <v>151</v>
      </c>
    </row>
    <row r="68" spans="1:37" x14ac:dyDescent="0.35">
      <c r="A68" s="3" t="s">
        <v>1</v>
      </c>
      <c r="B68" s="4" t="s" vm="10">
        <v>152</v>
      </c>
      <c r="Y68" s="3" t="s">
        <v>2</v>
      </c>
      <c r="Z68" s="4" t="s" vm="3">
        <v>125</v>
      </c>
    </row>
    <row r="69" spans="1:37" x14ac:dyDescent="0.35">
      <c r="A69" s="3" t="s">
        <v>2</v>
      </c>
      <c r="B69" s="4" t="s" vm="3">
        <v>125</v>
      </c>
      <c r="Y69" s="3" t="s">
        <v>3</v>
      </c>
      <c r="Z69" s="4" t="s" vm="1">
        <v>4</v>
      </c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</row>
    <row r="70" spans="1:37" x14ac:dyDescent="0.35">
      <c r="A70" s="3" t="s">
        <v>3</v>
      </c>
      <c r="B70" s="4" t="s" vm="1">
        <v>4</v>
      </c>
      <c r="Y70" s="1" t="s">
        <v>113</v>
      </c>
      <c r="Z70" t="s" vm="12">
        <v>155</v>
      </c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</row>
    <row r="71" spans="1:37" x14ac:dyDescent="0.35">
      <c r="A71" s="1" t="s">
        <v>106</v>
      </c>
      <c r="B71" t="s" vm="2">
        <v>107</v>
      </c>
      <c r="Y71" s="1" t="s">
        <v>110</v>
      </c>
      <c r="Z71" t="s" vm="11">
        <v>153</v>
      </c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</row>
    <row r="72" spans="1:37" x14ac:dyDescent="0.35">
      <c r="A72" s="6" t="s">
        <v>113</v>
      </c>
      <c r="B72" s="5" t="s" vm="12">
        <v>155</v>
      </c>
    </row>
    <row r="73" spans="1:37" x14ac:dyDescent="0.35">
      <c r="A73" s="1" t="s">
        <v>110</v>
      </c>
      <c r="B73" t="s" vm="11">
        <v>153</v>
      </c>
      <c r="Y73" s="1" t="s">
        <v>48</v>
      </c>
      <c r="AA73" s="1" t="s">
        <v>5</v>
      </c>
    </row>
    <row r="74" spans="1:37" x14ac:dyDescent="0.35">
      <c r="C74"/>
      <c r="D74"/>
      <c r="E74"/>
      <c r="F74"/>
      <c r="G74"/>
      <c r="H74"/>
      <c r="I74"/>
      <c r="J74"/>
      <c r="K74"/>
      <c r="L74"/>
      <c r="M74"/>
      <c r="Y74" s="1" t="s">
        <v>17</v>
      </c>
      <c r="Z74" s="1" t="s">
        <v>103</v>
      </c>
    </row>
    <row r="75" spans="1:37" x14ac:dyDescent="0.35">
      <c r="A75" s="1" t="s">
        <v>48</v>
      </c>
      <c r="C75" s="1" t="s">
        <v>5</v>
      </c>
      <c r="E75"/>
      <c r="F75"/>
      <c r="G75"/>
      <c r="H75"/>
      <c r="I75"/>
      <c r="J75"/>
      <c r="K75"/>
      <c r="L75"/>
      <c r="M75"/>
    </row>
    <row r="76" spans="1:37" x14ac:dyDescent="0.35">
      <c r="A76" s="1" t="s">
        <v>17</v>
      </c>
      <c r="B76" s="1" t="s">
        <v>47</v>
      </c>
      <c r="C76" t="s">
        <v>112</v>
      </c>
      <c r="D76" s="5" t="s">
        <v>16</v>
      </c>
      <c r="E76"/>
      <c r="F76"/>
      <c r="G76"/>
      <c r="H76"/>
      <c r="I76"/>
      <c r="J76"/>
      <c r="K76"/>
      <c r="L76"/>
      <c r="M76"/>
    </row>
    <row r="77" spans="1:37" x14ac:dyDescent="0.35">
      <c r="A77" s="2" t="s">
        <v>29</v>
      </c>
      <c r="B77" s="2" t="s">
        <v>44</v>
      </c>
      <c r="C77" s="5">
        <v>29.86</v>
      </c>
      <c r="D77" s="5">
        <v>29.86</v>
      </c>
      <c r="E77"/>
      <c r="F77"/>
      <c r="G77"/>
      <c r="H77"/>
      <c r="I77"/>
      <c r="J77"/>
      <c r="K77"/>
      <c r="L77"/>
      <c r="M77"/>
    </row>
    <row r="78" spans="1:37" x14ac:dyDescent="0.35">
      <c r="A78" s="2" t="s">
        <v>16</v>
      </c>
      <c r="C78" s="5">
        <v>29.86</v>
      </c>
      <c r="D78" s="5">
        <v>29.86</v>
      </c>
      <c r="E78"/>
      <c r="F78"/>
      <c r="G78"/>
      <c r="H78"/>
      <c r="I78"/>
      <c r="J78"/>
      <c r="K78"/>
      <c r="L78"/>
      <c r="M78"/>
    </row>
    <row r="79" spans="1:37" x14ac:dyDescent="0.35">
      <c r="C79"/>
      <c r="D79"/>
      <c r="E79"/>
      <c r="F79"/>
      <c r="G79"/>
      <c r="H79"/>
      <c r="I79"/>
      <c r="J79"/>
      <c r="K79"/>
      <c r="L79"/>
      <c r="M79"/>
    </row>
    <row r="80" spans="1:37" x14ac:dyDescent="0.35">
      <c r="C80"/>
      <c r="D80"/>
      <c r="E80"/>
      <c r="F80"/>
      <c r="G80"/>
      <c r="H80"/>
      <c r="I80"/>
      <c r="J80"/>
      <c r="K80"/>
      <c r="L80"/>
      <c r="M80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59999389629810485"/>
  </sheetPr>
  <dimension ref="A1:AC114"/>
  <sheetViews>
    <sheetView zoomScale="80" zoomScaleNormal="80" workbookViewId="0">
      <selection activeCell="S75" sqref="S75"/>
    </sheetView>
  </sheetViews>
  <sheetFormatPr defaultRowHeight="14.5" x14ac:dyDescent="0.35"/>
  <cols>
    <col min="1" max="1" width="17.7265625" bestFit="1" customWidth="1"/>
    <col min="2" max="2" width="20.1796875" bestFit="1" customWidth="1"/>
    <col min="3" max="3" width="16.7265625" style="5" bestFit="1" customWidth="1"/>
    <col min="4" max="4" width="7.453125" style="5" bestFit="1" customWidth="1"/>
    <col min="5" max="5" width="13" style="5" bestFit="1" customWidth="1"/>
    <col min="6" max="7" width="10.453125" style="5" bestFit="1" customWidth="1"/>
    <col min="8" max="8" width="12.453125" style="5" bestFit="1" customWidth="1"/>
    <col min="9" max="10" width="13" style="5" customWidth="1"/>
    <col min="11" max="11" width="12.453125" style="5" customWidth="1"/>
    <col min="12" max="13" width="12" style="5" customWidth="1"/>
    <col min="14" max="14" width="12" customWidth="1"/>
    <col min="15" max="15" width="14.81640625" customWidth="1"/>
    <col min="16" max="16" width="11.453125" customWidth="1"/>
    <col min="17" max="17" width="17.7265625" bestFit="1" customWidth="1"/>
    <col min="18" max="19" width="16.7265625" bestFit="1" customWidth="1"/>
    <col min="20" max="20" width="8.54296875" bestFit="1" customWidth="1"/>
    <col min="21" max="21" width="13" bestFit="1" customWidth="1"/>
    <col min="22" max="23" width="10.453125" bestFit="1" customWidth="1"/>
    <col min="24" max="25" width="12.453125" customWidth="1"/>
    <col min="26" max="26" width="11.453125" customWidth="1"/>
    <col min="27" max="30" width="12.453125" customWidth="1"/>
    <col min="31" max="32" width="13.81640625" customWidth="1"/>
    <col min="33" max="33" width="13.453125" customWidth="1"/>
    <col min="34" max="42" width="10.54296875" customWidth="1"/>
    <col min="43" max="44" width="11.54296875" customWidth="1"/>
    <col min="45" max="53" width="10.54296875" customWidth="1"/>
    <col min="54" max="54" width="11.453125" customWidth="1"/>
    <col min="55" max="56" width="10.54296875" customWidth="1"/>
    <col min="57" max="57" width="11.54296875" customWidth="1"/>
    <col min="58" max="58" width="10.54296875" customWidth="1"/>
    <col min="59" max="59" width="11.54296875" customWidth="1"/>
    <col min="60" max="64" width="10.54296875" customWidth="1"/>
    <col min="65" max="65" width="11.54296875" customWidth="1"/>
    <col min="66" max="69" width="10.54296875" customWidth="1"/>
    <col min="70" max="71" width="5.1796875" customWidth="1"/>
    <col min="72" max="72" width="11.54296875" customWidth="1"/>
    <col min="73" max="82" width="10.54296875" customWidth="1"/>
    <col min="83" max="83" width="10.453125" customWidth="1"/>
    <col min="84" max="84" width="10.54296875" customWidth="1"/>
    <col min="85" max="85" width="11.54296875" customWidth="1"/>
    <col min="86" max="89" width="10.54296875" customWidth="1"/>
    <col min="90" max="90" width="11.54296875" customWidth="1"/>
    <col min="91" max="97" width="10.54296875" customWidth="1"/>
    <col min="98" max="99" width="5.1796875" customWidth="1"/>
    <col min="100" max="100" width="11.54296875" customWidth="1"/>
    <col min="101" max="112" width="10.54296875" customWidth="1"/>
    <col min="113" max="114" width="5.1796875" customWidth="1"/>
    <col min="115" max="115" width="11.54296875" customWidth="1"/>
    <col min="116" max="124" width="10.54296875" customWidth="1"/>
    <col min="125" max="125" width="11.54296875" customWidth="1"/>
    <col min="126" max="126" width="10.54296875" customWidth="1"/>
    <col min="127" max="127" width="12.453125" customWidth="1"/>
    <col min="128" max="128" width="11.54296875" customWidth="1"/>
    <col min="129" max="135" width="10.54296875" customWidth="1"/>
    <col min="136" max="137" width="11.54296875" customWidth="1"/>
    <col min="138" max="138" width="10.54296875" customWidth="1"/>
    <col min="139" max="139" width="11.54296875" customWidth="1"/>
    <col min="140" max="140" width="11.453125" customWidth="1"/>
    <col min="141" max="141" width="11.54296875" customWidth="1"/>
    <col min="142" max="148" width="10.54296875" customWidth="1"/>
    <col min="149" max="149" width="11.54296875" customWidth="1"/>
    <col min="150" max="150" width="13.453125" customWidth="1"/>
  </cols>
  <sheetData>
    <row r="1" spans="1:29" x14ac:dyDescent="0.35">
      <c r="A1" s="3" t="s">
        <v>1</v>
      </c>
      <c r="B1" s="4" t="s" vm="10">
        <v>152</v>
      </c>
      <c r="Q1" s="3" t="s">
        <v>1</v>
      </c>
      <c r="R1" s="4" t="s" vm="9">
        <v>151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x14ac:dyDescent="0.35">
      <c r="A2" s="3" t="s">
        <v>2</v>
      </c>
      <c r="B2" s="4" t="s" vm="3">
        <v>125</v>
      </c>
      <c r="Q2" s="3" t="s">
        <v>2</v>
      </c>
      <c r="R2" s="4" t="s" vm="3">
        <v>125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x14ac:dyDescent="0.35">
      <c r="A3" s="3" t="s">
        <v>3</v>
      </c>
      <c r="B3" s="4" t="s" vm="1">
        <v>4</v>
      </c>
      <c r="Q3" s="3" t="s">
        <v>3</v>
      </c>
      <c r="R3" s="4" t="s" vm="1">
        <v>4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x14ac:dyDescent="0.35">
      <c r="A4" s="1" t="s">
        <v>110</v>
      </c>
      <c r="B4" t="s" vm="8">
        <v>143</v>
      </c>
      <c r="Q4" s="1" t="s">
        <v>110</v>
      </c>
      <c r="R4" t="s" vm="8">
        <v>143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x14ac:dyDescent="0.35">
      <c r="A5" s="1" t="s">
        <v>106</v>
      </c>
      <c r="B5" t="s" vm="2">
        <v>107</v>
      </c>
      <c r="C5"/>
      <c r="D5"/>
      <c r="E5"/>
      <c r="F5"/>
      <c r="G5"/>
      <c r="H5"/>
      <c r="I5"/>
      <c r="J5"/>
      <c r="K5"/>
      <c r="L5"/>
      <c r="M5"/>
    </row>
    <row r="6" spans="1:29" x14ac:dyDescent="0.35">
      <c r="C6"/>
      <c r="D6"/>
      <c r="E6"/>
      <c r="F6"/>
      <c r="G6"/>
      <c r="H6"/>
      <c r="I6"/>
      <c r="J6"/>
      <c r="K6"/>
      <c r="L6"/>
      <c r="M6"/>
      <c r="Q6" s="1" t="s">
        <v>48</v>
      </c>
      <c r="S6" s="6" t="s">
        <v>5</v>
      </c>
      <c r="T6" s="5"/>
      <c r="U6" s="5"/>
    </row>
    <row r="7" spans="1:29" x14ac:dyDescent="0.35">
      <c r="A7" s="1" t="s">
        <v>48</v>
      </c>
      <c r="C7" s="6" t="s">
        <v>5</v>
      </c>
      <c r="F7"/>
      <c r="G7"/>
      <c r="H7"/>
      <c r="I7"/>
      <c r="J7"/>
      <c r="K7"/>
      <c r="L7"/>
      <c r="M7"/>
      <c r="Q7" s="1" t="s">
        <v>17</v>
      </c>
      <c r="R7" s="1" t="s">
        <v>103</v>
      </c>
      <c r="S7" s="5" t="s">
        <v>137</v>
      </c>
      <c r="T7" s="5" t="s">
        <v>144</v>
      </c>
      <c r="U7" s="5" t="s">
        <v>16</v>
      </c>
    </row>
    <row r="8" spans="1:29" x14ac:dyDescent="0.35">
      <c r="A8" s="1" t="s">
        <v>17</v>
      </c>
      <c r="B8" s="1" t="s">
        <v>47</v>
      </c>
      <c r="C8" s="5" t="s">
        <v>137</v>
      </c>
      <c r="D8" s="5" t="s">
        <v>144</v>
      </c>
      <c r="E8" s="5" t="s">
        <v>16</v>
      </c>
      <c r="F8"/>
      <c r="G8"/>
      <c r="H8"/>
      <c r="I8"/>
      <c r="J8"/>
      <c r="K8"/>
      <c r="L8"/>
      <c r="M8"/>
      <c r="Q8" s="2" t="s">
        <v>56</v>
      </c>
      <c r="R8" s="2" t="s">
        <v>81</v>
      </c>
      <c r="S8" s="5">
        <v>4547.92</v>
      </c>
      <c r="T8" s="5">
        <v>107.04</v>
      </c>
      <c r="U8" s="5">
        <v>4654.96</v>
      </c>
    </row>
    <row r="9" spans="1:29" x14ac:dyDescent="0.35">
      <c r="A9" s="2" t="s">
        <v>140</v>
      </c>
      <c r="B9" s="2" t="s">
        <v>141</v>
      </c>
      <c r="C9" s="5">
        <v>-4057.32</v>
      </c>
      <c r="E9" s="5">
        <v>-4057.32</v>
      </c>
      <c r="F9"/>
      <c r="G9"/>
      <c r="H9"/>
      <c r="I9"/>
      <c r="J9"/>
      <c r="K9"/>
      <c r="L9"/>
      <c r="M9"/>
      <c r="Q9" s="2" t="s">
        <v>65</v>
      </c>
      <c r="R9" s="2" t="s">
        <v>90</v>
      </c>
      <c r="S9" s="5">
        <v>617.32000000000005</v>
      </c>
      <c r="T9" s="5"/>
      <c r="U9" s="5">
        <v>617.32000000000005</v>
      </c>
    </row>
    <row r="10" spans="1:29" x14ac:dyDescent="0.35">
      <c r="A10" s="2" t="s">
        <v>29</v>
      </c>
      <c r="B10" s="2" t="s">
        <v>44</v>
      </c>
      <c r="C10" s="5">
        <v>671.48</v>
      </c>
      <c r="D10" s="5">
        <v>16.059999999999999</v>
      </c>
      <c r="E10" s="5">
        <v>687.54</v>
      </c>
      <c r="F10"/>
      <c r="G10"/>
      <c r="H10"/>
      <c r="I10"/>
      <c r="J10"/>
      <c r="K10"/>
      <c r="L10"/>
      <c r="M10"/>
      <c r="Q10" s="2" t="s">
        <v>77</v>
      </c>
      <c r="R10" s="2" t="s">
        <v>101</v>
      </c>
      <c r="S10" s="5">
        <v>124.47999999999999</v>
      </c>
      <c r="T10" s="5">
        <v>2.23</v>
      </c>
      <c r="U10" s="5">
        <v>126.71</v>
      </c>
    </row>
    <row r="11" spans="1:29" x14ac:dyDescent="0.35">
      <c r="A11" s="2" t="s">
        <v>16</v>
      </c>
      <c r="C11" s="5">
        <v>-3385.84</v>
      </c>
      <c r="D11" s="5">
        <v>16.059999999999999</v>
      </c>
      <c r="E11" s="5">
        <v>-3369.78</v>
      </c>
      <c r="F11"/>
      <c r="G11"/>
      <c r="H11"/>
      <c r="I11"/>
      <c r="J11"/>
      <c r="K11"/>
      <c r="L11"/>
      <c r="M11"/>
      <c r="Q11" s="2" t="s">
        <v>16</v>
      </c>
      <c r="S11" s="5">
        <v>5289.7199999999993</v>
      </c>
      <c r="T11" s="5">
        <v>109.27000000000001</v>
      </c>
      <c r="U11" s="5">
        <v>5398.99</v>
      </c>
    </row>
    <row r="12" spans="1:29" x14ac:dyDescent="0.35">
      <c r="C12"/>
      <c r="D12"/>
      <c r="E12"/>
      <c r="F12"/>
      <c r="G12"/>
      <c r="H12"/>
      <c r="I12"/>
      <c r="J12"/>
      <c r="K12"/>
      <c r="L12"/>
      <c r="M12"/>
    </row>
    <row r="13" spans="1:29" x14ac:dyDescent="0.35">
      <c r="C13"/>
      <c r="D13"/>
      <c r="E13"/>
      <c r="F13"/>
      <c r="G13"/>
      <c r="H13"/>
      <c r="I13"/>
      <c r="J13"/>
      <c r="K13"/>
      <c r="L13"/>
      <c r="M13"/>
    </row>
    <row r="14" spans="1:29" x14ac:dyDescent="0.35">
      <c r="C14"/>
      <c r="D14"/>
      <c r="E14"/>
      <c r="F14"/>
      <c r="G14"/>
      <c r="H14"/>
      <c r="I14"/>
      <c r="J14"/>
      <c r="K14"/>
      <c r="L14"/>
      <c r="M14"/>
    </row>
    <row r="15" spans="1:29" x14ac:dyDescent="0.35">
      <c r="C15"/>
      <c r="D15"/>
      <c r="E15"/>
      <c r="F15"/>
      <c r="G15"/>
      <c r="H15"/>
      <c r="I15"/>
      <c r="J15"/>
      <c r="K15"/>
      <c r="L15"/>
      <c r="M15"/>
    </row>
    <row r="16" spans="1:29" x14ac:dyDescent="0.35">
      <c r="C16"/>
      <c r="D16"/>
      <c r="E16"/>
      <c r="F16"/>
      <c r="G16"/>
      <c r="H16"/>
      <c r="I16"/>
      <c r="J16"/>
      <c r="K16"/>
      <c r="L16"/>
      <c r="M16"/>
    </row>
    <row r="17" customFormat="1" x14ac:dyDescent="0.35"/>
    <row r="18" customForma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3:29" x14ac:dyDescent="0.35">
      <c r="C33"/>
      <c r="D33"/>
      <c r="E33"/>
      <c r="F33"/>
      <c r="G33"/>
      <c r="H33"/>
      <c r="I33"/>
      <c r="J33"/>
      <c r="K33"/>
      <c r="L33"/>
      <c r="M33"/>
    </row>
    <row r="34" spans="3:29" x14ac:dyDescent="0.35">
      <c r="C34"/>
      <c r="D34"/>
      <c r="E34"/>
      <c r="F34"/>
      <c r="G34"/>
      <c r="H34"/>
      <c r="I34"/>
      <c r="J34"/>
      <c r="K34"/>
      <c r="L34"/>
      <c r="M34"/>
    </row>
    <row r="35" spans="3:29" x14ac:dyDescent="0.35">
      <c r="C35"/>
      <c r="D35"/>
      <c r="E35"/>
      <c r="F35"/>
      <c r="G35"/>
      <c r="H35"/>
      <c r="I35"/>
      <c r="J35"/>
      <c r="K35"/>
      <c r="L35"/>
      <c r="M35"/>
    </row>
    <row r="36" spans="3:29" x14ac:dyDescent="0.35">
      <c r="C36"/>
      <c r="D36"/>
      <c r="E36"/>
      <c r="F36"/>
      <c r="G36"/>
      <c r="H36"/>
      <c r="I36"/>
      <c r="J36"/>
      <c r="K36"/>
      <c r="L36"/>
      <c r="M36"/>
    </row>
    <row r="37" spans="3:29" x14ac:dyDescent="0.35">
      <c r="C37"/>
      <c r="D37"/>
      <c r="E37"/>
      <c r="F37"/>
      <c r="G37"/>
      <c r="H37"/>
      <c r="I37"/>
      <c r="J37"/>
      <c r="K37"/>
      <c r="L37"/>
      <c r="M37"/>
    </row>
    <row r="38" spans="3:29" x14ac:dyDescent="0.35">
      <c r="C38"/>
      <c r="D38"/>
      <c r="E38"/>
      <c r="F38"/>
      <c r="G38"/>
      <c r="H38"/>
      <c r="I38"/>
      <c r="J38"/>
      <c r="K38"/>
      <c r="L38"/>
      <c r="M38"/>
    </row>
    <row r="39" spans="3:29" x14ac:dyDescent="0.35">
      <c r="C39"/>
      <c r="D39"/>
      <c r="E39"/>
      <c r="F39"/>
      <c r="G39"/>
      <c r="H39"/>
      <c r="I39"/>
      <c r="J39"/>
      <c r="K39"/>
      <c r="L39"/>
      <c r="M39"/>
    </row>
    <row r="40" spans="3:29" x14ac:dyDescent="0.35">
      <c r="C40"/>
      <c r="D40"/>
      <c r="E40"/>
      <c r="F40"/>
      <c r="G40"/>
      <c r="H40"/>
      <c r="I40"/>
      <c r="J40"/>
      <c r="K40"/>
      <c r="L40"/>
      <c r="M40"/>
    </row>
    <row r="41" spans="3:29" x14ac:dyDescent="0.35">
      <c r="C41"/>
      <c r="D41"/>
      <c r="E41"/>
      <c r="F41"/>
      <c r="G41"/>
      <c r="H41"/>
      <c r="I41"/>
      <c r="J41"/>
      <c r="K41"/>
      <c r="L41"/>
      <c r="M41"/>
    </row>
    <row r="42" spans="3:29" x14ac:dyDescent="0.35">
      <c r="C42"/>
      <c r="D42"/>
      <c r="E42"/>
      <c r="F42"/>
      <c r="G42"/>
      <c r="H42"/>
      <c r="I42"/>
      <c r="J42"/>
      <c r="K42"/>
      <c r="L42"/>
      <c r="M42"/>
    </row>
    <row r="43" spans="3:29" x14ac:dyDescent="0.35">
      <c r="C43"/>
      <c r="D43"/>
      <c r="E43"/>
      <c r="F43"/>
      <c r="G43"/>
      <c r="H43"/>
      <c r="I43"/>
      <c r="J43"/>
      <c r="K43"/>
      <c r="L43"/>
      <c r="M43"/>
    </row>
    <row r="44" spans="3:29" x14ac:dyDescent="0.35">
      <c r="C44"/>
      <c r="D44"/>
      <c r="E44"/>
      <c r="F44"/>
      <c r="G44"/>
      <c r="H44"/>
      <c r="I44"/>
      <c r="J44"/>
      <c r="K44"/>
      <c r="L44"/>
      <c r="M44"/>
    </row>
    <row r="45" spans="3:29" x14ac:dyDescent="0.35">
      <c r="C45"/>
      <c r="D45"/>
      <c r="E45"/>
      <c r="F45"/>
      <c r="G45"/>
      <c r="H45"/>
      <c r="I45"/>
      <c r="J45"/>
      <c r="K45"/>
      <c r="L45"/>
      <c r="M45"/>
      <c r="AC45" s="5"/>
    </row>
    <row r="67" spans="1:29" x14ac:dyDescent="0.35">
      <c r="Q67" s="3" t="s">
        <v>1</v>
      </c>
      <c r="R67" s="4" t="s" vm="9">
        <v>151</v>
      </c>
    </row>
    <row r="68" spans="1:29" x14ac:dyDescent="0.35">
      <c r="A68" s="3" t="s">
        <v>1</v>
      </c>
      <c r="B68" s="4" t="s" vm="10">
        <v>152</v>
      </c>
      <c r="Q68" s="3" t="s">
        <v>2</v>
      </c>
      <c r="R68" s="4" t="s" vm="3">
        <v>125</v>
      </c>
    </row>
    <row r="69" spans="1:29" x14ac:dyDescent="0.35">
      <c r="A69" s="3" t="s">
        <v>2</v>
      </c>
      <c r="B69" s="4" t="s" vm="3">
        <v>125</v>
      </c>
      <c r="Q69" s="3" t="s">
        <v>3</v>
      </c>
      <c r="R69" s="4" t="s" vm="1">
        <v>4</v>
      </c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x14ac:dyDescent="0.35">
      <c r="A70" s="3" t="s">
        <v>3</v>
      </c>
      <c r="B70" s="4" t="s" vm="1">
        <v>4</v>
      </c>
      <c r="Q70" s="1" t="s">
        <v>110</v>
      </c>
      <c r="R70" t="s" vm="8">
        <v>143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x14ac:dyDescent="0.35">
      <c r="A71" s="1" t="s">
        <v>106</v>
      </c>
      <c r="B71" t="s" vm="2">
        <v>107</v>
      </c>
      <c r="Q71" s="1" t="s">
        <v>113</v>
      </c>
      <c r="R71" t="s" vm="12">
        <v>155</v>
      </c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x14ac:dyDescent="0.35">
      <c r="A72" s="1" t="s">
        <v>110</v>
      </c>
      <c r="B72" t="s" vm="8">
        <v>143</v>
      </c>
    </row>
    <row r="73" spans="1:29" x14ac:dyDescent="0.35">
      <c r="A73" s="6" t="s">
        <v>113</v>
      </c>
      <c r="B73" s="5" t="s" vm="12">
        <v>155</v>
      </c>
      <c r="Q73" s="1" t="s">
        <v>48</v>
      </c>
      <c r="S73" s="1" t="s">
        <v>5</v>
      </c>
    </row>
    <row r="74" spans="1:29" x14ac:dyDescent="0.35">
      <c r="C74"/>
      <c r="D74"/>
      <c r="E74"/>
      <c r="F74"/>
      <c r="G74"/>
      <c r="H74"/>
      <c r="I74"/>
      <c r="J74"/>
      <c r="K74"/>
      <c r="L74"/>
      <c r="M74"/>
      <c r="Q74" s="1" t="s">
        <v>17</v>
      </c>
      <c r="R74" s="1" t="s">
        <v>103</v>
      </c>
    </row>
    <row r="75" spans="1:29" x14ac:dyDescent="0.35">
      <c r="A75" s="1" t="s">
        <v>48</v>
      </c>
      <c r="C75" s="1" t="s">
        <v>5</v>
      </c>
      <c r="D75"/>
      <c r="E75"/>
      <c r="F75"/>
      <c r="G75"/>
      <c r="H75"/>
      <c r="I75"/>
      <c r="J75"/>
      <c r="K75"/>
      <c r="L75"/>
      <c r="M75"/>
    </row>
    <row r="76" spans="1:29" x14ac:dyDescent="0.35">
      <c r="A76" s="1" t="s">
        <v>17</v>
      </c>
      <c r="B76" s="1" t="s">
        <v>47</v>
      </c>
      <c r="C76"/>
      <c r="D76"/>
      <c r="E76"/>
      <c r="F76"/>
      <c r="G76"/>
      <c r="H76"/>
      <c r="I76"/>
      <c r="J76"/>
      <c r="K76"/>
      <c r="L76"/>
      <c r="M76"/>
    </row>
    <row r="77" spans="1:29" x14ac:dyDescent="0.35">
      <c r="C77"/>
      <c r="D77"/>
      <c r="E77"/>
      <c r="F77"/>
      <c r="G77"/>
      <c r="H77"/>
      <c r="I77"/>
      <c r="J77"/>
      <c r="K77"/>
      <c r="L77"/>
      <c r="M77"/>
    </row>
    <row r="78" spans="1:29" x14ac:dyDescent="0.35">
      <c r="C78"/>
      <c r="D78"/>
      <c r="E78"/>
      <c r="F78"/>
      <c r="G78"/>
      <c r="H78"/>
      <c r="I78"/>
      <c r="J78"/>
      <c r="K78"/>
      <c r="L78"/>
      <c r="M78"/>
    </row>
    <row r="79" spans="1:29" x14ac:dyDescent="0.35">
      <c r="C79"/>
      <c r="D79"/>
      <c r="E79"/>
      <c r="F79"/>
      <c r="G79"/>
      <c r="H79"/>
      <c r="I79"/>
      <c r="J79"/>
      <c r="K79"/>
      <c r="L79"/>
      <c r="M79"/>
    </row>
    <row r="80" spans="1:29" x14ac:dyDescent="0.35">
      <c r="C80"/>
      <c r="D80"/>
      <c r="E80"/>
      <c r="F80"/>
      <c r="G80"/>
      <c r="H80"/>
      <c r="I80"/>
      <c r="J80"/>
      <c r="K80"/>
      <c r="L80"/>
      <c r="M80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31EA3-5ED0-4E24-9690-DB778C779426}">
  <sheetPr>
    <tabColor theme="6" tint="0.59999389629810485"/>
  </sheetPr>
  <dimension ref="A1:AH114"/>
  <sheetViews>
    <sheetView zoomScale="80" zoomScaleNormal="80" workbookViewId="0">
      <selection activeCell="K26" sqref="K26"/>
    </sheetView>
  </sheetViews>
  <sheetFormatPr defaultRowHeight="14.5" x14ac:dyDescent="0.35"/>
  <cols>
    <col min="1" max="1" width="17.7265625" bestFit="1" customWidth="1"/>
    <col min="2" max="2" width="35" bestFit="1" customWidth="1"/>
    <col min="3" max="3" width="18.453125" style="5" bestFit="1" customWidth="1"/>
    <col min="4" max="4" width="9.26953125" style="5" bestFit="1" customWidth="1"/>
    <col min="5" max="5" width="11.26953125" style="5" bestFit="1" customWidth="1"/>
    <col min="6" max="6" width="12.26953125" style="5" bestFit="1" customWidth="1"/>
    <col min="7" max="7" width="13" style="5" bestFit="1" customWidth="1"/>
    <col min="8" max="9" width="12.26953125" style="5" bestFit="1" customWidth="1"/>
    <col min="10" max="10" width="11.26953125" style="5" bestFit="1" customWidth="1"/>
    <col min="11" max="11" width="13" style="5" bestFit="1" customWidth="1"/>
    <col min="12" max="12" width="8.54296875" style="5" bestFit="1" customWidth="1"/>
    <col min="13" max="13" width="12" style="5" bestFit="1" customWidth="1"/>
    <col min="14" max="14" width="13" bestFit="1" customWidth="1"/>
    <col min="15" max="15" width="14.81640625" customWidth="1"/>
    <col min="16" max="16" width="11.453125" customWidth="1"/>
    <col min="17" max="17" width="17.7265625" bestFit="1" customWidth="1"/>
    <col min="18" max="18" width="35.7265625" bestFit="1" customWidth="1"/>
    <col min="19" max="19" width="18.453125" bestFit="1" customWidth="1"/>
    <col min="20" max="24" width="7" bestFit="1" customWidth="1"/>
    <col min="25" max="25" width="7.1796875" bestFit="1" customWidth="1"/>
    <col min="26" max="26" width="7" bestFit="1" customWidth="1"/>
    <col min="27" max="27" width="11.26953125" bestFit="1" customWidth="1"/>
    <col min="28" max="29" width="7" bestFit="1" customWidth="1"/>
    <col min="30" max="30" width="10.1796875" bestFit="1" customWidth="1"/>
    <col min="31" max="32" width="7" bestFit="1" customWidth="1"/>
    <col min="33" max="33" width="8.54296875" bestFit="1" customWidth="1"/>
    <col min="34" max="34" width="13" bestFit="1" customWidth="1"/>
    <col min="35" max="42" width="10.54296875" customWidth="1"/>
    <col min="43" max="44" width="11.54296875" customWidth="1"/>
    <col min="45" max="53" width="10.54296875" customWidth="1"/>
    <col min="54" max="54" width="11.453125" customWidth="1"/>
    <col min="55" max="56" width="10.54296875" customWidth="1"/>
    <col min="57" max="57" width="11.54296875" customWidth="1"/>
    <col min="58" max="58" width="10.54296875" customWidth="1"/>
    <col min="59" max="59" width="11.54296875" customWidth="1"/>
    <col min="60" max="64" width="10.54296875" customWidth="1"/>
    <col min="65" max="65" width="11.54296875" customWidth="1"/>
    <col min="66" max="69" width="10.54296875" customWidth="1"/>
    <col min="70" max="71" width="5.1796875" customWidth="1"/>
    <col min="72" max="72" width="11.54296875" customWidth="1"/>
    <col min="73" max="82" width="10.54296875" customWidth="1"/>
    <col min="83" max="83" width="10.453125" customWidth="1"/>
    <col min="84" max="84" width="10.54296875" customWidth="1"/>
    <col min="85" max="85" width="11.54296875" customWidth="1"/>
    <col min="86" max="89" width="10.54296875" customWidth="1"/>
    <col min="90" max="90" width="11.54296875" customWidth="1"/>
    <col min="91" max="97" width="10.54296875" customWidth="1"/>
    <col min="98" max="99" width="5.1796875" customWidth="1"/>
    <col min="100" max="100" width="11.54296875" customWidth="1"/>
    <col min="101" max="112" width="10.54296875" customWidth="1"/>
    <col min="113" max="114" width="5.1796875" customWidth="1"/>
    <col min="115" max="115" width="11.54296875" customWidth="1"/>
    <col min="116" max="124" width="10.54296875" customWidth="1"/>
    <col min="125" max="125" width="11.54296875" customWidth="1"/>
    <col min="126" max="126" width="10.54296875" customWidth="1"/>
    <col min="127" max="127" width="12.453125" customWidth="1"/>
    <col min="128" max="128" width="11.54296875" customWidth="1"/>
    <col min="129" max="135" width="10.54296875" customWidth="1"/>
    <col min="136" max="137" width="11.54296875" customWidth="1"/>
    <col min="138" max="138" width="10.54296875" customWidth="1"/>
    <col min="139" max="139" width="11.54296875" customWidth="1"/>
    <col min="140" max="140" width="11.453125" customWidth="1"/>
    <col min="141" max="141" width="11.54296875" customWidth="1"/>
    <col min="142" max="148" width="10.54296875" customWidth="1"/>
    <col min="149" max="149" width="11.54296875" customWidth="1"/>
    <col min="150" max="150" width="13.453125" customWidth="1"/>
  </cols>
  <sheetData>
    <row r="1" spans="1:34" x14ac:dyDescent="0.35">
      <c r="A1" s="3" t="s">
        <v>1</v>
      </c>
      <c r="B1" s="4" t="s" vm="10">
        <v>152</v>
      </c>
      <c r="Q1" s="3" t="s">
        <v>1</v>
      </c>
      <c r="R1" s="4" t="s" vm="9">
        <v>151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34" x14ac:dyDescent="0.35">
      <c r="A2" s="3" t="s">
        <v>2</v>
      </c>
      <c r="B2" s="4" t="s" vm="3">
        <v>125</v>
      </c>
      <c r="Q2" s="3" t="s">
        <v>2</v>
      </c>
      <c r="R2" s="4" t="s" vm="3">
        <v>125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34" x14ac:dyDescent="0.35">
      <c r="A3" s="3" t="s">
        <v>3</v>
      </c>
      <c r="B3" s="4" t="s" vm="1">
        <v>4</v>
      </c>
      <c r="Q3" s="3" t="s">
        <v>3</v>
      </c>
      <c r="R3" s="4" t="s" vm="1">
        <v>4</v>
      </c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34" x14ac:dyDescent="0.35">
      <c r="A4" s="1" t="s">
        <v>110</v>
      </c>
      <c r="B4" t="s" vm="13">
        <v>156</v>
      </c>
      <c r="Q4" s="1" t="s">
        <v>110</v>
      </c>
      <c r="R4" t="s" vm="13">
        <v>156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34" x14ac:dyDescent="0.35">
      <c r="A5" s="1" t="s">
        <v>106</v>
      </c>
      <c r="B5" t="s" vm="2">
        <v>107</v>
      </c>
      <c r="C5"/>
      <c r="D5"/>
      <c r="E5"/>
      <c r="F5"/>
      <c r="G5"/>
      <c r="H5"/>
      <c r="I5"/>
      <c r="J5"/>
      <c r="K5"/>
      <c r="L5"/>
      <c r="M5"/>
    </row>
    <row r="6" spans="1:34" x14ac:dyDescent="0.35">
      <c r="C6"/>
      <c r="D6"/>
      <c r="E6"/>
      <c r="F6"/>
      <c r="G6"/>
      <c r="H6"/>
      <c r="I6"/>
      <c r="J6"/>
      <c r="K6"/>
      <c r="L6"/>
      <c r="M6"/>
      <c r="Q6" s="1" t="s">
        <v>48</v>
      </c>
      <c r="S6" s="6" t="s">
        <v>5</v>
      </c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spans="1:34" x14ac:dyDescent="0.35">
      <c r="A7" s="1" t="s">
        <v>48</v>
      </c>
      <c r="C7" s="6" t="s">
        <v>5</v>
      </c>
      <c r="N7" s="5"/>
      <c r="Q7" s="1" t="s">
        <v>17</v>
      </c>
      <c r="R7" s="1" t="s">
        <v>103</v>
      </c>
      <c r="S7" s="5" t="s">
        <v>6</v>
      </c>
      <c r="T7" s="5" t="s">
        <v>7</v>
      </c>
      <c r="U7" s="5" t="s">
        <v>8</v>
      </c>
      <c r="V7" s="5" t="s">
        <v>9</v>
      </c>
      <c r="W7" s="5" t="s">
        <v>10</v>
      </c>
      <c r="X7" s="5" t="s">
        <v>11</v>
      </c>
      <c r="Y7" s="5" t="s">
        <v>12</v>
      </c>
      <c r="Z7" s="5" t="s">
        <v>13</v>
      </c>
      <c r="AA7" s="5" t="s">
        <v>14</v>
      </c>
      <c r="AB7" s="5" t="s">
        <v>15</v>
      </c>
      <c r="AC7" s="5" t="s">
        <v>137</v>
      </c>
      <c r="AD7" s="5" t="s">
        <v>144</v>
      </c>
      <c r="AE7" s="5" t="s">
        <v>145</v>
      </c>
      <c r="AF7" s="5" t="s">
        <v>148</v>
      </c>
      <c r="AG7" s="5" t="s">
        <v>150</v>
      </c>
      <c r="AH7" s="5" t="s">
        <v>16</v>
      </c>
    </row>
    <row r="8" spans="1:34" x14ac:dyDescent="0.35">
      <c r="A8" s="1" t="s">
        <v>17</v>
      </c>
      <c r="B8" s="1" t="s">
        <v>47</v>
      </c>
      <c r="C8" s="5" t="s">
        <v>6</v>
      </c>
      <c r="D8" s="5" t="s">
        <v>7</v>
      </c>
      <c r="E8" s="5" t="s">
        <v>8</v>
      </c>
      <c r="F8" s="5" t="s">
        <v>9</v>
      </c>
      <c r="G8" s="5" t="s">
        <v>10</v>
      </c>
      <c r="H8" s="5" t="s">
        <v>12</v>
      </c>
      <c r="I8" s="5" t="s">
        <v>13</v>
      </c>
      <c r="J8" s="5" t="s">
        <v>14</v>
      </c>
      <c r="K8" s="5" t="s">
        <v>15</v>
      </c>
      <c r="L8" s="5" t="s">
        <v>145</v>
      </c>
      <c r="M8" s="5" t="s">
        <v>150</v>
      </c>
      <c r="N8" s="5" t="s">
        <v>16</v>
      </c>
      <c r="Q8" s="2" t="s">
        <v>51</v>
      </c>
      <c r="R8" s="2" t="s">
        <v>79</v>
      </c>
      <c r="S8" s="5">
        <v>44219.05</v>
      </c>
      <c r="T8" s="5">
        <v>0</v>
      </c>
      <c r="U8" s="5"/>
      <c r="V8" s="5"/>
      <c r="W8" s="5"/>
      <c r="X8" s="5"/>
      <c r="Y8" s="5">
        <v>0</v>
      </c>
      <c r="Z8" s="5"/>
      <c r="AA8" s="5"/>
      <c r="AB8" s="5"/>
      <c r="AC8" s="5"/>
      <c r="AD8" s="5"/>
      <c r="AE8" s="5"/>
      <c r="AF8" s="5"/>
      <c r="AG8" s="5"/>
      <c r="AH8" s="5">
        <v>44219.05</v>
      </c>
    </row>
    <row r="9" spans="1:34" x14ac:dyDescent="0.35">
      <c r="A9" s="2" t="s">
        <v>22</v>
      </c>
      <c r="B9" s="2" t="s">
        <v>37</v>
      </c>
      <c r="C9" s="5">
        <v>-15</v>
      </c>
      <c r="N9" s="5">
        <v>-15</v>
      </c>
      <c r="Q9" s="2" t="s">
        <v>126</v>
      </c>
      <c r="R9" s="2" t="s">
        <v>79</v>
      </c>
      <c r="S9" s="5">
        <v>3808.5899999999997</v>
      </c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>
        <v>3808.5899999999997</v>
      </c>
    </row>
    <row r="10" spans="1:34" x14ac:dyDescent="0.35">
      <c r="A10" s="2" t="s">
        <v>24</v>
      </c>
      <c r="B10" s="2" t="s">
        <v>39</v>
      </c>
      <c r="E10" s="5">
        <v>54183</v>
      </c>
      <c r="F10" s="5">
        <v>225000</v>
      </c>
      <c r="N10" s="5">
        <v>279183</v>
      </c>
      <c r="Q10" s="2" t="s">
        <v>52</v>
      </c>
      <c r="R10" s="2" t="s">
        <v>79</v>
      </c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>
        <v>960</v>
      </c>
      <c r="AE10" s="5">
        <v>0</v>
      </c>
      <c r="AF10" s="5"/>
      <c r="AG10" s="5"/>
      <c r="AH10" s="5">
        <v>960</v>
      </c>
    </row>
    <row r="11" spans="1:34" x14ac:dyDescent="0.35">
      <c r="A11" s="2" t="s">
        <v>25</v>
      </c>
      <c r="B11" s="2" t="s">
        <v>40</v>
      </c>
      <c r="C11" s="5">
        <v>736765.92000000016</v>
      </c>
      <c r="G11" s="5">
        <v>-449622.13</v>
      </c>
      <c r="K11" s="5">
        <v>-881759.93</v>
      </c>
      <c r="N11" s="5">
        <v>-594616.1399999999</v>
      </c>
      <c r="Q11" s="2" t="s">
        <v>53</v>
      </c>
      <c r="R11" s="2" t="s">
        <v>79</v>
      </c>
      <c r="S11" s="5">
        <v>11666.61</v>
      </c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>
        <v>11666.61</v>
      </c>
    </row>
    <row r="12" spans="1:34" x14ac:dyDescent="0.35">
      <c r="A12" s="2" t="s">
        <v>26</v>
      </c>
      <c r="B12" s="2" t="s">
        <v>41</v>
      </c>
      <c r="K12" s="5">
        <v>-94792.28</v>
      </c>
      <c r="N12" s="5">
        <v>-94792.28</v>
      </c>
      <c r="Q12" s="2" t="s">
        <v>55</v>
      </c>
      <c r="R12" s="2" t="s">
        <v>80</v>
      </c>
      <c r="S12" s="5">
        <v>30597.990000000005</v>
      </c>
      <c r="T12" s="5">
        <v>1.1368683772161603E-13</v>
      </c>
      <c r="U12" s="5"/>
      <c r="V12" s="5"/>
      <c r="W12" s="5"/>
      <c r="X12" s="5"/>
      <c r="Y12" s="5">
        <v>-5.6843418860808015E-14</v>
      </c>
      <c r="Z12" s="5"/>
      <c r="AA12" s="5"/>
      <c r="AB12" s="5"/>
      <c r="AC12" s="5"/>
      <c r="AD12" s="5">
        <v>365.3</v>
      </c>
      <c r="AE12" s="5">
        <v>5.6843418860808015E-14</v>
      </c>
      <c r="AF12" s="5"/>
      <c r="AG12" s="5"/>
      <c r="AH12" s="5">
        <v>30963.290000000005</v>
      </c>
    </row>
    <row r="13" spans="1:34" x14ac:dyDescent="0.35">
      <c r="A13" s="2" t="s">
        <v>27</v>
      </c>
      <c r="B13" s="2" t="s">
        <v>42</v>
      </c>
      <c r="D13" s="5">
        <v>0</v>
      </c>
      <c r="E13" s="5">
        <v>0</v>
      </c>
      <c r="F13" s="5">
        <v>0</v>
      </c>
      <c r="G13" s="5">
        <v>0</v>
      </c>
      <c r="N13" s="5">
        <v>0</v>
      </c>
      <c r="Q13" s="2" t="s">
        <v>65</v>
      </c>
      <c r="R13" s="2" t="s">
        <v>90</v>
      </c>
      <c r="S13" s="5"/>
      <c r="T13" s="5"/>
      <c r="U13" s="5">
        <v>0</v>
      </c>
      <c r="V13" s="5">
        <v>0</v>
      </c>
      <c r="W13" s="5">
        <v>0</v>
      </c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>
        <v>0</v>
      </c>
    </row>
    <row r="14" spans="1:34" x14ac:dyDescent="0.35">
      <c r="A14" s="2" t="s">
        <v>28</v>
      </c>
      <c r="B14" s="2" t="s">
        <v>43</v>
      </c>
      <c r="G14" s="5">
        <v>200000</v>
      </c>
      <c r="H14" s="5">
        <v>100000</v>
      </c>
      <c r="N14" s="5">
        <v>300000</v>
      </c>
      <c r="Q14" s="2" t="s">
        <v>68</v>
      </c>
      <c r="R14" s="2" t="s">
        <v>93</v>
      </c>
      <c r="S14" s="5"/>
      <c r="T14" s="5"/>
      <c r="U14" s="5"/>
      <c r="V14" s="5"/>
      <c r="W14" s="5"/>
      <c r="X14" s="5"/>
      <c r="Y14" s="5"/>
      <c r="Z14" s="5"/>
      <c r="AA14" s="5">
        <v>90461.01</v>
      </c>
      <c r="AB14" s="5"/>
      <c r="AC14" s="5"/>
      <c r="AD14" s="5"/>
      <c r="AE14" s="5"/>
      <c r="AF14" s="5"/>
      <c r="AG14" s="5">
        <v>339</v>
      </c>
      <c r="AH14" s="5">
        <v>90800.01</v>
      </c>
    </row>
    <row r="15" spans="1:34" x14ac:dyDescent="0.35">
      <c r="A15" s="2" t="s">
        <v>29</v>
      </c>
      <c r="B15" s="2" t="s">
        <v>44</v>
      </c>
      <c r="C15" s="5">
        <v>16022.32</v>
      </c>
      <c r="D15" s="5">
        <v>-290.85000000000002</v>
      </c>
      <c r="J15" s="5">
        <v>11759.929999999998</v>
      </c>
      <c r="L15" s="5">
        <v>198.8</v>
      </c>
      <c r="M15" s="5">
        <v>50.85</v>
      </c>
      <c r="N15" s="5">
        <v>27741.049999999996</v>
      </c>
      <c r="Q15" s="2" t="s">
        <v>76</v>
      </c>
      <c r="R15" s="2" t="s">
        <v>100</v>
      </c>
      <c r="S15" s="5"/>
      <c r="T15" s="5"/>
      <c r="U15" s="5"/>
      <c r="V15" s="5"/>
      <c r="W15" s="5"/>
      <c r="X15" s="5">
        <v>0</v>
      </c>
      <c r="Y15" s="5"/>
      <c r="Z15" s="5">
        <v>0</v>
      </c>
      <c r="AA15" s="5"/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</row>
    <row r="16" spans="1:34" x14ac:dyDescent="0.35">
      <c r="A16" s="2" t="s">
        <v>31</v>
      </c>
      <c r="B16" s="2" t="s">
        <v>46</v>
      </c>
      <c r="G16" s="5">
        <v>200000</v>
      </c>
      <c r="H16" s="5">
        <v>135000</v>
      </c>
      <c r="I16" s="5">
        <v>235000</v>
      </c>
      <c r="M16" s="5">
        <v>-60000</v>
      </c>
      <c r="N16" s="5">
        <v>510000</v>
      </c>
      <c r="Q16" s="2" t="s">
        <v>77</v>
      </c>
      <c r="R16" s="2" t="s">
        <v>101</v>
      </c>
      <c r="S16" s="5">
        <v>889.42000000000007</v>
      </c>
      <c r="T16" s="5">
        <v>2.2204460492503131E-16</v>
      </c>
      <c r="U16" s="5"/>
      <c r="V16" s="5"/>
      <c r="W16" s="5"/>
      <c r="X16" s="5"/>
      <c r="Y16" s="5"/>
      <c r="Z16" s="5"/>
      <c r="AA16" s="5">
        <v>4331.2699999999995</v>
      </c>
      <c r="AB16" s="5"/>
      <c r="AC16" s="5"/>
      <c r="AD16" s="5">
        <v>27.659999999999997</v>
      </c>
      <c r="AE16" s="5"/>
      <c r="AF16" s="5"/>
      <c r="AG16" s="5">
        <v>18.07</v>
      </c>
      <c r="AH16" s="5">
        <v>5266.4199999999992</v>
      </c>
    </row>
    <row r="17" spans="1:34" x14ac:dyDescent="0.35">
      <c r="A17" s="2" t="s">
        <v>16</v>
      </c>
      <c r="C17" s="5">
        <v>752773.24000000011</v>
      </c>
      <c r="D17" s="5">
        <v>-290.85000000000002</v>
      </c>
      <c r="E17" s="5">
        <v>54183</v>
      </c>
      <c r="F17" s="5">
        <v>225000</v>
      </c>
      <c r="G17" s="5">
        <v>-49622.130000000005</v>
      </c>
      <c r="H17" s="5">
        <v>235000</v>
      </c>
      <c r="I17" s="5">
        <v>235000</v>
      </c>
      <c r="J17" s="5">
        <v>11759.929999999998</v>
      </c>
      <c r="K17" s="5">
        <v>-976552.21000000008</v>
      </c>
      <c r="L17" s="5">
        <v>198.8</v>
      </c>
      <c r="M17" s="5">
        <v>-59949.15</v>
      </c>
      <c r="N17" s="5">
        <v>427500.63000000018</v>
      </c>
      <c r="Q17" s="2" t="s">
        <v>16</v>
      </c>
      <c r="S17" s="5">
        <v>91181.66</v>
      </c>
      <c r="T17" s="5">
        <v>1.1390888232654106E-13</v>
      </c>
      <c r="U17" s="5">
        <v>0</v>
      </c>
      <c r="V17" s="5">
        <v>0</v>
      </c>
      <c r="W17" s="5">
        <v>0</v>
      </c>
      <c r="X17" s="5">
        <v>0</v>
      </c>
      <c r="Y17" s="5">
        <v>-5.6843418860808015E-14</v>
      </c>
      <c r="Z17" s="5">
        <v>0</v>
      </c>
      <c r="AA17" s="5">
        <v>94792.28</v>
      </c>
      <c r="AB17" s="5">
        <v>0</v>
      </c>
      <c r="AC17" s="5">
        <v>0</v>
      </c>
      <c r="AD17" s="5">
        <v>1352.96</v>
      </c>
      <c r="AE17" s="5">
        <v>5.6843418860808015E-14</v>
      </c>
      <c r="AF17" s="5">
        <v>0</v>
      </c>
      <c r="AG17" s="5">
        <v>357.07</v>
      </c>
      <c r="AH17" s="5">
        <v>187683.96999999997</v>
      </c>
    </row>
    <row r="18" spans="1:34" x14ac:dyDescent="0.35">
      <c r="C18"/>
      <c r="D18"/>
      <c r="E18"/>
      <c r="F18"/>
      <c r="G18"/>
      <c r="H18"/>
      <c r="I18"/>
      <c r="J18"/>
      <c r="K18"/>
      <c r="L18"/>
      <c r="M18"/>
    </row>
    <row r="19" spans="1:34" x14ac:dyDescent="0.35">
      <c r="C19"/>
      <c r="D19"/>
      <c r="E19"/>
      <c r="F19"/>
      <c r="G19"/>
      <c r="H19"/>
      <c r="I19"/>
      <c r="J19"/>
      <c r="K19"/>
      <c r="L19"/>
      <c r="M19"/>
    </row>
    <row r="20" spans="1:34" x14ac:dyDescent="0.35">
      <c r="C20"/>
      <c r="D20"/>
      <c r="E20"/>
      <c r="F20"/>
      <c r="G20"/>
      <c r="H20"/>
      <c r="I20"/>
      <c r="J20"/>
      <c r="K20"/>
      <c r="L20"/>
      <c r="M20"/>
    </row>
    <row r="21" spans="1:34" x14ac:dyDescent="0.35">
      <c r="C21"/>
      <c r="D21"/>
      <c r="E21"/>
      <c r="F21"/>
      <c r="G21"/>
      <c r="H21"/>
      <c r="I21"/>
      <c r="J21"/>
      <c r="K21"/>
      <c r="L21"/>
      <c r="M21"/>
    </row>
    <row r="22" spans="1:34" x14ac:dyDescent="0.35">
      <c r="C22"/>
      <c r="D22"/>
      <c r="E22"/>
      <c r="F22"/>
      <c r="G22"/>
      <c r="H22"/>
      <c r="I22"/>
      <c r="J22"/>
      <c r="K22"/>
      <c r="L22"/>
      <c r="M22"/>
    </row>
    <row r="23" spans="1:34" x14ac:dyDescent="0.35">
      <c r="C23"/>
      <c r="D23"/>
      <c r="E23"/>
      <c r="F23"/>
      <c r="G23"/>
      <c r="H23"/>
      <c r="I23"/>
      <c r="J23"/>
      <c r="K23"/>
      <c r="L23"/>
      <c r="M23"/>
    </row>
    <row r="24" spans="1:34" x14ac:dyDescent="0.35">
      <c r="C24"/>
      <c r="D24"/>
      <c r="E24"/>
      <c r="F24"/>
      <c r="G24"/>
      <c r="H24"/>
      <c r="I24"/>
      <c r="J24"/>
      <c r="K24"/>
      <c r="L24"/>
      <c r="M24"/>
    </row>
    <row r="25" spans="1:34" x14ac:dyDescent="0.35">
      <c r="C25"/>
      <c r="D25"/>
      <c r="E25"/>
      <c r="F25"/>
      <c r="G25"/>
      <c r="H25"/>
      <c r="I25"/>
      <c r="J25"/>
      <c r="K25"/>
      <c r="L25"/>
      <c r="M25"/>
    </row>
    <row r="26" spans="1:34" x14ac:dyDescent="0.35">
      <c r="C26"/>
      <c r="D26"/>
      <c r="E26"/>
      <c r="F26"/>
      <c r="G26"/>
      <c r="H26"/>
      <c r="I26"/>
      <c r="J26"/>
      <c r="K26"/>
      <c r="L26"/>
      <c r="M26"/>
    </row>
    <row r="27" spans="1:34" x14ac:dyDescent="0.35">
      <c r="C27"/>
      <c r="D27"/>
      <c r="E27"/>
      <c r="F27"/>
      <c r="G27"/>
      <c r="H27"/>
      <c r="I27"/>
      <c r="J27"/>
      <c r="K27"/>
      <c r="L27"/>
      <c r="M27"/>
    </row>
    <row r="28" spans="1:34" x14ac:dyDescent="0.35">
      <c r="C28"/>
      <c r="D28"/>
      <c r="E28"/>
      <c r="F28"/>
      <c r="G28"/>
      <c r="H28"/>
      <c r="I28"/>
      <c r="J28"/>
      <c r="K28"/>
      <c r="L28"/>
      <c r="M28"/>
    </row>
    <row r="29" spans="1:34" x14ac:dyDescent="0.35">
      <c r="C29"/>
      <c r="D29"/>
      <c r="E29"/>
      <c r="F29"/>
      <c r="G29"/>
      <c r="H29"/>
      <c r="I29"/>
      <c r="J29"/>
      <c r="K29"/>
      <c r="L29"/>
      <c r="M29"/>
    </row>
    <row r="30" spans="1:34" x14ac:dyDescent="0.35">
      <c r="C30"/>
      <c r="D30"/>
      <c r="E30"/>
      <c r="F30"/>
      <c r="G30"/>
      <c r="H30"/>
      <c r="I30"/>
      <c r="J30"/>
      <c r="K30"/>
      <c r="L30"/>
      <c r="M30"/>
    </row>
    <row r="31" spans="1:34" x14ac:dyDescent="0.35">
      <c r="C31"/>
      <c r="D31"/>
      <c r="E31"/>
      <c r="F31"/>
      <c r="G31"/>
      <c r="H31"/>
      <c r="I31"/>
      <c r="J31"/>
      <c r="K31"/>
      <c r="L31"/>
      <c r="M31"/>
    </row>
    <row r="32" spans="1:34" x14ac:dyDescent="0.35">
      <c r="C32"/>
      <c r="D32"/>
      <c r="E32"/>
      <c r="F32"/>
      <c r="G32"/>
      <c r="H32"/>
      <c r="I32"/>
      <c r="J32"/>
      <c r="K32"/>
      <c r="L32"/>
      <c r="M32"/>
    </row>
    <row r="33" spans="3:29" x14ac:dyDescent="0.35">
      <c r="C33"/>
      <c r="D33"/>
      <c r="E33"/>
      <c r="F33"/>
      <c r="G33"/>
      <c r="H33"/>
      <c r="I33"/>
      <c r="J33"/>
      <c r="K33"/>
      <c r="L33"/>
      <c r="M33"/>
    </row>
    <row r="34" spans="3:29" x14ac:dyDescent="0.35">
      <c r="C34"/>
      <c r="D34"/>
      <c r="E34"/>
      <c r="F34"/>
      <c r="G34"/>
      <c r="H34"/>
      <c r="I34"/>
      <c r="J34"/>
      <c r="K34"/>
      <c r="L34"/>
      <c r="M34"/>
    </row>
    <row r="35" spans="3:29" x14ac:dyDescent="0.35">
      <c r="C35"/>
      <c r="D35"/>
      <c r="E35"/>
      <c r="F35"/>
      <c r="G35"/>
      <c r="H35"/>
      <c r="I35"/>
      <c r="J35"/>
      <c r="K35"/>
      <c r="L35"/>
      <c r="M35"/>
    </row>
    <row r="36" spans="3:29" x14ac:dyDescent="0.35">
      <c r="C36"/>
      <c r="D36"/>
      <c r="E36"/>
      <c r="F36"/>
      <c r="G36"/>
      <c r="H36"/>
      <c r="I36"/>
      <c r="J36"/>
      <c r="K36"/>
      <c r="L36"/>
      <c r="M36"/>
    </row>
    <row r="37" spans="3:29" x14ac:dyDescent="0.35">
      <c r="C37"/>
      <c r="D37"/>
      <c r="E37"/>
      <c r="F37"/>
      <c r="G37"/>
      <c r="H37"/>
      <c r="I37"/>
      <c r="J37"/>
      <c r="K37"/>
      <c r="L37"/>
      <c r="M37"/>
    </row>
    <row r="38" spans="3:29" x14ac:dyDescent="0.35">
      <c r="C38"/>
      <c r="D38"/>
      <c r="E38"/>
      <c r="F38"/>
      <c r="G38"/>
      <c r="H38"/>
      <c r="I38"/>
      <c r="J38"/>
      <c r="K38"/>
      <c r="L38"/>
      <c r="M38"/>
    </row>
    <row r="39" spans="3:29" x14ac:dyDescent="0.35">
      <c r="C39"/>
      <c r="D39"/>
      <c r="E39"/>
      <c r="F39"/>
      <c r="G39"/>
      <c r="H39"/>
      <c r="I39"/>
      <c r="J39"/>
      <c r="K39"/>
      <c r="L39"/>
      <c r="M39"/>
    </row>
    <row r="40" spans="3:29" x14ac:dyDescent="0.35">
      <c r="C40"/>
      <c r="D40"/>
      <c r="E40"/>
      <c r="F40"/>
      <c r="G40"/>
      <c r="H40"/>
      <c r="I40"/>
      <c r="J40"/>
      <c r="K40"/>
      <c r="L40"/>
      <c r="M40"/>
    </row>
    <row r="41" spans="3:29" x14ac:dyDescent="0.35">
      <c r="C41"/>
      <c r="D41"/>
      <c r="E41"/>
      <c r="F41"/>
      <c r="G41"/>
      <c r="H41"/>
      <c r="I41"/>
      <c r="J41"/>
      <c r="K41"/>
      <c r="L41"/>
      <c r="M41"/>
    </row>
    <row r="42" spans="3:29" x14ac:dyDescent="0.35">
      <c r="C42"/>
      <c r="D42"/>
      <c r="E42"/>
      <c r="F42"/>
      <c r="G42"/>
      <c r="H42"/>
      <c r="I42"/>
      <c r="J42"/>
      <c r="K42"/>
      <c r="L42"/>
      <c r="M42"/>
    </row>
    <row r="43" spans="3:29" x14ac:dyDescent="0.35">
      <c r="C43"/>
      <c r="D43"/>
      <c r="E43"/>
      <c r="F43"/>
      <c r="G43"/>
      <c r="H43"/>
      <c r="I43"/>
      <c r="J43"/>
      <c r="K43"/>
      <c r="L43"/>
      <c r="M43"/>
    </row>
    <row r="44" spans="3:29" x14ac:dyDescent="0.35">
      <c r="C44"/>
      <c r="D44"/>
      <c r="E44"/>
      <c r="F44"/>
      <c r="G44"/>
      <c r="H44"/>
      <c r="I44"/>
      <c r="J44"/>
      <c r="K44"/>
      <c r="L44"/>
      <c r="M44"/>
    </row>
    <row r="45" spans="3:29" x14ac:dyDescent="0.35">
      <c r="C45"/>
      <c r="D45"/>
      <c r="E45"/>
      <c r="F45"/>
      <c r="G45"/>
      <c r="H45"/>
      <c r="I45"/>
      <c r="J45"/>
      <c r="K45"/>
      <c r="L45"/>
      <c r="M45"/>
      <c r="AC45" s="5"/>
    </row>
    <row r="67" spans="1:29" x14ac:dyDescent="0.35">
      <c r="Q67" s="3" t="s">
        <v>1</v>
      </c>
      <c r="R67" s="4" t="s" vm="9">
        <v>151</v>
      </c>
    </row>
    <row r="68" spans="1:29" x14ac:dyDescent="0.35">
      <c r="A68" s="3" t="s">
        <v>1</v>
      </c>
      <c r="B68" s="4" t="s" vm="10">
        <v>152</v>
      </c>
      <c r="Q68" s="3" t="s">
        <v>2</v>
      </c>
      <c r="R68" s="4" t="s" vm="3">
        <v>125</v>
      </c>
    </row>
    <row r="69" spans="1:29" x14ac:dyDescent="0.35">
      <c r="A69" s="3" t="s">
        <v>2</v>
      </c>
      <c r="B69" s="4" t="s" vm="3">
        <v>125</v>
      </c>
      <c r="Q69" s="3" t="s">
        <v>3</v>
      </c>
      <c r="R69" s="4" t="s" vm="1">
        <v>4</v>
      </c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x14ac:dyDescent="0.35">
      <c r="A70" s="3" t="s">
        <v>3</v>
      </c>
      <c r="B70" s="4" t="s" vm="1">
        <v>4</v>
      </c>
      <c r="Q70" s="1" t="s">
        <v>110</v>
      </c>
      <c r="R70" t="s" vm="13">
        <v>156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x14ac:dyDescent="0.35">
      <c r="A71" s="1" t="s">
        <v>106</v>
      </c>
      <c r="B71" t="s" vm="2">
        <v>107</v>
      </c>
      <c r="Q71" s="1" t="s">
        <v>113</v>
      </c>
      <c r="R71" t="s" vm="12">
        <v>155</v>
      </c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x14ac:dyDescent="0.35">
      <c r="A72" s="1" t="s">
        <v>110</v>
      </c>
      <c r="B72" t="s" vm="13">
        <v>156</v>
      </c>
    </row>
    <row r="73" spans="1:29" x14ac:dyDescent="0.35">
      <c r="A73" s="6" t="s">
        <v>113</v>
      </c>
      <c r="B73" s="5" t="s" vm="12">
        <v>155</v>
      </c>
      <c r="Q73" s="1" t="s">
        <v>48</v>
      </c>
      <c r="S73" s="1" t="s">
        <v>5</v>
      </c>
    </row>
    <row r="74" spans="1:29" x14ac:dyDescent="0.35">
      <c r="C74"/>
      <c r="D74"/>
      <c r="E74"/>
      <c r="F74"/>
      <c r="G74"/>
      <c r="H74"/>
      <c r="I74"/>
      <c r="J74"/>
      <c r="K74"/>
      <c r="L74"/>
      <c r="M74"/>
      <c r="Q74" s="1" t="s">
        <v>17</v>
      </c>
      <c r="R74" s="1" t="s">
        <v>103</v>
      </c>
    </row>
    <row r="75" spans="1:29" x14ac:dyDescent="0.35">
      <c r="A75" s="1" t="s">
        <v>48</v>
      </c>
      <c r="C75" s="1" t="s">
        <v>5</v>
      </c>
      <c r="D75"/>
      <c r="E75"/>
      <c r="F75"/>
      <c r="G75"/>
      <c r="H75"/>
      <c r="I75"/>
      <c r="J75"/>
      <c r="K75"/>
      <c r="L75"/>
      <c r="M75"/>
    </row>
    <row r="76" spans="1:29" x14ac:dyDescent="0.35">
      <c r="A76" s="1" t="s">
        <v>17</v>
      </c>
      <c r="B76" s="1" t="s">
        <v>47</v>
      </c>
      <c r="C76"/>
      <c r="D76"/>
      <c r="E76"/>
      <c r="F76"/>
      <c r="G76"/>
      <c r="H76"/>
      <c r="I76"/>
      <c r="J76"/>
      <c r="K76"/>
      <c r="L76"/>
      <c r="M76"/>
    </row>
    <row r="77" spans="1:29" x14ac:dyDescent="0.35">
      <c r="C77"/>
      <c r="D77"/>
      <c r="E77"/>
      <c r="F77"/>
      <c r="G77"/>
      <c r="H77"/>
      <c r="I77"/>
      <c r="J77"/>
      <c r="K77"/>
      <c r="L77"/>
      <c r="M77"/>
    </row>
    <row r="78" spans="1:29" x14ac:dyDescent="0.35">
      <c r="C78"/>
      <c r="D78"/>
      <c r="E78"/>
      <c r="F78"/>
      <c r="G78"/>
      <c r="H78"/>
      <c r="I78"/>
      <c r="J78"/>
      <c r="K78"/>
      <c r="L78"/>
      <c r="M78"/>
    </row>
    <row r="79" spans="1:29" x14ac:dyDescent="0.35">
      <c r="C79"/>
      <c r="D79"/>
      <c r="E79"/>
      <c r="F79"/>
      <c r="G79"/>
      <c r="H79"/>
      <c r="I79"/>
      <c r="J79"/>
      <c r="K79"/>
      <c r="L79"/>
      <c r="M79"/>
    </row>
    <row r="80" spans="1:29" x14ac:dyDescent="0.35">
      <c r="C80"/>
      <c r="D80"/>
      <c r="E80"/>
      <c r="F80"/>
      <c r="G80"/>
      <c r="H80"/>
      <c r="I80"/>
      <c r="J80"/>
      <c r="K80"/>
      <c r="L80"/>
      <c r="M80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  <pageSetUpPr fitToPage="1"/>
  </sheetPr>
  <dimension ref="A1:W103"/>
  <sheetViews>
    <sheetView zoomScale="70" zoomScaleNormal="70" workbookViewId="0">
      <pane xSplit="2" ySplit="6" topLeftCell="C47" activePane="bottomRight" state="frozen"/>
      <selection pane="topRight"/>
      <selection pane="bottomLeft"/>
      <selection pane="bottomRight" activeCell="N82" sqref="N82"/>
    </sheetView>
  </sheetViews>
  <sheetFormatPr defaultColWidth="9.1796875" defaultRowHeight="14.5" x14ac:dyDescent="0.35"/>
  <cols>
    <col min="1" max="1" width="15" style="9" bestFit="1" customWidth="1"/>
    <col min="2" max="2" width="35.81640625" style="13" bestFit="1" customWidth="1"/>
    <col min="3" max="13" width="15.453125" style="11" bestFit="1" customWidth="1"/>
    <col min="14" max="14" width="13.453125" style="11" customWidth="1"/>
    <col min="15" max="15" width="20.1796875" style="12" bestFit="1" customWidth="1"/>
    <col min="16" max="16" width="3.54296875" style="47" hidden="1" customWidth="1"/>
    <col min="17" max="17" width="15.453125" style="10" bestFit="1" customWidth="1"/>
    <col min="18" max="18" width="15.453125" style="10" customWidth="1"/>
    <col min="19" max="19" width="16.26953125" style="10" bestFit="1" customWidth="1"/>
    <col min="20" max="22" width="9.1796875" style="10"/>
    <col min="23" max="23" width="16.81640625" style="10" bestFit="1" customWidth="1"/>
    <col min="24" max="16384" width="9.1796875" style="10"/>
  </cols>
  <sheetData>
    <row r="1" spans="1:21" ht="24.5" x14ac:dyDescent="0.7">
      <c r="A1" s="146" t="s">
        <v>131</v>
      </c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9"/>
      <c r="R1" s="149"/>
      <c r="S1" s="149"/>
    </row>
    <row r="2" spans="1:21" ht="24.5" x14ac:dyDescent="0.7">
      <c r="A2" s="146" t="s">
        <v>132</v>
      </c>
      <c r="B2" s="147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9"/>
      <c r="R2" s="149"/>
      <c r="S2" s="149"/>
    </row>
    <row r="3" spans="1:21" ht="24.5" x14ac:dyDescent="0.7">
      <c r="A3" s="146" t="s">
        <v>668</v>
      </c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9"/>
      <c r="R3" s="149"/>
      <c r="S3" s="149"/>
    </row>
    <row r="4" spans="1:21" s="19" customFormat="1" ht="15.5" x14ac:dyDescent="0.35">
      <c r="A4" s="15" t="s">
        <v>669</v>
      </c>
      <c r="B4" s="16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53"/>
      <c r="P4" s="49"/>
    </row>
    <row r="6" spans="1:21" s="161" customFormat="1" ht="31" x14ac:dyDescent="0.35">
      <c r="A6" s="156"/>
      <c r="B6" s="157"/>
      <c r="C6" s="158">
        <v>44743</v>
      </c>
      <c r="D6" s="158">
        <v>44774</v>
      </c>
      <c r="E6" s="158">
        <v>44805</v>
      </c>
      <c r="F6" s="158">
        <v>44835</v>
      </c>
      <c r="G6" s="158">
        <v>44866</v>
      </c>
      <c r="H6" s="158">
        <v>44896</v>
      </c>
      <c r="I6" s="158">
        <v>44927</v>
      </c>
      <c r="J6" s="158">
        <v>44958</v>
      </c>
      <c r="K6" s="158">
        <v>44986</v>
      </c>
      <c r="L6" s="158">
        <v>45017</v>
      </c>
      <c r="M6" s="158">
        <v>45047</v>
      </c>
      <c r="N6" s="159" t="s">
        <v>662</v>
      </c>
      <c r="O6" s="160" t="s">
        <v>664</v>
      </c>
      <c r="Q6" s="162" t="s">
        <v>659</v>
      </c>
      <c r="R6" s="162" t="s">
        <v>660</v>
      </c>
      <c r="S6" s="162" t="s">
        <v>661</v>
      </c>
    </row>
    <row r="7" spans="1:21" s="161" customFormat="1" ht="15.5" hidden="1" x14ac:dyDescent="0.35">
      <c r="A7" s="156"/>
      <c r="B7" s="157"/>
      <c r="C7" s="168"/>
      <c r="D7" s="18" t="e">
        <f ca="1">IF(TODAY()&gt;=#REF!,C72,0)</f>
        <v>#REF!</v>
      </c>
      <c r="E7" s="18" t="e">
        <f ca="1">IF(TODAY()&gt;=#REF!,D72,0)</f>
        <v>#REF!</v>
      </c>
      <c r="F7" s="18" t="e">
        <f ca="1">IF(TODAY()&gt;=#REF!,E72,0)</f>
        <v>#REF!</v>
      </c>
      <c r="G7" s="18" t="e">
        <f ca="1">IF(TODAY()&gt;=#REF!,F72,0)</f>
        <v>#REF!</v>
      </c>
      <c r="H7" s="18" t="e">
        <f ca="1">IF(TODAY()&gt;=#REF!,G72,0)</f>
        <v>#REF!</v>
      </c>
      <c r="I7" s="18" t="e">
        <f ca="1">IF(TODAY()&gt;=#REF!,H72,0)</f>
        <v>#REF!</v>
      </c>
      <c r="J7" s="18" t="e">
        <f ca="1">IF(TODAY()&gt;=#REF!,I72,0)</f>
        <v>#REF!</v>
      </c>
      <c r="K7" s="18" t="e">
        <f ca="1">IF(TODAY()&gt;=#REF!,J72,0)</f>
        <v>#REF!</v>
      </c>
      <c r="L7" s="18" t="e">
        <f ca="1">IF(TODAY()&gt;=#REF!,K72,0)</f>
        <v>#REF!</v>
      </c>
      <c r="M7" s="18" t="e">
        <f ca="1">IF(TODAY()&gt;=#REF!,L72,0)</f>
        <v>#REF!</v>
      </c>
      <c r="N7" s="18" t="e">
        <f ca="1">IF(TODAY()&gt;=#REF!,M72,0)</f>
        <v>#REF!</v>
      </c>
      <c r="O7" s="160"/>
      <c r="Q7" s="162"/>
      <c r="R7" s="162"/>
      <c r="S7" s="162"/>
    </row>
    <row r="8" spans="1:21" s="18" customFormat="1" ht="15.5" x14ac:dyDescent="0.35">
      <c r="A8" s="14"/>
      <c r="B8" s="45" t="s">
        <v>49</v>
      </c>
      <c r="C8" s="18">
        <v>2082379.1399999992</v>
      </c>
      <c r="D8" s="18">
        <f>+C72</f>
        <v>1961483.0899999992</v>
      </c>
      <c r="E8" s="18">
        <f t="shared" ref="E8:M8" si="0">+D72</f>
        <v>1791676.8099999991</v>
      </c>
      <c r="F8" s="18">
        <f t="shared" si="0"/>
        <v>1600234.1399999992</v>
      </c>
      <c r="G8" s="18">
        <f t="shared" si="0"/>
        <v>1485352.1799999992</v>
      </c>
      <c r="H8" s="18">
        <f t="shared" si="0"/>
        <v>1550435.2199999993</v>
      </c>
      <c r="I8" s="18">
        <f t="shared" si="0"/>
        <v>2252212.3899999997</v>
      </c>
      <c r="J8" s="18">
        <f t="shared" si="0"/>
        <v>2263610.9999999995</v>
      </c>
      <c r="K8" s="18">
        <f t="shared" si="0"/>
        <v>2198410.0999999996</v>
      </c>
      <c r="L8" s="18">
        <f t="shared" si="0"/>
        <v>2316927.5399999996</v>
      </c>
      <c r="M8" s="18">
        <f t="shared" si="0"/>
        <v>2207009.7299999995</v>
      </c>
      <c r="O8" s="18">
        <f>+C8</f>
        <v>2082379.1399999992</v>
      </c>
      <c r="P8" s="37"/>
      <c r="Q8" s="18">
        <f>+O72</f>
        <v>1782160.7497005449</v>
      </c>
      <c r="R8" s="18">
        <f>+Q72</f>
        <v>1826959.1093957948</v>
      </c>
      <c r="S8" s="18">
        <f>+R72</f>
        <v>1787829.8170730453</v>
      </c>
    </row>
    <row r="9" spans="1:21" s="19" customFormat="1" ht="15.5" x14ac:dyDescent="0.35">
      <c r="A9" s="15"/>
      <c r="B9" s="16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18"/>
      <c r="P9" s="49"/>
    </row>
    <row r="10" spans="1:21" s="153" customFormat="1" ht="15.5" x14ac:dyDescent="0.35">
      <c r="A10" s="155" t="s">
        <v>0</v>
      </c>
      <c r="B10" s="151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55"/>
    </row>
    <row r="11" spans="1:21" s="153" customFormat="1" ht="16.5" customHeight="1" x14ac:dyDescent="0.35">
      <c r="A11" s="150" t="s">
        <v>115</v>
      </c>
      <c r="B11" s="151" t="s">
        <v>116</v>
      </c>
      <c r="C11" s="152">
        <v>19200</v>
      </c>
      <c r="D11" s="152">
        <v>11520</v>
      </c>
      <c r="E11" s="152">
        <v>10560</v>
      </c>
      <c r="F11" s="152">
        <v>11360</v>
      </c>
      <c r="G11" s="152">
        <v>185120</v>
      </c>
      <c r="H11" s="152">
        <v>812640</v>
      </c>
      <c r="I11" s="152">
        <v>180960</v>
      </c>
      <c r="J11" s="152">
        <v>92800</v>
      </c>
      <c r="K11" s="152">
        <v>291040</v>
      </c>
      <c r="L11" s="152">
        <v>41600</v>
      </c>
      <c r="M11" s="152">
        <v>35040</v>
      </c>
      <c r="N11" s="152">
        <v>17120</v>
      </c>
      <c r="O11" s="55">
        <f>SUM(C11:N11)</f>
        <v>1708960</v>
      </c>
      <c r="Q11" s="144">
        <v>2286525</v>
      </c>
      <c r="R11" s="144">
        <v>2286525</v>
      </c>
      <c r="S11" s="144">
        <v>2286525</v>
      </c>
      <c r="U11" s="153" t="s">
        <v>657</v>
      </c>
    </row>
    <row r="12" spans="1:21" s="153" customFormat="1" ht="16.5" customHeight="1" x14ac:dyDescent="0.35">
      <c r="A12" s="154" t="s">
        <v>18</v>
      </c>
      <c r="B12" s="151" t="s">
        <v>32</v>
      </c>
      <c r="C12" s="152">
        <v>8320</v>
      </c>
      <c r="D12" s="152">
        <v>5420</v>
      </c>
      <c r="E12" s="152">
        <v>4240.0200000000004</v>
      </c>
      <c r="F12" s="152">
        <v>6970</v>
      </c>
      <c r="G12" s="152">
        <v>17440</v>
      </c>
      <c r="H12" s="152">
        <v>35030</v>
      </c>
      <c r="I12" s="152">
        <v>19980</v>
      </c>
      <c r="J12" s="152">
        <v>10675</v>
      </c>
      <c r="K12" s="152">
        <v>12680.01</v>
      </c>
      <c r="L12" s="152">
        <v>13345</v>
      </c>
      <c r="M12" s="152">
        <v>9855</v>
      </c>
      <c r="N12" s="152">
        <v>10490</v>
      </c>
      <c r="O12" s="55">
        <f t="shared" ref="O12:O30" si="1">SUM(C12:N12)</f>
        <v>154445.03</v>
      </c>
      <c r="Q12" s="144">
        <v>155000</v>
      </c>
      <c r="R12" s="144">
        <v>155000</v>
      </c>
      <c r="S12" s="144">
        <v>155000</v>
      </c>
      <c r="U12" s="153" t="s">
        <v>663</v>
      </c>
    </row>
    <row r="13" spans="1:21" s="19" customFormat="1" ht="15.5" hidden="1" x14ac:dyDescent="0.35">
      <c r="A13" s="27">
        <v>1959</v>
      </c>
      <c r="B13" s="16" t="s">
        <v>147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18">
        <f t="shared" ref="O13" si="2">SUM(C13:N13)</f>
        <v>0</v>
      </c>
      <c r="P13" s="49"/>
      <c r="Q13" s="61"/>
      <c r="R13" s="61"/>
      <c r="S13" s="61"/>
    </row>
    <row r="14" spans="1:21" s="19" customFormat="1" ht="15.5" hidden="1" x14ac:dyDescent="0.35">
      <c r="A14" s="27">
        <v>2206</v>
      </c>
      <c r="B14" s="16" t="s">
        <v>141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18">
        <f t="shared" si="1"/>
        <v>0</v>
      </c>
      <c r="P14" s="49"/>
      <c r="Q14" s="61"/>
      <c r="R14" s="61"/>
      <c r="S14" s="61"/>
    </row>
    <row r="15" spans="1:21" s="19" customFormat="1" ht="15.5" hidden="1" x14ac:dyDescent="0.35">
      <c r="A15" s="27">
        <v>2631</v>
      </c>
      <c r="B15" s="16" t="s">
        <v>33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18">
        <f t="shared" si="1"/>
        <v>0</v>
      </c>
      <c r="P15" s="49"/>
      <c r="Q15" s="61"/>
      <c r="R15" s="61"/>
      <c r="S15" s="61"/>
    </row>
    <row r="16" spans="1:21" s="19" customFormat="1" ht="15.5" hidden="1" x14ac:dyDescent="0.35">
      <c r="A16" s="27" t="s">
        <v>19</v>
      </c>
      <c r="B16" s="16" t="s">
        <v>34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18">
        <f t="shared" si="1"/>
        <v>0</v>
      </c>
      <c r="P16" s="49"/>
      <c r="Q16" s="61"/>
      <c r="R16" s="61"/>
      <c r="S16" s="61"/>
    </row>
    <row r="17" spans="1:21" s="19" customFormat="1" ht="15.5" hidden="1" x14ac:dyDescent="0.35">
      <c r="A17" s="27">
        <v>2651</v>
      </c>
      <c r="B17" s="16" t="s">
        <v>121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18">
        <f t="shared" si="1"/>
        <v>0</v>
      </c>
      <c r="P17" s="49"/>
      <c r="Q17" s="61"/>
      <c r="R17" s="61"/>
      <c r="S17" s="61"/>
    </row>
    <row r="18" spans="1:21" s="19" customFormat="1" ht="15.5" hidden="1" x14ac:dyDescent="0.35">
      <c r="A18" s="27">
        <v>2669</v>
      </c>
      <c r="B18" s="16" t="s">
        <v>123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18">
        <f t="shared" si="1"/>
        <v>0</v>
      </c>
      <c r="P18" s="49"/>
      <c r="Q18" s="61"/>
      <c r="R18" s="61"/>
      <c r="S18" s="61"/>
    </row>
    <row r="19" spans="1:21" s="19" customFormat="1" ht="15.5" hidden="1" x14ac:dyDescent="0.35">
      <c r="A19" s="27" t="s">
        <v>20</v>
      </c>
      <c r="B19" s="16" t="s">
        <v>35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18">
        <f t="shared" si="1"/>
        <v>0</v>
      </c>
      <c r="P19" s="49"/>
      <c r="Q19" s="61"/>
      <c r="R19" s="61"/>
      <c r="S19" s="61"/>
    </row>
    <row r="20" spans="1:21" s="19" customFormat="1" ht="15.5" hidden="1" x14ac:dyDescent="0.35">
      <c r="A20" s="27">
        <v>2681</v>
      </c>
      <c r="B20" s="16" t="s">
        <v>36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18">
        <f t="shared" si="1"/>
        <v>0</v>
      </c>
      <c r="P20" s="49"/>
      <c r="Q20" s="61"/>
      <c r="R20" s="61"/>
      <c r="S20" s="61"/>
    </row>
    <row r="21" spans="1:21" s="19" customFormat="1" ht="15.5" hidden="1" x14ac:dyDescent="0.35">
      <c r="A21" s="27" t="s">
        <v>22</v>
      </c>
      <c r="B21" s="16" t="s">
        <v>37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18">
        <f t="shared" si="1"/>
        <v>0</v>
      </c>
      <c r="P21" s="49"/>
      <c r="Q21" s="61"/>
      <c r="R21" s="61"/>
      <c r="S21" s="61"/>
    </row>
    <row r="22" spans="1:21" s="19" customFormat="1" ht="15.5" x14ac:dyDescent="0.35">
      <c r="A22" s="27">
        <v>2690</v>
      </c>
      <c r="B22" s="16" t="s">
        <v>139</v>
      </c>
      <c r="C22" s="25">
        <v>0</v>
      </c>
      <c r="D22" s="25">
        <v>0</v>
      </c>
      <c r="E22" s="25">
        <v>0</v>
      </c>
      <c r="F22" s="25">
        <v>100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18">
        <f t="shared" si="1"/>
        <v>100</v>
      </c>
      <c r="P22" s="49"/>
      <c r="Q22" s="61"/>
      <c r="R22" s="61"/>
      <c r="S22" s="61"/>
    </row>
    <row r="23" spans="1:21" s="19" customFormat="1" ht="15.5" hidden="1" x14ac:dyDescent="0.35">
      <c r="A23" s="27" t="s">
        <v>24</v>
      </c>
      <c r="B23" s="16" t="s">
        <v>39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18">
        <f t="shared" si="1"/>
        <v>0</v>
      </c>
      <c r="P23" s="49"/>
      <c r="Q23" s="61"/>
      <c r="R23" s="61"/>
      <c r="S23" s="61"/>
    </row>
    <row r="24" spans="1:21" s="19" customFormat="1" ht="15.5" hidden="1" x14ac:dyDescent="0.35">
      <c r="A24" s="27" t="s">
        <v>25</v>
      </c>
      <c r="B24" s="16" t="s">
        <v>40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18">
        <f t="shared" si="1"/>
        <v>0</v>
      </c>
      <c r="P24" s="49"/>
      <c r="Q24" s="61"/>
      <c r="R24" s="61"/>
      <c r="S24" s="61"/>
    </row>
    <row r="25" spans="1:21" s="19" customFormat="1" ht="15.5" x14ac:dyDescent="0.35">
      <c r="A25" s="27" t="s">
        <v>26</v>
      </c>
      <c r="B25" s="16" t="s">
        <v>41</v>
      </c>
      <c r="C25" s="25">
        <v>185.12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18">
        <f t="shared" si="1"/>
        <v>185.12</v>
      </c>
      <c r="P25" s="49"/>
      <c r="Q25" s="61"/>
      <c r="R25" s="61"/>
      <c r="S25" s="61"/>
    </row>
    <row r="26" spans="1:21" s="19" customFormat="1" ht="15.5" hidden="1" x14ac:dyDescent="0.35">
      <c r="A26" s="27">
        <v>2955</v>
      </c>
      <c r="B26" s="16" t="s">
        <v>114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18">
        <f t="shared" si="1"/>
        <v>0</v>
      </c>
      <c r="P26" s="49"/>
      <c r="Q26" s="61"/>
      <c r="R26" s="61"/>
      <c r="S26" s="61"/>
    </row>
    <row r="27" spans="1:21" s="19" customFormat="1" ht="15.5" x14ac:dyDescent="0.35">
      <c r="A27" s="27" t="s">
        <v>28</v>
      </c>
      <c r="B27" s="16" t="s">
        <v>43</v>
      </c>
      <c r="C27" s="25">
        <v>0</v>
      </c>
      <c r="D27" s="25">
        <v>0</v>
      </c>
      <c r="E27" s="25">
        <v>0</v>
      </c>
      <c r="F27" s="25">
        <v>0</v>
      </c>
      <c r="G27" s="25">
        <v>-25000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18">
        <f t="shared" si="1"/>
        <v>-25000</v>
      </c>
      <c r="P27" s="49"/>
      <c r="Q27" s="61">
        <v>-25000</v>
      </c>
      <c r="R27" s="61">
        <v>-25000</v>
      </c>
      <c r="S27" s="61">
        <v>-25000</v>
      </c>
      <c r="U27" s="19" t="s">
        <v>658</v>
      </c>
    </row>
    <row r="28" spans="1:21" s="19" customFormat="1" ht="15.5" x14ac:dyDescent="0.35">
      <c r="A28" s="27" t="s">
        <v>29</v>
      </c>
      <c r="B28" s="16" t="s">
        <v>44</v>
      </c>
      <c r="C28" s="25">
        <v>-20232.629999999997</v>
      </c>
      <c r="D28" s="25">
        <v>-18120.059999999998</v>
      </c>
      <c r="E28" s="25">
        <v>-23805.510000000002</v>
      </c>
      <c r="F28" s="25">
        <v>-25752.190000000002</v>
      </c>
      <c r="G28" s="25">
        <v>-15182.77</v>
      </c>
      <c r="H28" s="25">
        <v>-13736.529999999999</v>
      </c>
      <c r="I28" s="25">
        <v>-18652.64</v>
      </c>
      <c r="J28" s="25">
        <v>-24122.07</v>
      </c>
      <c r="K28" s="25">
        <v>-20404.72</v>
      </c>
      <c r="L28" s="25">
        <v>-22354.38</v>
      </c>
      <c r="M28" s="25">
        <v>-20116</v>
      </c>
      <c r="N28" s="25">
        <f>SUM(M43:M60)*-0.15</f>
        <v>-22553.431499999999</v>
      </c>
      <c r="O28" s="18">
        <f t="shared" si="1"/>
        <v>-245032.93150000004</v>
      </c>
      <c r="P28" s="49"/>
      <c r="Q28" s="61">
        <f>SUM(Q43:Q60)*-0.15</f>
        <v>-267838.36725000001</v>
      </c>
      <c r="R28" s="61">
        <f t="shared" ref="R28:S28" si="3">SUM(R43:R60)*-0.15</f>
        <v>-278219.88524999999</v>
      </c>
      <c r="S28" s="61">
        <f t="shared" si="3"/>
        <v>-285564.44942999998</v>
      </c>
    </row>
    <row r="29" spans="1:21" s="19" customFormat="1" ht="15.5" x14ac:dyDescent="0.35">
      <c r="A29" s="27" t="s">
        <v>30</v>
      </c>
      <c r="B29" s="16" t="s">
        <v>45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18">
        <f t="shared" si="1"/>
        <v>0</v>
      </c>
      <c r="P29" s="49"/>
      <c r="Q29" s="61"/>
      <c r="R29" s="61"/>
      <c r="S29" s="61"/>
    </row>
    <row r="30" spans="1:21" s="19" customFormat="1" ht="15.5" x14ac:dyDescent="0.35">
      <c r="A30" s="27" t="s">
        <v>31</v>
      </c>
      <c r="B30" s="16" t="s">
        <v>46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-200000</v>
      </c>
      <c r="N30" s="25">
        <v>0</v>
      </c>
      <c r="O30" s="18">
        <f t="shared" si="1"/>
        <v>-200000</v>
      </c>
      <c r="P30" s="49"/>
      <c r="Q30" s="61">
        <v>-200000</v>
      </c>
      <c r="R30" s="61">
        <v>-200000</v>
      </c>
      <c r="S30" s="61">
        <v>-200000</v>
      </c>
    </row>
    <row r="31" spans="1:21" s="17" customFormat="1" ht="16" thickBot="1" x14ac:dyDescent="0.4">
      <c r="A31" s="23"/>
      <c r="B31" s="28" t="s">
        <v>108</v>
      </c>
      <c r="C31" s="29">
        <f t="shared" ref="C31:O31" si="4">SUM(C11:C30)</f>
        <v>7472.4900000000016</v>
      </c>
      <c r="D31" s="29">
        <f t="shared" si="4"/>
        <v>-1180.0599999999977</v>
      </c>
      <c r="E31" s="29">
        <f t="shared" si="4"/>
        <v>-9005.4900000000016</v>
      </c>
      <c r="F31" s="29">
        <f t="shared" si="4"/>
        <v>-7322.1900000000023</v>
      </c>
      <c r="G31" s="29">
        <f t="shared" si="4"/>
        <v>162377.23000000001</v>
      </c>
      <c r="H31" s="29">
        <f t="shared" si="4"/>
        <v>833933.47</v>
      </c>
      <c r="I31" s="29">
        <f t="shared" si="4"/>
        <v>182287.35999999999</v>
      </c>
      <c r="J31" s="29">
        <f t="shared" si="4"/>
        <v>79352.929999999993</v>
      </c>
      <c r="K31" s="29">
        <f t="shared" si="4"/>
        <v>283315.29000000004</v>
      </c>
      <c r="L31" s="29">
        <f t="shared" si="4"/>
        <v>32590.62</v>
      </c>
      <c r="M31" s="29">
        <f t="shared" si="4"/>
        <v>-175221</v>
      </c>
      <c r="N31" s="29">
        <f t="shared" si="4"/>
        <v>5056.5685000000012</v>
      </c>
      <c r="O31" s="29">
        <f t="shared" si="4"/>
        <v>1393657.2185000002</v>
      </c>
      <c r="P31" s="36"/>
      <c r="Q31" s="29">
        <f t="shared" ref="Q31:S31" si="5">SUM(Q11:Q30)</f>
        <v>1948686.6327499999</v>
      </c>
      <c r="R31" s="29">
        <f t="shared" si="5"/>
        <v>1938305.1147500002</v>
      </c>
      <c r="S31" s="29">
        <f t="shared" si="5"/>
        <v>1930960.55057</v>
      </c>
    </row>
    <row r="32" spans="1:21" s="19" customFormat="1" ht="15.5" x14ac:dyDescent="0.35">
      <c r="A32" s="15"/>
      <c r="B32" s="16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18"/>
      <c r="P32" s="49"/>
    </row>
    <row r="33" spans="1:19" s="19" customFormat="1" ht="15.5" x14ac:dyDescent="0.35">
      <c r="A33" s="15"/>
      <c r="B33" s="16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18"/>
      <c r="P33" s="49"/>
    </row>
    <row r="34" spans="1:19" s="19" customFormat="1" ht="15.5" x14ac:dyDescent="0.35">
      <c r="A34" s="15"/>
      <c r="B34" s="16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18"/>
      <c r="P34" s="49"/>
    </row>
    <row r="35" spans="1:19" s="19" customFormat="1" ht="15.5" x14ac:dyDescent="0.35">
      <c r="A35" s="8" t="s">
        <v>104</v>
      </c>
      <c r="B35" s="16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18"/>
      <c r="P35" s="49"/>
    </row>
    <row r="36" spans="1:19" s="19" customFormat="1" ht="15.5" hidden="1" x14ac:dyDescent="0.35">
      <c r="A36" s="27" t="s">
        <v>50</v>
      </c>
      <c r="B36" s="30" t="s">
        <v>79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f>IFERROR(GETPIVOTDATA("[Measures].[Jrnl Posting Am]",'Historical Summary Cube'!$AA$73,"[Object].[Object Group]","[Object].[Object Group].&amp;[31]","[Object].[Obj Group Nm]","[Object].[Obj Group Nm].&amp;[SALARIES AND WAGES]","[Accounting Period].[Fisc Period]","[Accounting Period].[Fisc Period].&amp;[12]"),0)</f>
        <v>0</v>
      </c>
      <c r="O36" s="18">
        <f>SUM(C36:N36)</f>
        <v>0</v>
      </c>
      <c r="P36" s="49"/>
    </row>
    <row r="37" spans="1:19" s="19" customFormat="1" ht="15.5" hidden="1" x14ac:dyDescent="0.35">
      <c r="A37" s="27" t="s">
        <v>51</v>
      </c>
      <c r="B37" s="30" t="s">
        <v>79</v>
      </c>
      <c r="C37" s="25">
        <v>59625.229999999996</v>
      </c>
      <c r="D37" s="25">
        <v>95865.989999999991</v>
      </c>
      <c r="E37" s="25">
        <v>72288.460000000006</v>
      </c>
      <c r="F37" s="25">
        <v>58440.4</v>
      </c>
      <c r="G37" s="25">
        <v>58587.259999999995</v>
      </c>
      <c r="H37" s="25">
        <v>60690.39</v>
      </c>
      <c r="I37" s="25">
        <v>94190.37000000001</v>
      </c>
      <c r="J37" s="25">
        <v>62793.58</v>
      </c>
      <c r="K37" s="25">
        <v>63183.189999999988</v>
      </c>
      <c r="L37" s="25">
        <v>60556</v>
      </c>
      <c r="M37" s="25">
        <v>57676.079999999994</v>
      </c>
      <c r="N37" s="25">
        <f>IFERROR(GETPIVOTDATA("[Measures].[Jrnl Posting Am]",'Historical Summary Cube'!$AA$73,"[Object].[Object Group]","[Object].[Object Group].&amp;[32]","[Object].[Obj Group Nm]","[Object].[Obj Group Nm].&amp;[SALARIES AND WAGES]","[Accounting Period].[Fisc Period]","[Accounting Period].[Fisc Period].&amp;[12]"),0)</f>
        <v>0</v>
      </c>
      <c r="O37" s="18">
        <f t="shared" ref="O37:O68" si="6">SUM(C37:N37)</f>
        <v>743896.95</v>
      </c>
      <c r="P37" s="49"/>
    </row>
    <row r="38" spans="1:19" s="19" customFormat="1" ht="15.5" hidden="1" x14ac:dyDescent="0.35">
      <c r="A38" s="27">
        <v>33</v>
      </c>
      <c r="B38" s="30" t="s">
        <v>79</v>
      </c>
      <c r="C38" s="25">
        <v>7032.7999999999993</v>
      </c>
      <c r="D38" s="25">
        <v>10500.32</v>
      </c>
      <c r="E38" s="25">
        <v>7196.3399999999992</v>
      </c>
      <c r="F38" s="25">
        <v>7003.99</v>
      </c>
      <c r="G38" s="25">
        <v>7317.33</v>
      </c>
      <c r="H38" s="25">
        <v>3700</v>
      </c>
      <c r="I38" s="25">
        <v>0</v>
      </c>
      <c r="J38" s="25">
        <v>789.2</v>
      </c>
      <c r="K38" s="25">
        <v>6841.52</v>
      </c>
      <c r="L38" s="25">
        <v>6853.33</v>
      </c>
      <c r="M38" s="25">
        <v>6936</v>
      </c>
      <c r="N38" s="25">
        <f>IFERROR(GETPIVOTDATA("[Measures].[Jrnl Posting Am]",'Historical Summary Cube'!$AA$73,"[Object].[Object Group]","[Object].[Object Group].&amp;[33]","[Object].[Obj Group Nm]","[Object].[Obj Group Nm].&amp;[SALARIES AND WAGES]","[Accounting Period].[Fisc Period]","[Accounting Period].[Fisc Period].&amp;[12]"),0)</f>
        <v>0</v>
      </c>
      <c r="O38" s="18">
        <f t="shared" si="6"/>
        <v>64170.83</v>
      </c>
      <c r="P38" s="49"/>
    </row>
    <row r="39" spans="1:19" s="19" customFormat="1" ht="15.5" hidden="1" x14ac:dyDescent="0.35">
      <c r="A39" s="27" t="s">
        <v>52</v>
      </c>
      <c r="B39" s="30" t="s">
        <v>79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IFERROR(GETPIVOTDATA("[Measures].[Jrnl Posting Am]",'Historical Summary Cube'!$AA$73,"[Object].[Object Group]","[Object].[Object Group].&amp;[34]","[Object].[Obj Group Nm]","[Object].[Obj Group Nm].&amp;[SALARIES AND WAGES]","[Accounting Period].[Fisc Period]","[Accounting Period].[Fisc Period].&amp;[12]"),0)</f>
        <v>0</v>
      </c>
      <c r="O39" s="18">
        <f>SUM(C39:N39)</f>
        <v>0</v>
      </c>
      <c r="P39" s="49"/>
    </row>
    <row r="40" spans="1:19" s="19" customFormat="1" ht="15.5" hidden="1" x14ac:dyDescent="0.35">
      <c r="A40" s="27" t="s">
        <v>53</v>
      </c>
      <c r="B40" s="30" t="s">
        <v>79</v>
      </c>
      <c r="C40" s="25">
        <v>672.7</v>
      </c>
      <c r="D40" s="25">
        <v>1729.8600000000001</v>
      </c>
      <c r="E40" s="25">
        <v>5646.5099999999993</v>
      </c>
      <c r="F40" s="25">
        <v>1216.1400000000001</v>
      </c>
      <c r="G40" s="25">
        <v>799.19</v>
      </c>
      <c r="H40" s="25">
        <v>597.72</v>
      </c>
      <c r="I40" s="25">
        <v>896.58</v>
      </c>
      <c r="J40" s="25">
        <v>597.72</v>
      </c>
      <c r="K40" s="25">
        <v>692.2</v>
      </c>
      <c r="L40" s="25">
        <v>14077.169999999998</v>
      </c>
      <c r="M40" s="25">
        <v>608.1</v>
      </c>
      <c r="N40" s="25">
        <f>IFERROR(GETPIVOTDATA("[Measures].[Jrnl Posting Am]",'Historical Summary Cube'!$AA$73,"[Object].[Object Group]","[Object].[Object Group].&amp;[36]","[Object].[Obj Group Nm]","[Object].[Obj Group Nm].&amp;[SALARIES AND WAGES]","[Accounting Period].[Fisc Period]","[Accounting Period].[Fisc Period].&amp;[12]"),0)</f>
        <v>0</v>
      </c>
      <c r="O40" s="18">
        <f t="shared" si="6"/>
        <v>27533.889999999996</v>
      </c>
      <c r="P40" s="49"/>
    </row>
    <row r="41" spans="1:19" s="19" customFormat="1" ht="15.5" hidden="1" x14ac:dyDescent="0.35">
      <c r="A41" s="27" t="s">
        <v>54</v>
      </c>
      <c r="B41" s="30" t="s">
        <v>79</v>
      </c>
      <c r="C41" s="25">
        <v>110</v>
      </c>
      <c r="D41" s="25">
        <v>709.38</v>
      </c>
      <c r="E41" s="25">
        <v>0</v>
      </c>
      <c r="F41" s="25">
        <v>0</v>
      </c>
      <c r="G41" s="25">
        <v>220</v>
      </c>
      <c r="H41" s="25">
        <v>275</v>
      </c>
      <c r="I41" s="25">
        <v>0</v>
      </c>
      <c r="J41" s="25">
        <v>275</v>
      </c>
      <c r="K41" s="25">
        <v>385</v>
      </c>
      <c r="L41" s="25">
        <v>440</v>
      </c>
      <c r="M41" s="25">
        <v>0</v>
      </c>
      <c r="N41" s="25">
        <f>IFERROR(GETPIVOTDATA("[Measures].[Jrnl Posting Am]",'Historical Summary Cube'!$AA$73,"[Object].[Object Group]","[Object].[Object Group].&amp;[38]","[Object].[Obj Group Nm]","[Object].[Obj Group Nm].&amp;[SALARIES AND WAGES]","[Accounting Period].[Fisc Period]","[Accounting Period].[Fisc Period].&amp;[12]"),0)</f>
        <v>0</v>
      </c>
      <c r="O41" s="18">
        <f t="shared" si="6"/>
        <v>2414.38</v>
      </c>
      <c r="P41" s="49"/>
    </row>
    <row r="42" spans="1:19" s="19" customFormat="1" ht="15.5" hidden="1" x14ac:dyDescent="0.35">
      <c r="A42" s="27" t="s">
        <v>55</v>
      </c>
      <c r="B42" s="30" t="s">
        <v>80</v>
      </c>
      <c r="C42" s="25">
        <v>38790.1</v>
      </c>
      <c r="D42" s="25">
        <v>37560.19</v>
      </c>
      <c r="E42" s="25">
        <v>26838.399999999998</v>
      </c>
      <c r="F42" s="25">
        <v>23640.640000000007</v>
      </c>
      <c r="G42" s="25">
        <v>23654.87</v>
      </c>
      <c r="H42" s="25">
        <v>38140.570000000007</v>
      </c>
      <c r="I42" s="25">
        <v>56373.280000000006</v>
      </c>
      <c r="J42" s="25">
        <v>37869.310000000005</v>
      </c>
      <c r="K42" s="25">
        <v>32088.300000000003</v>
      </c>
      <c r="L42" s="25">
        <v>44749.89</v>
      </c>
      <c r="M42" s="25">
        <v>37304.130000000005</v>
      </c>
      <c r="N42" s="25">
        <f>IFERROR(GETPIVOTDATA("[Measures].[Jrnl Posting Am]",'Historical Summary Cube'!$AA$73,"[Object].[Object Group]","[Object].[Object Group].&amp;[39]","[Object].[Obj Group Nm]","[Object].[Obj Group Nm].&amp;[FRINGE BENEFITS]","[Accounting Period].[Fisc Period]","[Accounting Period].[Fisc Period].&amp;[12]"),0)</f>
        <v>0</v>
      </c>
      <c r="O42" s="18">
        <f t="shared" si="6"/>
        <v>397009.68000000005</v>
      </c>
      <c r="P42" s="49"/>
    </row>
    <row r="43" spans="1:19" s="19" customFormat="1" ht="15.5" x14ac:dyDescent="0.35">
      <c r="A43" s="27"/>
      <c r="B43" s="30" t="s">
        <v>165</v>
      </c>
      <c r="C43" s="25">
        <f>SUM(C36:C42)</f>
        <v>106230.82999999999</v>
      </c>
      <c r="D43" s="25">
        <f t="shared" ref="D43:M43" si="7">SUM(D36:D42)</f>
        <v>146365.74</v>
      </c>
      <c r="E43" s="25">
        <f t="shared" si="7"/>
        <v>111969.70999999999</v>
      </c>
      <c r="F43" s="25">
        <f t="shared" si="7"/>
        <v>90301.170000000013</v>
      </c>
      <c r="G43" s="25">
        <f t="shared" si="7"/>
        <v>90578.65</v>
      </c>
      <c r="H43" s="25">
        <f t="shared" si="7"/>
        <v>103403.68000000001</v>
      </c>
      <c r="I43" s="25">
        <f t="shared" si="7"/>
        <v>151460.23000000001</v>
      </c>
      <c r="J43" s="25">
        <f t="shared" si="7"/>
        <v>102324.81</v>
      </c>
      <c r="K43" s="25">
        <f t="shared" si="7"/>
        <v>103190.20999999999</v>
      </c>
      <c r="L43" s="25">
        <f t="shared" si="7"/>
        <v>126676.39</v>
      </c>
      <c r="M43" s="25">
        <f t="shared" si="7"/>
        <v>102524.31</v>
      </c>
      <c r="N43" s="25">
        <f>+Payroll!AQ61</f>
        <v>65073.310000000005</v>
      </c>
      <c r="O43" s="18">
        <f t="shared" si="6"/>
        <v>1300099.04</v>
      </c>
      <c r="P43" s="49"/>
      <c r="Q43" s="61">
        <f>+Payroll!AT60</f>
        <v>1263449.24</v>
      </c>
      <c r="R43" s="61">
        <f>+Payroll!AV60</f>
        <v>1317719.3599999999</v>
      </c>
      <c r="S43" s="61">
        <f>+Payroll!AX60</f>
        <v>1356780.3711999999</v>
      </c>
    </row>
    <row r="44" spans="1:19" s="19" customFormat="1" ht="15.5" x14ac:dyDescent="0.35">
      <c r="A44" s="27" t="s">
        <v>56</v>
      </c>
      <c r="B44" s="30" t="s">
        <v>81</v>
      </c>
      <c r="C44" s="25">
        <v>3049.6</v>
      </c>
      <c r="D44" s="25">
        <v>6522.7600000000011</v>
      </c>
      <c r="E44" s="25">
        <v>5278.26</v>
      </c>
      <c r="F44" s="25">
        <v>6142.82</v>
      </c>
      <c r="G44" s="25">
        <v>7282.3900000000012</v>
      </c>
      <c r="H44" s="25">
        <v>4149.7700000000004</v>
      </c>
      <c r="I44" s="25">
        <v>5860.14</v>
      </c>
      <c r="J44" s="25">
        <v>6387.4</v>
      </c>
      <c r="K44" s="25">
        <v>5154.9600000000009</v>
      </c>
      <c r="L44" s="25">
        <v>5294.73</v>
      </c>
      <c r="M44" s="25">
        <v>6380.25</v>
      </c>
      <c r="N44" s="25">
        <f>AVERAGE(C44:M44)</f>
        <v>5591.1890909090907</v>
      </c>
      <c r="O44" s="18">
        <f t="shared" si="6"/>
        <v>67094.269090909089</v>
      </c>
      <c r="P44" s="49"/>
      <c r="Q44" s="61">
        <f>15000+8014</f>
        <v>23014</v>
      </c>
      <c r="R44" s="61">
        <v>8000</v>
      </c>
      <c r="S44" s="61">
        <v>8000</v>
      </c>
    </row>
    <row r="45" spans="1:19" s="19" customFormat="1" ht="15.5" hidden="1" x14ac:dyDescent="0.35">
      <c r="A45" s="27" t="s">
        <v>57</v>
      </c>
      <c r="B45" s="30" t="s">
        <v>82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>IFERROR(GETPIVOTDATA("[Measures].[Jrnl Posting Am]",'Historical Summary Cube'!$AA$73,"[Object].[Object Group]","[Object].[Object Group].&amp;[41]","[Object].[Obj Group Nm]","[Object].[Obj Group Nm].&amp;[PROF. SERVICES, BY STATE]","[Accounting Period].[Fisc Period]","[Accounting Period].[Fisc Period].&amp;[12]"),0)</f>
        <v>0</v>
      </c>
      <c r="O45" s="18">
        <f t="shared" si="6"/>
        <v>0</v>
      </c>
      <c r="P45" s="49"/>
      <c r="Q45" s="61"/>
      <c r="R45" s="61"/>
      <c r="S45" s="61"/>
    </row>
    <row r="46" spans="1:19" s="19" customFormat="1" ht="15.5" x14ac:dyDescent="0.35">
      <c r="A46" s="27" t="s">
        <v>58</v>
      </c>
      <c r="B46" s="30" t="s">
        <v>83</v>
      </c>
      <c r="C46" s="25">
        <v>192</v>
      </c>
      <c r="D46" s="25">
        <v>29.55</v>
      </c>
      <c r="E46" s="25">
        <v>47.57</v>
      </c>
      <c r="F46" s="25">
        <v>18.989999999999998</v>
      </c>
      <c r="G46" s="25">
        <v>25.53</v>
      </c>
      <c r="H46" s="25">
        <v>0</v>
      </c>
      <c r="I46" s="25">
        <v>47.27</v>
      </c>
      <c r="J46" s="25">
        <v>503.44</v>
      </c>
      <c r="K46" s="25">
        <v>200.56</v>
      </c>
      <c r="L46" s="25">
        <v>11.3</v>
      </c>
      <c r="M46" s="25">
        <v>30.86</v>
      </c>
      <c r="N46" s="25">
        <f>IFERROR(GETPIVOTDATA("[Measures].[Jrnl Posting Am]",'Historical Summary Cube'!$AA$73,"[Object].[Object Group]","[Object].[Object Group].&amp;[42]","[Object].[Obj Group Nm]","[Object].[Obj Group Nm].&amp;[TRAVEL EXPENSES, IN STATE]","[Accounting Period].[Fisc Period]","[Accounting Period].[Fisc Period].&amp;[12]"),0)</f>
        <v>0</v>
      </c>
      <c r="O46" s="18">
        <f t="shared" si="6"/>
        <v>1107.0699999999997</v>
      </c>
      <c r="P46" s="49"/>
      <c r="Q46" s="61">
        <v>1500</v>
      </c>
      <c r="R46" s="61">
        <v>1500</v>
      </c>
      <c r="S46" s="61">
        <v>1500</v>
      </c>
    </row>
    <row r="47" spans="1:19" s="19" customFormat="1" ht="15.5" x14ac:dyDescent="0.35">
      <c r="A47" s="27" t="s">
        <v>59</v>
      </c>
      <c r="B47" s="30" t="s">
        <v>84</v>
      </c>
      <c r="C47" s="25">
        <v>0</v>
      </c>
      <c r="D47" s="25">
        <v>0</v>
      </c>
      <c r="E47" s="25">
        <v>0</v>
      </c>
      <c r="F47" s="25">
        <v>1644.0100000000002</v>
      </c>
      <c r="G47" s="25">
        <v>828.68000000000006</v>
      </c>
      <c r="H47" s="25">
        <v>104</v>
      </c>
      <c r="I47" s="25">
        <v>0</v>
      </c>
      <c r="J47" s="25">
        <v>-1062.6400000000001</v>
      </c>
      <c r="K47" s="25">
        <v>1753.0299999999997</v>
      </c>
      <c r="L47" s="25">
        <v>0</v>
      </c>
      <c r="M47" s="25">
        <v>1334.6399999999999</v>
      </c>
      <c r="N47" s="25">
        <f>194*8</f>
        <v>1552</v>
      </c>
      <c r="O47" s="18">
        <f t="shared" si="6"/>
        <v>6153.7199999999993</v>
      </c>
      <c r="P47" s="49"/>
      <c r="Q47" s="61">
        <v>7500</v>
      </c>
      <c r="R47" s="61">
        <v>8500</v>
      </c>
      <c r="S47" s="61">
        <v>9500</v>
      </c>
    </row>
    <row r="48" spans="1:19" s="19" customFormat="1" ht="15.5" hidden="1" x14ac:dyDescent="0.35">
      <c r="A48" s="27" t="s">
        <v>60</v>
      </c>
      <c r="B48" s="30" t="s">
        <v>85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>IFERROR(GETPIVOTDATA("[Measures].[Jrnl Posting Am]",'Historical Summary Cube'!$AA$73,"[Object].[Object Group]","[Object].[Object Group].&amp;[44]","[Object].[Obj Group Nm]","[Object].[Obj Group Nm].&amp;[STATE VEHICLES OPERATION]","[Accounting Period].[Fisc Period]","[Accounting Period].[Fisc Period].&amp;[12]"),0)</f>
        <v>0</v>
      </c>
      <c r="O48" s="18">
        <f t="shared" si="6"/>
        <v>0</v>
      </c>
      <c r="P48" s="49"/>
      <c r="Q48" s="61"/>
      <c r="R48" s="61"/>
      <c r="S48" s="61"/>
    </row>
    <row r="49" spans="1:23" s="19" customFormat="1" ht="15.5" hidden="1" x14ac:dyDescent="0.35">
      <c r="A49" s="27" t="s">
        <v>61</v>
      </c>
      <c r="B49" s="30" t="s">
        <v>86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>IFERROR(GETPIVOTDATA("[Measures].[Jrnl Posting Am]",'Historical Summary Cube'!$AA$73,"[Object].[Object Group]","[Object].[Object Group].&amp;[45]","[Object].[Obj Group Nm]","[Object].[Obj Group Nm].&amp;[UTILITY SERVICES]","[Accounting Period].[Fisc Period]","[Accounting Period].[Fisc Period].&amp;[12]"),0)</f>
        <v>0</v>
      </c>
      <c r="O49" s="18">
        <f t="shared" si="6"/>
        <v>0</v>
      </c>
      <c r="P49" s="49"/>
      <c r="Q49" s="61"/>
      <c r="R49" s="61"/>
      <c r="S49" s="61"/>
    </row>
    <row r="50" spans="1:23" s="19" customFormat="1" ht="15.5" x14ac:dyDescent="0.35">
      <c r="A50" s="27" t="s">
        <v>62</v>
      </c>
      <c r="B50" s="30" t="s">
        <v>87</v>
      </c>
      <c r="C50" s="25">
        <v>0</v>
      </c>
      <c r="D50" s="25">
        <v>1111.71</v>
      </c>
      <c r="E50" s="25">
        <v>2869.3</v>
      </c>
      <c r="F50" s="25">
        <v>194.24</v>
      </c>
      <c r="G50" s="25">
        <v>70.180000000000007</v>
      </c>
      <c r="H50" s="25">
        <v>2495.92</v>
      </c>
      <c r="I50" s="25">
        <v>2544.8000000000002</v>
      </c>
      <c r="J50" s="25">
        <v>862.23</v>
      </c>
      <c r="K50" s="25">
        <v>793.15</v>
      </c>
      <c r="L50" s="25">
        <v>856.82</v>
      </c>
      <c r="M50" s="25">
        <v>1196.56</v>
      </c>
      <c r="N50" s="25">
        <v>1196.56</v>
      </c>
      <c r="O50" s="18">
        <f t="shared" si="6"/>
        <v>14191.47</v>
      </c>
      <c r="P50" s="49"/>
      <c r="Q50" s="61">
        <v>16500</v>
      </c>
      <c r="R50" s="61">
        <f>+Q50*1.05</f>
        <v>17325</v>
      </c>
      <c r="S50" s="61">
        <f>+R50*1.05</f>
        <v>18191.25</v>
      </c>
    </row>
    <row r="51" spans="1:23" s="19" customFormat="1" ht="15.5" hidden="1" x14ac:dyDescent="0.35">
      <c r="A51" s="27" t="s">
        <v>63</v>
      </c>
      <c r="B51" s="30" t="s">
        <v>88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IFERROR(GETPIVOTDATA("[Measures].[Jrnl Posting Am]",'Historical Summary Cube'!$AA$73,"[Object].[Object Group]","[Object].[Object Group].&amp;[47]","[Object].[Obj Group Nm]","[Object].[Obj Group Nm].&amp;[REPAIRS]","[Accounting Period].[Fisc Period]","[Accounting Period].[Fisc Period].&amp;[12]"),0)</f>
        <v>0</v>
      </c>
      <c r="O51" s="18">
        <f t="shared" si="6"/>
        <v>0</v>
      </c>
      <c r="P51" s="49"/>
      <c r="Q51" s="61"/>
      <c r="R51" s="61"/>
      <c r="S51" s="61"/>
    </row>
    <row r="52" spans="1:23" s="19" customFormat="1" ht="15.5" x14ac:dyDescent="0.35">
      <c r="A52" s="27" t="s">
        <v>64</v>
      </c>
      <c r="B52" s="30" t="s">
        <v>89</v>
      </c>
      <c r="C52" s="25">
        <v>0</v>
      </c>
      <c r="D52" s="25">
        <v>3483</v>
      </c>
      <c r="E52" s="25">
        <v>150</v>
      </c>
      <c r="F52" s="25">
        <v>0</v>
      </c>
      <c r="G52" s="25">
        <v>0</v>
      </c>
      <c r="H52" s="25">
        <v>0</v>
      </c>
      <c r="I52" s="25">
        <v>4.6100000000000003</v>
      </c>
      <c r="J52" s="25">
        <v>174</v>
      </c>
      <c r="K52" s="25">
        <v>0</v>
      </c>
      <c r="L52" s="25">
        <v>0</v>
      </c>
      <c r="M52" s="25">
        <v>0</v>
      </c>
      <c r="N52" s="25">
        <f>IFERROR(GETPIVOTDATA("[Measures].[Jrnl Posting Am]",'Historical Summary Cube'!$AA$73,"[Object].[Object Group]","[Object].[Object Group].&amp;[48]","[Object].[Obj Group Nm]","[Object].[Obj Group Nm].&amp;[INSURANCE]","[Accounting Period].[Fisc Period]","[Accounting Period].[Fisc Period].&amp;[12]"),0)</f>
        <v>0</v>
      </c>
      <c r="O52" s="18">
        <f t="shared" si="6"/>
        <v>3811.61</v>
      </c>
      <c r="P52" s="49"/>
      <c r="Q52" s="61">
        <v>4200</v>
      </c>
      <c r="R52" s="61">
        <f>+Q52*1.05</f>
        <v>4410</v>
      </c>
      <c r="S52" s="61">
        <f>+R52*1.05</f>
        <v>4630.5</v>
      </c>
    </row>
    <row r="53" spans="1:23" s="19" customFormat="1" ht="15.5" x14ac:dyDescent="0.35">
      <c r="A53" s="27" t="s">
        <v>65</v>
      </c>
      <c r="B53" s="30" t="s">
        <v>90</v>
      </c>
      <c r="C53" s="25">
        <v>671.83</v>
      </c>
      <c r="D53" s="25">
        <v>900.43999999999994</v>
      </c>
      <c r="E53" s="25">
        <v>793.02</v>
      </c>
      <c r="F53" s="25">
        <v>306.18</v>
      </c>
      <c r="G53" s="25">
        <v>1199.0099999999998</v>
      </c>
      <c r="H53" s="25">
        <v>3239.2500000000005</v>
      </c>
      <c r="I53" s="25">
        <v>423.54000000000008</v>
      </c>
      <c r="J53" s="25">
        <v>15807.34</v>
      </c>
      <c r="K53" s="25">
        <v>4195.51</v>
      </c>
      <c r="L53" s="25">
        <v>1040.5</v>
      </c>
      <c r="M53" s="25">
        <v>17579.599999999999</v>
      </c>
      <c r="N53" s="25">
        <v>5000</v>
      </c>
      <c r="O53" s="18">
        <f t="shared" si="6"/>
        <v>51156.22</v>
      </c>
      <c r="P53" s="49"/>
      <c r="Q53" s="61">
        <v>82772.875</v>
      </c>
      <c r="R53" s="61">
        <v>82877.875</v>
      </c>
      <c r="S53" s="61">
        <v>83125.625</v>
      </c>
    </row>
    <row r="54" spans="1:23" s="19" customFormat="1" ht="15.5" x14ac:dyDescent="0.35">
      <c r="A54" s="27" t="s">
        <v>66</v>
      </c>
      <c r="B54" s="30" t="s">
        <v>91</v>
      </c>
      <c r="C54" s="25">
        <v>0</v>
      </c>
      <c r="D54" s="25">
        <v>0</v>
      </c>
      <c r="E54" s="25">
        <v>0</v>
      </c>
      <c r="F54" s="25">
        <v>0</v>
      </c>
      <c r="G54" s="25">
        <v>131.34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f>IFERROR(GETPIVOTDATA("[Measures].[Jrnl Posting Am]",'Historical Summary Cube'!$AA$73,"[Object].[Object Group]","[Object].[Object Group].&amp;[50]","[Object].[Obj Group Nm]","[Object].[Obj Group Nm].&amp;[EMPLOYEE TRAINING]","[Accounting Period].[Fisc Period]","[Accounting Period].[Fisc Period].&amp;[12]"),0)</f>
        <v>0</v>
      </c>
      <c r="O54" s="18">
        <f t="shared" si="6"/>
        <v>131.34</v>
      </c>
      <c r="P54" s="49"/>
      <c r="Q54" s="61">
        <v>500</v>
      </c>
      <c r="R54" s="61">
        <v>500</v>
      </c>
      <c r="S54" s="61">
        <v>500</v>
      </c>
    </row>
    <row r="55" spans="1:23" s="19" customFormat="1" ht="15.5" x14ac:dyDescent="0.35">
      <c r="A55" s="27" t="s">
        <v>67</v>
      </c>
      <c r="B55" s="30" t="s">
        <v>92</v>
      </c>
      <c r="C55" s="25">
        <v>0</v>
      </c>
      <c r="D55" s="25">
        <v>0</v>
      </c>
      <c r="E55" s="25">
        <v>0</v>
      </c>
      <c r="F55" s="25">
        <v>0</v>
      </c>
      <c r="G55" s="25">
        <v>59.87</v>
      </c>
      <c r="H55" s="25">
        <v>0</v>
      </c>
      <c r="I55" s="25">
        <v>0</v>
      </c>
      <c r="J55" s="25">
        <v>0</v>
      </c>
      <c r="K55" s="25">
        <v>0</v>
      </c>
      <c r="L55" s="25">
        <v>36.36</v>
      </c>
      <c r="M55" s="25">
        <v>37.520000000000003</v>
      </c>
      <c r="N55" s="25">
        <v>50</v>
      </c>
      <c r="O55" s="18">
        <f t="shared" si="6"/>
        <v>183.75</v>
      </c>
      <c r="P55" s="49"/>
      <c r="Q55" s="61">
        <f>50*9</f>
        <v>450</v>
      </c>
      <c r="R55" s="61">
        <f t="shared" ref="R55:S55" si="8">50*9</f>
        <v>450</v>
      </c>
      <c r="S55" s="61">
        <f t="shared" si="8"/>
        <v>450</v>
      </c>
    </row>
    <row r="56" spans="1:23" s="19" customFormat="1" ht="15.5" x14ac:dyDescent="0.35">
      <c r="A56" s="27" t="s">
        <v>68</v>
      </c>
      <c r="B56" s="30" t="s">
        <v>93</v>
      </c>
      <c r="C56" s="25">
        <v>10435.49</v>
      </c>
      <c r="D56" s="25">
        <v>0</v>
      </c>
      <c r="E56" s="25">
        <v>49934.180000000008</v>
      </c>
      <c r="F56" s="25">
        <v>0</v>
      </c>
      <c r="G56" s="25">
        <v>-9014.51</v>
      </c>
      <c r="H56" s="25">
        <v>10520.949999999999</v>
      </c>
      <c r="I56" s="25">
        <v>0</v>
      </c>
      <c r="J56" s="25">
        <v>10435.49</v>
      </c>
      <c r="K56" s="25">
        <v>33332.049999999996</v>
      </c>
      <c r="L56" s="25">
        <v>0</v>
      </c>
      <c r="M56" s="25">
        <v>20501.27</v>
      </c>
      <c r="N56" s="25">
        <v>10250</v>
      </c>
      <c r="O56" s="18">
        <f t="shared" si="6"/>
        <v>136394.91999999998</v>
      </c>
      <c r="P56" s="49"/>
      <c r="Q56" s="61">
        <f>+'MEPERLS Monthly cost'!S25</f>
        <v>378003</v>
      </c>
      <c r="R56" s="61">
        <f>+'MEPERLS Monthly cost'!T24</f>
        <v>405432</v>
      </c>
      <c r="S56" s="61">
        <f>+'MEPERLS Monthly cost'!U24</f>
        <v>412596</v>
      </c>
    </row>
    <row r="57" spans="1:23" s="19" customFormat="1" ht="15.5" hidden="1" x14ac:dyDescent="0.35">
      <c r="A57" s="27" t="s">
        <v>69</v>
      </c>
      <c r="B57" s="30" t="s">
        <v>94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f>IFERROR(GETPIVOTDATA("[Measures].[Jrnl Posting Am]",'Historical Summary Cube'!$AA$73,"[Object].[Object Group]","[Object].[Object Group].&amp;[54]","[Object].[Obj Group Nm]","[Object].[Obj Group Nm].&amp;[CLOTHING]","[Accounting Period].[Fisc Period]","[Accounting Period].[Fisc Period].&amp;[12]"),0)</f>
        <v>0</v>
      </c>
      <c r="O57" s="18">
        <f t="shared" si="6"/>
        <v>0</v>
      </c>
      <c r="P57" s="49"/>
      <c r="Q57" s="61"/>
      <c r="R57" s="61"/>
      <c r="S57" s="61"/>
    </row>
    <row r="58" spans="1:23" s="19" customFormat="1" ht="15.5" x14ac:dyDescent="0.35">
      <c r="A58" s="27" t="s">
        <v>70</v>
      </c>
      <c r="B58" s="30" t="s">
        <v>142</v>
      </c>
      <c r="C58" s="25">
        <v>220.62</v>
      </c>
      <c r="D58" s="25">
        <v>243.26999999999998</v>
      </c>
      <c r="E58" s="25">
        <v>523.86</v>
      </c>
      <c r="F58" s="25">
        <v>245.79999999999998</v>
      </c>
      <c r="G58" s="25">
        <v>219.88</v>
      </c>
      <c r="H58" s="25">
        <v>416.32000000000005</v>
      </c>
      <c r="I58" s="25">
        <v>329.50999999999993</v>
      </c>
      <c r="J58" s="25">
        <v>110.08</v>
      </c>
      <c r="K58" s="25">
        <v>355.31</v>
      </c>
      <c r="L58" s="25">
        <v>135.52000000000001</v>
      </c>
      <c r="M58" s="25">
        <v>718.32999999999993</v>
      </c>
      <c r="N58" s="25">
        <v>500</v>
      </c>
      <c r="O58" s="18">
        <f t="shared" si="6"/>
        <v>4018.4999999999995</v>
      </c>
      <c r="P58" s="49"/>
      <c r="Q58" s="61">
        <v>4200</v>
      </c>
      <c r="R58" s="61">
        <f>+Q58*1.05</f>
        <v>4410</v>
      </c>
      <c r="S58" s="61">
        <f>+R58*1.05</f>
        <v>4630.5</v>
      </c>
      <c r="W58" s="61"/>
    </row>
    <row r="59" spans="1:23" s="19" customFormat="1" ht="15.5" x14ac:dyDescent="0.35">
      <c r="A59" s="27" t="s">
        <v>71</v>
      </c>
      <c r="B59" s="30" t="s">
        <v>96</v>
      </c>
      <c r="C59" s="25">
        <v>0</v>
      </c>
      <c r="D59" s="25">
        <v>46.980000000000004</v>
      </c>
      <c r="E59" s="25">
        <v>115.39999999999999</v>
      </c>
      <c r="F59" s="25">
        <v>2365.23</v>
      </c>
      <c r="G59" s="25">
        <v>195.85</v>
      </c>
      <c r="H59" s="25">
        <v>20.97</v>
      </c>
      <c r="I59" s="25">
        <v>143.67000000000002</v>
      </c>
      <c r="J59" s="25">
        <v>489.3</v>
      </c>
      <c r="K59" s="25">
        <v>54.41</v>
      </c>
      <c r="L59" s="25">
        <v>55.01</v>
      </c>
      <c r="M59" s="25">
        <v>52.87</v>
      </c>
      <c r="N59" s="25">
        <v>100</v>
      </c>
      <c r="O59" s="18">
        <f t="shared" si="6"/>
        <v>3639.69</v>
      </c>
      <c r="P59" s="49"/>
      <c r="Q59" s="61">
        <v>3500</v>
      </c>
      <c r="R59" s="61">
        <f>+Q59*1.05</f>
        <v>3675</v>
      </c>
      <c r="S59" s="61">
        <f>+R59*1.05</f>
        <v>3858.75</v>
      </c>
      <c r="W59" s="25"/>
    </row>
    <row r="60" spans="1:23" s="19" customFormat="1" ht="15.5" hidden="1" x14ac:dyDescent="0.35">
      <c r="A60" s="27" t="s">
        <v>72</v>
      </c>
      <c r="B60" s="30" t="s">
        <v>97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f>IFERROR(GETPIVOTDATA("[Measures].[Jrnl Posting Am]",'Historical Summary Cube'!$AA$73,"[Object].[Object Group]","[Object].[Object Group].&amp;[58]","[Object].[Obj Group Nm]","[Object].[Obj Group Nm].&amp;[HIGHWAY MATERIALS]","[Accounting Period].[Fisc Period]","[Accounting Period].[Fisc Period].&amp;[12]"),0)</f>
        <v>0</v>
      </c>
      <c r="O60" s="18">
        <f t="shared" si="6"/>
        <v>0</v>
      </c>
      <c r="P60" s="49"/>
      <c r="Q60" s="61"/>
      <c r="R60" s="61"/>
      <c r="S60" s="61"/>
    </row>
    <row r="61" spans="1:23" s="19" customFormat="1" ht="15.5" hidden="1" x14ac:dyDescent="0.35">
      <c r="A61" s="27">
        <v>63</v>
      </c>
      <c r="B61" s="30" t="s">
        <v>128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f>IFERROR(GETPIVOTDATA("[Measures].[Jrnl Posting Am]",'Historical Summary Cube'!$AA$73,"[Object].[Object Group]","[Object].[Object Group].&amp;[63]","[Object].[Obj Group Nm]","[Object].[Obj Group Nm].&amp;[GRANTS TO CITIES AND TOWNS]","[Accounting Period].[Fisc Period]","[Accounting Period].[Fisc Period].&amp;[12]"),0)</f>
        <v>0</v>
      </c>
      <c r="O61" s="18">
        <f t="shared" si="6"/>
        <v>0</v>
      </c>
      <c r="P61" s="49"/>
      <c r="Q61" s="61"/>
      <c r="R61" s="61"/>
      <c r="S61" s="61"/>
    </row>
    <row r="62" spans="1:23" s="19" customFormat="1" ht="15.5" x14ac:dyDescent="0.35">
      <c r="A62" s="27" t="s">
        <v>73</v>
      </c>
      <c r="B62" s="30" t="s">
        <v>98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6432</v>
      </c>
      <c r="L62" s="25">
        <v>0</v>
      </c>
      <c r="M62" s="25">
        <v>0</v>
      </c>
      <c r="N62" s="25">
        <f>IFERROR(GETPIVOTDATA("[Measures].[Jrnl Posting Am]",'Historical Summary Cube'!$AA$73,"[Object].[Object Group]","[Object].[Object Group].&amp;[64]","[Object].[Obj Group Nm]","[Object].[Obj Group Nm].&amp;[GRANTS TO PUB AND PRIV ORGNS]","[Accounting Period].[Fisc Period]","[Accounting Period].[Fisc Period].&amp;[12]"),0)</f>
        <v>0</v>
      </c>
      <c r="O62" s="18">
        <f t="shared" si="6"/>
        <v>6432</v>
      </c>
      <c r="P62" s="49"/>
      <c r="Q62" s="144">
        <v>6432</v>
      </c>
      <c r="R62" s="144">
        <v>6432</v>
      </c>
      <c r="S62" s="144">
        <v>6432</v>
      </c>
      <c r="W62" s="61"/>
    </row>
    <row r="63" spans="1:23" s="19" customFormat="1" ht="15.5" hidden="1" x14ac:dyDescent="0.35">
      <c r="A63" s="27" t="s">
        <v>74</v>
      </c>
      <c r="B63" s="30" t="s">
        <v>99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f>IFERROR(GETPIVOTDATA("[Measures].[Jrnl Posting Am]",'Historical Summary Cube'!$AA$73,"[Object].[Object Group]","[Object].[Object Group].&amp;[67]","[Object].[Obj Group Nm]","[Object].[Obj Group Nm].&amp;[ASSISTANCE AND RELIEF GRANT]","[Accounting Period].[Fisc Period]","[Accounting Period].[Fisc Period].&amp;[12]"),0)</f>
        <v>0</v>
      </c>
      <c r="O63" s="18">
        <f t="shared" si="6"/>
        <v>0</v>
      </c>
      <c r="P63" s="49"/>
      <c r="Q63" s="61"/>
      <c r="R63" s="61"/>
      <c r="S63" s="61"/>
    </row>
    <row r="64" spans="1:23" s="19" customFormat="1" ht="15.5" hidden="1" x14ac:dyDescent="0.35">
      <c r="A64" s="27" t="s">
        <v>75</v>
      </c>
      <c r="B64" s="30" t="s">
        <v>95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f>IFERROR(GETPIVOTDATA("[Measures].[Jrnl Posting Am]",'Historical Summary Cube'!$AA$73,"[Object].[Object Group]","[Object].[Object Group].&amp;[72]","[Object].[Obj Group Nm]","[Object].[Obj Group Nm].&amp;[EQUIPMENT]","[Accounting Period].[Fisc Period]","[Accounting Period].[Fisc Period].&amp;[12]"),0)</f>
        <v>0</v>
      </c>
      <c r="O64" s="18">
        <f t="shared" si="6"/>
        <v>0</v>
      </c>
      <c r="P64" s="49"/>
      <c r="Q64" s="61"/>
      <c r="R64" s="61"/>
      <c r="S64" s="61"/>
    </row>
    <row r="65" spans="1:20" s="19" customFormat="1" ht="15.5" x14ac:dyDescent="0.35">
      <c r="A65" s="27" t="s">
        <v>76</v>
      </c>
      <c r="B65" s="30" t="s">
        <v>100</v>
      </c>
      <c r="C65" s="25">
        <v>0</v>
      </c>
      <c r="D65" s="25">
        <v>-20</v>
      </c>
      <c r="E65" s="25">
        <v>0</v>
      </c>
      <c r="F65" s="25">
        <v>0</v>
      </c>
      <c r="G65" s="25">
        <v>-20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f>IFERROR(GETPIVOTDATA("[Measures].[Jrnl Posting Am]",'Historical Summary Cube'!$AA$73,"[Object].[Object Group]","[Object].[Object Group].&amp;[82]","[Object].[Obj Group Nm]","[Object].[Obj Group Nm].&amp;[ADMINISTRATIVE CHARGES AND FEE]","[Accounting Period].[Fisc Period]","[Accounting Period].[Fisc Period].&amp;[12]"),0)</f>
        <v>0</v>
      </c>
      <c r="O65" s="18">
        <f t="shared" si="6"/>
        <v>-40</v>
      </c>
      <c r="P65" s="49"/>
      <c r="Q65" s="61"/>
      <c r="R65" s="61"/>
      <c r="S65" s="61"/>
    </row>
    <row r="66" spans="1:20" s="19" customFormat="1" ht="15.5" x14ac:dyDescent="0.35">
      <c r="A66" s="27" t="s">
        <v>77</v>
      </c>
      <c r="B66" s="30" t="s">
        <v>101</v>
      </c>
      <c r="C66" s="25">
        <v>7568.1699999999992</v>
      </c>
      <c r="D66" s="25">
        <v>9942.77</v>
      </c>
      <c r="E66" s="25">
        <v>10755.88</v>
      </c>
      <c r="F66" s="25">
        <v>6341.3300000000008</v>
      </c>
      <c r="G66" s="25">
        <v>5737.32</v>
      </c>
      <c r="H66" s="25">
        <v>7790.6200000000008</v>
      </c>
      <c r="I66" s="25">
        <v>10074.98</v>
      </c>
      <c r="J66" s="25">
        <v>8522.380000000001</v>
      </c>
      <c r="K66" s="25">
        <v>9336.659999999998</v>
      </c>
      <c r="L66" s="25">
        <v>8401.7999999999993</v>
      </c>
      <c r="M66" s="25">
        <f>SUM(M43:M60)*0.06265</f>
        <v>9419.8165564999999</v>
      </c>
      <c r="N66" s="25">
        <f>SUM(N43:N60)*0.06265</f>
        <v>5595.463152045455</v>
      </c>
      <c r="O66" s="18">
        <f t="shared" si="6"/>
        <v>99487.189708545469</v>
      </c>
      <c r="P66" s="49"/>
      <c r="Q66" s="25">
        <f>SUM(Q43:Q60)*Q78</f>
        <v>111867.15805474999</v>
      </c>
      <c r="R66" s="25">
        <f t="shared" ref="R66:S66" si="9">SUM(R43:R60)*R78</f>
        <v>116203.17207274999</v>
      </c>
      <c r="S66" s="25">
        <f t="shared" si="9"/>
        <v>119270.75171192999</v>
      </c>
    </row>
    <row r="67" spans="1:20" s="19" customFormat="1" ht="15.5" x14ac:dyDescent="0.35">
      <c r="A67" s="27" t="s">
        <v>78</v>
      </c>
      <c r="B67" s="30" t="s">
        <v>102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  <c r="H67" s="25">
        <v>14.82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f>IFERROR(GETPIVOTDATA("[Measures].[Jrnl Posting Am]",'Historical Summary Cube'!$AA$73,"[Object].[Object Group]","[Object].[Object Group].&amp;[90]","[Object].[Obj Group Nm]","[Object].[Obj Group Nm].&amp;[CHARGES TO ASSETS AND LIAB.]","[Accounting Period].[Fisc Period]","[Accounting Period].[Fisc Period].&amp;[12]"),0)</f>
        <v>0</v>
      </c>
      <c r="O67" s="18">
        <f t="shared" si="6"/>
        <v>14.82</v>
      </c>
      <c r="P67" s="49"/>
      <c r="Q67" s="61"/>
      <c r="R67" s="61"/>
      <c r="S67" s="61"/>
    </row>
    <row r="68" spans="1:20" s="17" customFormat="1" ht="16" thickBot="1" x14ac:dyDescent="0.4">
      <c r="A68" s="23"/>
      <c r="B68" s="28" t="s">
        <v>109</v>
      </c>
      <c r="C68" s="29">
        <f>SUM(C43:C67)</f>
        <v>128368.54</v>
      </c>
      <c r="D68" s="29">
        <f t="shared" ref="D68:N68" si="10">SUM(D43:D67)</f>
        <v>168626.21999999997</v>
      </c>
      <c r="E68" s="29">
        <f t="shared" si="10"/>
        <v>182437.18</v>
      </c>
      <c r="F68" s="29">
        <f t="shared" si="10"/>
        <v>107559.77000000002</v>
      </c>
      <c r="G68" s="29">
        <f t="shared" si="10"/>
        <v>97294.189999999973</v>
      </c>
      <c r="H68" s="29">
        <f t="shared" si="10"/>
        <v>132156.30000000002</v>
      </c>
      <c r="I68" s="29">
        <f t="shared" si="10"/>
        <v>170888.75000000003</v>
      </c>
      <c r="J68" s="29">
        <f t="shared" si="10"/>
        <v>144553.82999999996</v>
      </c>
      <c r="K68" s="29">
        <f t="shared" si="10"/>
        <v>164797.84999999998</v>
      </c>
      <c r="L68" s="29">
        <f t="shared" si="10"/>
        <v>142508.42999999996</v>
      </c>
      <c r="M68" s="29">
        <f t="shared" si="10"/>
        <v>159776.0265565</v>
      </c>
      <c r="N68" s="29">
        <f t="shared" si="10"/>
        <v>94908.522242954554</v>
      </c>
      <c r="O68" s="29">
        <f t="shared" si="6"/>
        <v>1693875.6087994543</v>
      </c>
      <c r="P68" s="36"/>
      <c r="Q68" s="29">
        <f>SUM(Q43:Q67)</f>
        <v>1903888.2730547499</v>
      </c>
      <c r="R68" s="29">
        <f t="shared" ref="R68:S68" si="11">SUM(R43:R67)</f>
        <v>1977434.4070727499</v>
      </c>
      <c r="S68" s="29">
        <f t="shared" si="11"/>
        <v>2029465.7479119299</v>
      </c>
    </row>
    <row r="69" spans="1:20" s="19" customFormat="1" ht="15.5" x14ac:dyDescent="0.35">
      <c r="A69" s="15"/>
      <c r="B69" s="16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18"/>
      <c r="P69" s="49"/>
    </row>
    <row r="70" spans="1:20" s="19" customFormat="1" ht="15.5" x14ac:dyDescent="0.35">
      <c r="A70" s="15"/>
      <c r="B70" s="16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18"/>
      <c r="P70" s="49"/>
    </row>
    <row r="71" spans="1:20" s="19" customFormat="1" ht="15.5" x14ac:dyDescent="0.35">
      <c r="A71" s="15"/>
      <c r="B71" s="16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18"/>
      <c r="P71" s="49"/>
    </row>
    <row r="72" spans="1:20" s="57" customFormat="1" ht="16" thickBot="1" x14ac:dyDescent="0.4">
      <c r="A72" s="163"/>
      <c r="B72" s="164" t="s">
        <v>105</v>
      </c>
      <c r="C72" s="165">
        <f t="shared" ref="C72" si="12">C8+C31-C68</f>
        <v>1961483.0899999992</v>
      </c>
      <c r="D72" s="165">
        <f>D8+D31-D68</f>
        <v>1791676.8099999991</v>
      </c>
      <c r="E72" s="165">
        <f t="shared" ref="E72:N72" si="13">E8+E31-E68</f>
        <v>1600234.1399999992</v>
      </c>
      <c r="F72" s="165">
        <f t="shared" si="13"/>
        <v>1485352.1799999992</v>
      </c>
      <c r="G72" s="165">
        <f t="shared" si="13"/>
        <v>1550435.2199999993</v>
      </c>
      <c r="H72" s="165">
        <f t="shared" si="13"/>
        <v>2252212.3899999997</v>
      </c>
      <c r="I72" s="165">
        <f t="shared" si="13"/>
        <v>2263610.9999999995</v>
      </c>
      <c r="J72" s="165">
        <f t="shared" si="13"/>
        <v>2198410.0999999996</v>
      </c>
      <c r="K72" s="165">
        <f t="shared" si="13"/>
        <v>2316927.5399999996</v>
      </c>
      <c r="L72" s="165">
        <f t="shared" si="13"/>
        <v>2207009.7299999995</v>
      </c>
      <c r="M72" s="165">
        <f t="shared" si="13"/>
        <v>1872012.7034434995</v>
      </c>
      <c r="N72" s="165">
        <f t="shared" si="13"/>
        <v>-89851.95374295456</v>
      </c>
      <c r="O72" s="165">
        <f>C8+O31-O68</f>
        <v>1782160.7497005449</v>
      </c>
      <c r="Q72" s="165">
        <f>Q8+Q31-Q68</f>
        <v>1826959.1093957948</v>
      </c>
      <c r="R72" s="165">
        <f t="shared" ref="R72:S72" si="14">R8+R31-R68</f>
        <v>1787829.8170730453</v>
      </c>
      <c r="S72" s="165">
        <f t="shared" si="14"/>
        <v>1689324.6197311154</v>
      </c>
    </row>
    <row r="74" spans="1:20" x14ac:dyDescent="0.35">
      <c r="O74" s="166"/>
    </row>
    <row r="78" spans="1:20" x14ac:dyDescent="0.35">
      <c r="N78" s="63" t="s">
        <v>166</v>
      </c>
      <c r="O78" s="64"/>
      <c r="P78" s="65"/>
      <c r="Q78" s="65">
        <v>6.2649999999999997E-2</v>
      </c>
      <c r="R78" s="65">
        <v>6.2649999999999997E-2</v>
      </c>
      <c r="S78" s="65">
        <v>6.2649999999999997E-2</v>
      </c>
    </row>
    <row r="80" spans="1:20" x14ac:dyDescent="0.35">
      <c r="Q80" s="59"/>
      <c r="R80" s="59"/>
      <c r="S80" s="59"/>
      <c r="T80" s="140"/>
    </row>
    <row r="81" spans="14:20" x14ac:dyDescent="0.35">
      <c r="N81" s="136" t="s">
        <v>167</v>
      </c>
      <c r="O81" s="137"/>
      <c r="P81" s="138"/>
      <c r="Q81" s="139">
        <f>(503385.61*(1.15+Q78))</f>
        <v>610430.55996650003</v>
      </c>
      <c r="R81" s="139">
        <f>511756.63*(1.15+R78)</f>
        <v>620581.67736950004</v>
      </c>
      <c r="S81" s="139">
        <f>519191.47*(1.15+S78)</f>
        <v>629597.53609549999</v>
      </c>
      <c r="T81" s="140"/>
    </row>
    <row r="82" spans="14:20" x14ac:dyDescent="0.35">
      <c r="N82" s="141"/>
      <c r="O82" s="142"/>
      <c r="Q82" s="140"/>
      <c r="R82" s="140"/>
      <c r="S82" s="140"/>
      <c r="T82" s="140"/>
    </row>
    <row r="83" spans="14:20" x14ac:dyDescent="0.35">
      <c r="N83" s="141"/>
      <c r="O83" s="142"/>
      <c r="Q83" s="140"/>
      <c r="R83" s="140"/>
      <c r="S83" s="140"/>
    </row>
    <row r="89" spans="14:20" x14ac:dyDescent="0.35">
      <c r="N89"/>
      <c r="O89"/>
      <c r="P89"/>
      <c r="Q89"/>
      <c r="R89"/>
      <c r="S89"/>
    </row>
    <row r="90" spans="14:20" x14ac:dyDescent="0.35">
      <c r="N90"/>
      <c r="O90"/>
      <c r="P90"/>
      <c r="Q90"/>
      <c r="R90"/>
      <c r="S90"/>
      <c r="T90" s="59"/>
    </row>
    <row r="91" spans="14:20" x14ac:dyDescent="0.35">
      <c r="N91"/>
      <c r="O91"/>
      <c r="P91"/>
      <c r="Q91"/>
      <c r="R91"/>
      <c r="S91"/>
      <c r="T91" s="59"/>
    </row>
    <row r="92" spans="14:20" x14ac:dyDescent="0.35">
      <c r="N92"/>
      <c r="O92"/>
      <c r="P92"/>
      <c r="Q92"/>
      <c r="R92"/>
      <c r="S92"/>
      <c r="T92" s="59"/>
    </row>
    <row r="93" spans="14:20" x14ac:dyDescent="0.35">
      <c r="N93"/>
      <c r="O93"/>
      <c r="P93"/>
      <c r="Q93"/>
      <c r="R93"/>
      <c r="S93"/>
      <c r="T93" s="59"/>
    </row>
    <row r="94" spans="14:20" x14ac:dyDescent="0.35">
      <c r="N94"/>
      <c r="O94"/>
      <c r="P94"/>
      <c r="Q94"/>
      <c r="R94"/>
      <c r="S94"/>
      <c r="T94" s="59"/>
    </row>
    <row r="95" spans="14:20" x14ac:dyDescent="0.35">
      <c r="N95"/>
      <c r="O95"/>
      <c r="P95"/>
      <c r="Q95"/>
      <c r="R95"/>
      <c r="S95"/>
      <c r="T95" s="59"/>
    </row>
    <row r="96" spans="14:20" x14ac:dyDescent="0.35">
      <c r="N96"/>
      <c r="O96"/>
      <c r="P96"/>
      <c r="Q96"/>
      <c r="R96"/>
      <c r="S96"/>
      <c r="T96" s="59"/>
    </row>
    <row r="97" spans="14:20" x14ac:dyDescent="0.35">
      <c r="N97"/>
      <c r="O97"/>
      <c r="P97"/>
      <c r="Q97"/>
      <c r="R97"/>
      <c r="S97"/>
      <c r="T97" s="59"/>
    </row>
    <row r="98" spans="14:20" x14ac:dyDescent="0.35">
      <c r="N98"/>
      <c r="O98"/>
      <c r="P98"/>
      <c r="Q98"/>
      <c r="R98"/>
      <c r="S98"/>
      <c r="T98" s="59"/>
    </row>
    <row r="99" spans="14:20" x14ac:dyDescent="0.35">
      <c r="N99"/>
      <c r="O99"/>
      <c r="P99"/>
      <c r="Q99"/>
      <c r="R99"/>
      <c r="S99"/>
      <c r="T99" s="59"/>
    </row>
    <row r="103" spans="14:20" x14ac:dyDescent="0.35">
      <c r="Q103" s="59"/>
      <c r="R103" s="59"/>
      <c r="S103" s="59"/>
      <c r="T103" s="59"/>
    </row>
  </sheetData>
  <phoneticPr fontId="10" type="noConversion"/>
  <conditionalFormatting sqref="P32">
    <cfRule type="cellIs" dxfId="356" priority="3" operator="equal">
      <formula>"ERROR"</formula>
    </cfRule>
  </conditionalFormatting>
  <conditionalFormatting sqref="P69">
    <cfRule type="cellIs" dxfId="355" priority="2" operator="equal">
      <formula>"ERROR"</formula>
    </cfRule>
  </conditionalFormatting>
  <conditionalFormatting sqref="A6:A7">
    <cfRule type="cellIs" dxfId="354" priority="1" operator="equal">
      <formula>"ERROR"</formula>
    </cfRule>
  </conditionalFormatting>
  <printOptions horizontalCentered="1" verticalCentered="1"/>
  <pageMargins left="0.2" right="0.2" top="0.5" bottom="0.5" header="0.3" footer="0.3"/>
  <pageSetup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27DB3-0141-4C2D-9A0E-2930EFCC257C}">
  <sheetPr>
    <tabColor theme="2" tint="-0.249977111117893"/>
  </sheetPr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71FBE-2613-4A87-AD74-C897ABBC0276}">
  <sheetPr>
    <tabColor theme="2" tint="-0.249977111117893"/>
  </sheetPr>
  <dimension ref="S23:U25"/>
  <sheetViews>
    <sheetView workbookViewId="0">
      <selection activeCell="S23" sqref="S23:U26"/>
    </sheetView>
  </sheetViews>
  <sheetFormatPr defaultRowHeight="14.5" x14ac:dyDescent="0.35"/>
  <sheetData>
    <row r="23" spans="19:21" x14ac:dyDescent="0.35">
      <c r="S23">
        <f>25966*3</f>
        <v>77898</v>
      </c>
    </row>
    <row r="24" spans="19:21" x14ac:dyDescent="0.35">
      <c r="S24">
        <f>33345*9</f>
        <v>300105</v>
      </c>
      <c r="T24">
        <f>33786*12</f>
        <v>405432</v>
      </c>
      <c r="U24">
        <f>34383*12</f>
        <v>412596</v>
      </c>
    </row>
    <row r="25" spans="19:21" x14ac:dyDescent="0.35">
      <c r="S25">
        <f>SUM(S23:S24)</f>
        <v>378003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F221-91F4-44C4-BDDB-1C7BEEFC5FBC}">
  <sheetPr>
    <tabColor theme="2" tint="-0.249977111117893"/>
  </sheetPr>
  <dimension ref="A1:Q138"/>
  <sheetViews>
    <sheetView topLeftCell="E1" workbookViewId="0">
      <selection activeCell="J1" sqref="J1:R1048576"/>
    </sheetView>
  </sheetViews>
  <sheetFormatPr defaultRowHeight="14.5" x14ac:dyDescent="0.35"/>
  <cols>
    <col min="1" max="1" width="50.1796875" bestFit="1" customWidth="1"/>
    <col min="2" max="2" width="14.7265625" bestFit="1" customWidth="1"/>
    <col min="4" max="4" width="24.453125" bestFit="1" customWidth="1"/>
    <col min="5" max="5" width="12.7265625" bestFit="1" customWidth="1"/>
    <col min="6" max="7" width="40.7265625" bestFit="1" customWidth="1"/>
    <col min="8" max="8" width="9.1796875" bestFit="1" customWidth="1"/>
    <col min="10" max="10" width="12.7265625" bestFit="1" customWidth="1"/>
    <col min="11" max="11" width="40.7265625" bestFit="1" customWidth="1"/>
    <col min="16" max="16" width="25.1796875" bestFit="1" customWidth="1"/>
    <col min="17" max="17" width="12" style="59" bestFit="1" customWidth="1"/>
  </cols>
  <sheetData>
    <row r="1" spans="1:17" x14ac:dyDescent="0.35">
      <c r="A1" s="1" t="s">
        <v>2</v>
      </c>
      <c r="B1" t="s" vm="3">
        <v>125</v>
      </c>
    </row>
    <row r="2" spans="1:17" x14ac:dyDescent="0.35">
      <c r="A2" s="1" t="s">
        <v>168</v>
      </c>
      <c r="B2" t="s" vm="14">
        <v>169</v>
      </c>
    </row>
    <row r="3" spans="1:17" x14ac:dyDescent="0.35">
      <c r="A3" s="1" t="s">
        <v>3</v>
      </c>
      <c r="B3" t="s" vm="1">
        <v>4</v>
      </c>
    </row>
    <row r="4" spans="1:17" x14ac:dyDescent="0.35">
      <c r="A4" s="1" t="s">
        <v>170</v>
      </c>
      <c r="B4" t="s" vm="15">
        <v>155</v>
      </c>
    </row>
    <row r="5" spans="1:17" x14ac:dyDescent="0.35">
      <c r="A5" s="1" t="s">
        <v>1</v>
      </c>
      <c r="B5" t="s" vm="9">
        <v>151</v>
      </c>
    </row>
    <row r="6" spans="1:17" x14ac:dyDescent="0.35">
      <c r="A6" s="1" t="s">
        <v>172</v>
      </c>
      <c r="B6" t="s" vm="16">
        <v>149</v>
      </c>
    </row>
    <row r="7" spans="1:17" x14ac:dyDescent="0.35">
      <c r="A7" s="1" t="s">
        <v>173</v>
      </c>
      <c r="B7" t="s" vm="17">
        <v>56</v>
      </c>
    </row>
    <row r="9" spans="1:17" x14ac:dyDescent="0.35">
      <c r="A9" s="1" t="s">
        <v>48</v>
      </c>
    </row>
    <row r="10" spans="1:17" x14ac:dyDescent="0.35">
      <c r="A10" s="1" t="s">
        <v>491</v>
      </c>
      <c r="B10" s="1" t="s">
        <v>492</v>
      </c>
      <c r="C10" s="1" t="s">
        <v>493</v>
      </c>
      <c r="D10" s="1" t="s">
        <v>494</v>
      </c>
      <c r="E10" s="1" t="s">
        <v>498</v>
      </c>
      <c r="F10" s="1" t="s">
        <v>497</v>
      </c>
      <c r="G10" s="1" t="s">
        <v>495</v>
      </c>
      <c r="H10" t="s">
        <v>496</v>
      </c>
      <c r="Q10"/>
    </row>
    <row r="11" spans="1:17" x14ac:dyDescent="0.35">
      <c r="A11" t="s">
        <v>174</v>
      </c>
      <c r="B11" t="s">
        <v>189</v>
      </c>
      <c r="C11" t="s">
        <v>275</v>
      </c>
      <c r="D11" t="s">
        <v>282</v>
      </c>
      <c r="E11" t="s">
        <v>274</v>
      </c>
      <c r="F11" t="s">
        <v>281</v>
      </c>
      <c r="G11" t="s">
        <v>480</v>
      </c>
      <c r="H11" s="67">
        <v>266.35000000000002</v>
      </c>
      <c r="L11" s="67"/>
      <c r="Q11"/>
    </row>
    <row r="12" spans="1:17" x14ac:dyDescent="0.35">
      <c r="A12" t="s">
        <v>174</v>
      </c>
      <c r="B12" t="s">
        <v>189</v>
      </c>
      <c r="C12" t="s">
        <v>275</v>
      </c>
      <c r="D12" t="s">
        <v>283</v>
      </c>
      <c r="E12" t="s">
        <v>274</v>
      </c>
      <c r="F12" t="s">
        <v>281</v>
      </c>
      <c r="G12" t="s">
        <v>480</v>
      </c>
      <c r="H12" s="67">
        <v>213.08</v>
      </c>
      <c r="L12" s="67"/>
      <c r="Q12"/>
    </row>
    <row r="13" spans="1:17" x14ac:dyDescent="0.35">
      <c r="A13" t="s">
        <v>174</v>
      </c>
      <c r="B13" t="s">
        <v>190</v>
      </c>
      <c r="C13" t="s">
        <v>275</v>
      </c>
      <c r="D13" t="s">
        <v>284</v>
      </c>
      <c r="E13" t="s">
        <v>274</v>
      </c>
      <c r="F13" t="s">
        <v>281</v>
      </c>
      <c r="G13" t="s">
        <v>480</v>
      </c>
      <c r="H13" s="67">
        <v>159.81</v>
      </c>
      <c r="L13" s="67"/>
      <c r="Q13"/>
    </row>
    <row r="14" spans="1:17" x14ac:dyDescent="0.35">
      <c r="A14" t="s">
        <v>174</v>
      </c>
      <c r="B14" t="s">
        <v>191</v>
      </c>
      <c r="C14" t="s">
        <v>275</v>
      </c>
      <c r="D14" t="s">
        <v>285</v>
      </c>
      <c r="E14" t="s">
        <v>274</v>
      </c>
      <c r="F14" t="s">
        <v>281</v>
      </c>
      <c r="G14" t="s">
        <v>480</v>
      </c>
      <c r="H14" s="67">
        <v>506.07</v>
      </c>
      <c r="L14" s="67"/>
      <c r="Q14"/>
    </row>
    <row r="15" spans="1:17" x14ac:dyDescent="0.35">
      <c r="A15" t="s">
        <v>174</v>
      </c>
      <c r="B15" t="s">
        <v>192</v>
      </c>
      <c r="C15" t="s">
        <v>275</v>
      </c>
      <c r="D15" t="s">
        <v>286</v>
      </c>
      <c r="E15" t="s">
        <v>274</v>
      </c>
      <c r="F15" t="s">
        <v>281</v>
      </c>
      <c r="G15" t="s">
        <v>480</v>
      </c>
      <c r="H15" s="67">
        <v>665.88</v>
      </c>
      <c r="L15" s="67"/>
      <c r="Q15"/>
    </row>
    <row r="16" spans="1:17" x14ac:dyDescent="0.35">
      <c r="A16" t="s">
        <v>174</v>
      </c>
      <c r="B16" t="s">
        <v>193</v>
      </c>
      <c r="C16" t="s">
        <v>275</v>
      </c>
      <c r="D16" t="s">
        <v>287</v>
      </c>
      <c r="E16" t="s">
        <v>274</v>
      </c>
      <c r="F16" t="s">
        <v>281</v>
      </c>
      <c r="G16" t="s">
        <v>480</v>
      </c>
      <c r="H16" s="67">
        <v>372.89</v>
      </c>
      <c r="L16" s="67"/>
      <c r="Q16"/>
    </row>
    <row r="17" spans="1:17" x14ac:dyDescent="0.35">
      <c r="A17" t="s">
        <v>174</v>
      </c>
      <c r="B17" t="s">
        <v>194</v>
      </c>
      <c r="C17" t="s">
        <v>275</v>
      </c>
      <c r="D17" t="s">
        <v>288</v>
      </c>
      <c r="E17" t="s">
        <v>274</v>
      </c>
      <c r="F17" t="s">
        <v>281</v>
      </c>
      <c r="G17" t="s">
        <v>480</v>
      </c>
      <c r="H17" s="67">
        <v>1012.13</v>
      </c>
      <c r="L17" s="67"/>
      <c r="Q17"/>
    </row>
    <row r="18" spans="1:17" x14ac:dyDescent="0.35">
      <c r="A18" t="s">
        <v>174</v>
      </c>
      <c r="B18" t="s">
        <v>195</v>
      </c>
      <c r="C18" t="s">
        <v>275</v>
      </c>
      <c r="D18" t="s">
        <v>289</v>
      </c>
      <c r="E18" t="s">
        <v>274</v>
      </c>
      <c r="F18" t="s">
        <v>281</v>
      </c>
      <c r="G18" t="s">
        <v>480</v>
      </c>
      <c r="H18" s="67">
        <v>213.08</v>
      </c>
      <c r="L18" s="67"/>
      <c r="Q18"/>
    </row>
    <row r="19" spans="1:17" x14ac:dyDescent="0.35">
      <c r="A19" t="s">
        <v>174</v>
      </c>
      <c r="B19" t="s">
        <v>196</v>
      </c>
      <c r="C19" t="s">
        <v>275</v>
      </c>
      <c r="D19" t="s">
        <v>290</v>
      </c>
      <c r="E19" t="s">
        <v>274</v>
      </c>
      <c r="F19" t="s">
        <v>281</v>
      </c>
      <c r="G19" t="s">
        <v>480</v>
      </c>
      <c r="H19" s="67">
        <v>452.8</v>
      </c>
      <c r="L19" s="67"/>
      <c r="Q19"/>
    </row>
    <row r="20" spans="1:17" x14ac:dyDescent="0.35">
      <c r="A20" t="s">
        <v>174</v>
      </c>
      <c r="B20" t="s">
        <v>196</v>
      </c>
      <c r="C20" t="s">
        <v>275</v>
      </c>
      <c r="D20" t="s">
        <v>291</v>
      </c>
      <c r="E20" t="s">
        <v>274</v>
      </c>
      <c r="F20" t="s">
        <v>281</v>
      </c>
      <c r="G20" t="s">
        <v>480</v>
      </c>
      <c r="H20" s="67">
        <v>452.8</v>
      </c>
      <c r="L20" s="67"/>
    </row>
    <row r="21" spans="1:17" x14ac:dyDescent="0.35">
      <c r="A21" t="s">
        <v>174</v>
      </c>
      <c r="B21" t="s">
        <v>197</v>
      </c>
      <c r="C21" t="s">
        <v>275</v>
      </c>
      <c r="D21" t="s">
        <v>292</v>
      </c>
      <c r="E21" t="s">
        <v>274</v>
      </c>
      <c r="F21" t="s">
        <v>281</v>
      </c>
      <c r="G21" t="s">
        <v>480</v>
      </c>
      <c r="H21" s="67">
        <v>106.54</v>
      </c>
      <c r="L21" s="67"/>
    </row>
    <row r="22" spans="1:17" x14ac:dyDescent="0.35">
      <c r="A22" t="s">
        <v>174</v>
      </c>
      <c r="B22" t="s">
        <v>198</v>
      </c>
      <c r="C22" t="s">
        <v>275</v>
      </c>
      <c r="D22" t="s">
        <v>293</v>
      </c>
      <c r="E22" t="s">
        <v>274</v>
      </c>
      <c r="F22" t="s">
        <v>281</v>
      </c>
      <c r="G22" t="s">
        <v>480</v>
      </c>
      <c r="H22" s="67">
        <v>319.62</v>
      </c>
      <c r="L22" s="67"/>
    </row>
    <row r="23" spans="1:17" x14ac:dyDescent="0.35">
      <c r="A23" t="s">
        <v>174</v>
      </c>
      <c r="B23" t="s">
        <v>199</v>
      </c>
      <c r="C23" t="s">
        <v>275</v>
      </c>
      <c r="D23" t="s">
        <v>294</v>
      </c>
      <c r="E23" t="s">
        <v>274</v>
      </c>
      <c r="F23" t="s">
        <v>281</v>
      </c>
      <c r="G23" t="s">
        <v>480</v>
      </c>
      <c r="H23" s="67">
        <v>452.8</v>
      </c>
      <c r="L23" s="67"/>
    </row>
    <row r="24" spans="1:17" x14ac:dyDescent="0.35">
      <c r="A24" t="s">
        <v>174</v>
      </c>
      <c r="B24" t="s">
        <v>200</v>
      </c>
      <c r="C24" t="s">
        <v>275</v>
      </c>
      <c r="D24" t="s">
        <v>295</v>
      </c>
      <c r="E24" t="s">
        <v>274</v>
      </c>
      <c r="F24" t="s">
        <v>281</v>
      </c>
      <c r="G24" t="s">
        <v>480</v>
      </c>
      <c r="H24" s="67">
        <v>452.8</v>
      </c>
      <c r="L24" s="67"/>
    </row>
    <row r="25" spans="1:17" x14ac:dyDescent="0.35">
      <c r="A25" t="s">
        <v>174</v>
      </c>
      <c r="B25" t="s">
        <v>201</v>
      </c>
      <c r="C25" t="s">
        <v>275</v>
      </c>
      <c r="D25" t="s">
        <v>296</v>
      </c>
      <c r="E25" t="s">
        <v>274</v>
      </c>
      <c r="F25" t="s">
        <v>281</v>
      </c>
      <c r="G25" t="s">
        <v>480</v>
      </c>
      <c r="H25" s="67">
        <v>346.26</v>
      </c>
      <c r="L25" s="67"/>
    </row>
    <row r="26" spans="1:17" x14ac:dyDescent="0.35">
      <c r="A26" t="s">
        <v>174</v>
      </c>
      <c r="B26" t="s">
        <v>202</v>
      </c>
      <c r="C26" t="s">
        <v>275</v>
      </c>
      <c r="D26" t="s">
        <v>297</v>
      </c>
      <c r="E26" t="s">
        <v>274</v>
      </c>
      <c r="F26" t="s">
        <v>281</v>
      </c>
      <c r="G26" t="s">
        <v>480</v>
      </c>
      <c r="H26" s="67">
        <v>612.61</v>
      </c>
      <c r="L26" s="67"/>
    </row>
    <row r="27" spans="1:17" x14ac:dyDescent="0.35">
      <c r="A27" t="s">
        <v>174</v>
      </c>
      <c r="B27" t="s">
        <v>203</v>
      </c>
      <c r="C27" t="s">
        <v>275</v>
      </c>
      <c r="D27" t="s">
        <v>298</v>
      </c>
      <c r="E27" t="s">
        <v>274</v>
      </c>
      <c r="F27" t="s">
        <v>281</v>
      </c>
      <c r="G27" t="s">
        <v>480</v>
      </c>
      <c r="H27" s="67">
        <v>665.88</v>
      </c>
      <c r="L27" s="67"/>
    </row>
    <row r="28" spans="1:17" x14ac:dyDescent="0.35">
      <c r="A28" t="s">
        <v>174</v>
      </c>
      <c r="B28" t="s">
        <v>204</v>
      </c>
      <c r="C28" t="s">
        <v>275</v>
      </c>
      <c r="D28" t="s">
        <v>299</v>
      </c>
      <c r="E28" t="s">
        <v>274</v>
      </c>
      <c r="F28" t="s">
        <v>281</v>
      </c>
      <c r="G28" t="s">
        <v>480</v>
      </c>
      <c r="H28" s="67">
        <v>559.34</v>
      </c>
      <c r="L28" s="67"/>
    </row>
    <row r="29" spans="1:17" x14ac:dyDescent="0.35">
      <c r="A29" t="s">
        <v>174</v>
      </c>
      <c r="B29" t="s">
        <v>205</v>
      </c>
      <c r="C29" t="s">
        <v>275</v>
      </c>
      <c r="D29" t="s">
        <v>300</v>
      </c>
      <c r="E29" t="s">
        <v>274</v>
      </c>
      <c r="F29" t="s">
        <v>281</v>
      </c>
      <c r="G29" t="s">
        <v>480</v>
      </c>
      <c r="H29" s="67">
        <v>319.62</v>
      </c>
      <c r="L29" s="67"/>
    </row>
    <row r="30" spans="1:17" x14ac:dyDescent="0.35">
      <c r="A30" t="s">
        <v>174</v>
      </c>
      <c r="B30" t="s">
        <v>206</v>
      </c>
      <c r="C30" t="s">
        <v>275</v>
      </c>
      <c r="D30" t="s">
        <v>301</v>
      </c>
      <c r="E30" t="s">
        <v>274</v>
      </c>
      <c r="F30" t="s">
        <v>281</v>
      </c>
      <c r="G30" t="s">
        <v>480</v>
      </c>
      <c r="H30" s="67">
        <v>532.70000000000005</v>
      </c>
      <c r="L30" s="67"/>
    </row>
    <row r="31" spans="1:17" x14ac:dyDescent="0.35">
      <c r="A31" t="s">
        <v>174</v>
      </c>
      <c r="B31" t="s">
        <v>207</v>
      </c>
      <c r="C31" t="s">
        <v>275</v>
      </c>
      <c r="D31" t="s">
        <v>302</v>
      </c>
      <c r="E31" t="s">
        <v>274</v>
      </c>
      <c r="F31" t="s">
        <v>281</v>
      </c>
      <c r="G31" t="s">
        <v>480</v>
      </c>
      <c r="H31" s="67">
        <v>665.88</v>
      </c>
      <c r="L31" s="67"/>
    </row>
    <row r="32" spans="1:17" x14ac:dyDescent="0.35">
      <c r="A32" t="s">
        <v>174</v>
      </c>
      <c r="B32" t="s">
        <v>208</v>
      </c>
      <c r="C32" t="s">
        <v>275</v>
      </c>
      <c r="D32" t="s">
        <v>303</v>
      </c>
      <c r="E32" t="s">
        <v>274</v>
      </c>
      <c r="F32" t="s">
        <v>281</v>
      </c>
      <c r="G32" t="s">
        <v>480</v>
      </c>
      <c r="H32" s="67">
        <v>426.16</v>
      </c>
      <c r="L32" s="67"/>
    </row>
    <row r="33" spans="1:12" x14ac:dyDescent="0.35">
      <c r="A33" t="s">
        <v>174</v>
      </c>
      <c r="B33" t="s">
        <v>208</v>
      </c>
      <c r="C33" t="s">
        <v>275</v>
      </c>
      <c r="D33" t="s">
        <v>304</v>
      </c>
      <c r="E33" t="s">
        <v>274</v>
      </c>
      <c r="F33" t="s">
        <v>281</v>
      </c>
      <c r="G33" t="s">
        <v>480</v>
      </c>
      <c r="H33" s="67">
        <v>506.07</v>
      </c>
      <c r="L33" s="67"/>
    </row>
    <row r="34" spans="1:12" x14ac:dyDescent="0.35">
      <c r="A34" t="s">
        <v>174</v>
      </c>
      <c r="B34" t="s">
        <v>208</v>
      </c>
      <c r="C34" t="s">
        <v>275</v>
      </c>
      <c r="D34" t="s">
        <v>305</v>
      </c>
      <c r="E34" t="s">
        <v>274</v>
      </c>
      <c r="F34" t="s">
        <v>281</v>
      </c>
      <c r="G34" t="s">
        <v>480</v>
      </c>
      <c r="H34" s="67">
        <v>479.43</v>
      </c>
      <c r="L34" s="67"/>
    </row>
    <row r="35" spans="1:12" x14ac:dyDescent="0.35">
      <c r="A35" t="s">
        <v>174</v>
      </c>
      <c r="B35" t="s">
        <v>208</v>
      </c>
      <c r="C35" t="s">
        <v>275</v>
      </c>
      <c r="D35" t="s">
        <v>306</v>
      </c>
      <c r="E35" t="s">
        <v>274</v>
      </c>
      <c r="F35" t="s">
        <v>281</v>
      </c>
      <c r="G35" t="s">
        <v>480</v>
      </c>
      <c r="H35" s="67">
        <v>372.89</v>
      </c>
      <c r="L35" s="67"/>
    </row>
    <row r="36" spans="1:12" x14ac:dyDescent="0.35">
      <c r="A36" t="s">
        <v>174</v>
      </c>
      <c r="B36" t="s">
        <v>209</v>
      </c>
      <c r="C36" t="s">
        <v>275</v>
      </c>
      <c r="D36" t="s">
        <v>307</v>
      </c>
      <c r="E36" t="s">
        <v>274</v>
      </c>
      <c r="F36" t="s">
        <v>281</v>
      </c>
      <c r="G36" t="s">
        <v>480</v>
      </c>
      <c r="H36" s="67">
        <v>346.26</v>
      </c>
      <c r="L36" s="67"/>
    </row>
    <row r="37" spans="1:12" x14ac:dyDescent="0.35">
      <c r="A37" t="s">
        <v>174</v>
      </c>
      <c r="B37" t="s">
        <v>210</v>
      </c>
      <c r="C37" t="s">
        <v>275</v>
      </c>
      <c r="D37" t="s">
        <v>308</v>
      </c>
      <c r="E37" t="s">
        <v>274</v>
      </c>
      <c r="F37" t="s">
        <v>281</v>
      </c>
      <c r="G37" t="s">
        <v>480</v>
      </c>
      <c r="H37" s="67">
        <v>559.34</v>
      </c>
      <c r="L37" s="67"/>
    </row>
    <row r="38" spans="1:12" x14ac:dyDescent="0.35">
      <c r="A38" t="s">
        <v>174</v>
      </c>
      <c r="B38" t="s">
        <v>210</v>
      </c>
      <c r="C38" t="s">
        <v>275</v>
      </c>
      <c r="D38" t="s">
        <v>309</v>
      </c>
      <c r="E38" t="s">
        <v>274</v>
      </c>
      <c r="F38" t="s">
        <v>281</v>
      </c>
      <c r="G38" t="s">
        <v>480</v>
      </c>
      <c r="H38" s="67">
        <v>479.43</v>
      </c>
      <c r="L38" s="67"/>
    </row>
    <row r="39" spans="1:12" x14ac:dyDescent="0.35">
      <c r="A39" t="s">
        <v>174</v>
      </c>
      <c r="B39" t="s">
        <v>211</v>
      </c>
      <c r="C39" t="s">
        <v>275</v>
      </c>
      <c r="D39" t="s">
        <v>310</v>
      </c>
      <c r="E39" t="s">
        <v>274</v>
      </c>
      <c r="F39" t="s">
        <v>281</v>
      </c>
      <c r="G39" t="s">
        <v>480</v>
      </c>
      <c r="H39" s="67">
        <v>639.24</v>
      </c>
      <c r="L39" s="67"/>
    </row>
    <row r="40" spans="1:12" x14ac:dyDescent="0.35">
      <c r="A40" t="s">
        <v>174</v>
      </c>
      <c r="B40" t="s">
        <v>211</v>
      </c>
      <c r="C40" t="s">
        <v>275</v>
      </c>
      <c r="D40" t="s">
        <v>311</v>
      </c>
      <c r="E40" t="s">
        <v>274</v>
      </c>
      <c r="F40" t="s">
        <v>281</v>
      </c>
      <c r="G40" t="s">
        <v>480</v>
      </c>
      <c r="H40" s="67">
        <v>159.81</v>
      </c>
      <c r="L40" s="67"/>
    </row>
    <row r="41" spans="1:12" x14ac:dyDescent="0.35">
      <c r="A41" t="s">
        <v>174</v>
      </c>
      <c r="B41" t="s">
        <v>212</v>
      </c>
      <c r="C41" t="s">
        <v>275</v>
      </c>
      <c r="D41" t="s">
        <v>312</v>
      </c>
      <c r="E41" t="s">
        <v>274</v>
      </c>
      <c r="F41" t="s">
        <v>281</v>
      </c>
      <c r="G41" t="s">
        <v>480</v>
      </c>
      <c r="H41" s="67">
        <v>292.99</v>
      </c>
      <c r="L41" s="67"/>
    </row>
    <row r="42" spans="1:12" x14ac:dyDescent="0.35">
      <c r="A42" t="s">
        <v>174</v>
      </c>
      <c r="B42" t="s">
        <v>212</v>
      </c>
      <c r="C42" t="s">
        <v>275</v>
      </c>
      <c r="D42" t="s">
        <v>313</v>
      </c>
      <c r="E42" t="s">
        <v>274</v>
      </c>
      <c r="F42" t="s">
        <v>281</v>
      </c>
      <c r="G42" t="s">
        <v>480</v>
      </c>
      <c r="H42" s="67">
        <v>399.53</v>
      </c>
      <c r="L42" s="67"/>
    </row>
    <row r="43" spans="1:12" x14ac:dyDescent="0.35">
      <c r="A43" t="s">
        <v>174</v>
      </c>
      <c r="B43" t="s">
        <v>213</v>
      </c>
      <c r="C43" t="s">
        <v>275</v>
      </c>
      <c r="D43" t="s">
        <v>314</v>
      </c>
      <c r="E43" t="s">
        <v>274</v>
      </c>
      <c r="F43" t="s">
        <v>281</v>
      </c>
      <c r="G43" t="s">
        <v>480</v>
      </c>
      <c r="H43" s="67">
        <v>266.35000000000002</v>
      </c>
      <c r="L43" s="67"/>
    </row>
    <row r="44" spans="1:12" x14ac:dyDescent="0.35">
      <c r="A44" t="s">
        <v>174</v>
      </c>
      <c r="B44" t="s">
        <v>213</v>
      </c>
      <c r="C44" t="s">
        <v>275</v>
      </c>
      <c r="D44" t="s">
        <v>315</v>
      </c>
      <c r="E44" t="s">
        <v>274</v>
      </c>
      <c r="F44" t="s">
        <v>281</v>
      </c>
      <c r="G44" t="s">
        <v>480</v>
      </c>
      <c r="H44" s="67">
        <v>213.08</v>
      </c>
      <c r="L44" s="67"/>
    </row>
    <row r="45" spans="1:12" x14ac:dyDescent="0.35">
      <c r="A45" t="s">
        <v>174</v>
      </c>
      <c r="B45" t="s">
        <v>214</v>
      </c>
      <c r="C45" t="s">
        <v>275</v>
      </c>
      <c r="D45" t="s">
        <v>316</v>
      </c>
      <c r="E45" t="s">
        <v>274</v>
      </c>
      <c r="F45" t="s">
        <v>281</v>
      </c>
      <c r="G45" t="s">
        <v>480</v>
      </c>
      <c r="H45" s="67">
        <v>452.8</v>
      </c>
      <c r="L45" s="67"/>
    </row>
    <row r="46" spans="1:12" x14ac:dyDescent="0.35">
      <c r="A46" t="s">
        <v>174</v>
      </c>
      <c r="B46" t="s">
        <v>215</v>
      </c>
      <c r="C46" t="s">
        <v>275</v>
      </c>
      <c r="D46" t="s">
        <v>317</v>
      </c>
      <c r="E46" t="s">
        <v>274</v>
      </c>
      <c r="F46" t="s">
        <v>281</v>
      </c>
      <c r="G46" t="s">
        <v>480</v>
      </c>
      <c r="H46" s="67">
        <v>479.43</v>
      </c>
      <c r="L46" s="67"/>
    </row>
    <row r="47" spans="1:12" x14ac:dyDescent="0.35">
      <c r="A47" t="s">
        <v>174</v>
      </c>
      <c r="B47" t="s">
        <v>216</v>
      </c>
      <c r="C47" t="s">
        <v>275</v>
      </c>
      <c r="D47" t="s">
        <v>318</v>
      </c>
      <c r="E47" t="s">
        <v>274</v>
      </c>
      <c r="F47" t="s">
        <v>281</v>
      </c>
      <c r="G47" t="s">
        <v>480</v>
      </c>
      <c r="H47" s="67">
        <v>346.26</v>
      </c>
      <c r="L47" s="67"/>
    </row>
    <row r="48" spans="1:12" x14ac:dyDescent="0.35">
      <c r="A48" s="68" t="s">
        <v>499</v>
      </c>
      <c r="B48" s="68"/>
      <c r="C48" s="68"/>
      <c r="D48" s="68"/>
      <c r="E48" s="68"/>
      <c r="F48" s="68"/>
      <c r="G48" s="68"/>
      <c r="H48" s="69">
        <v>15768.01</v>
      </c>
      <c r="J48" s="68"/>
      <c r="K48" s="68"/>
      <c r="L48" s="69"/>
    </row>
    <row r="49" spans="1:12" x14ac:dyDescent="0.35">
      <c r="A49" t="s">
        <v>175</v>
      </c>
      <c r="B49" t="s">
        <v>217</v>
      </c>
      <c r="C49" t="s">
        <v>275</v>
      </c>
      <c r="D49" t="s">
        <v>322</v>
      </c>
      <c r="E49" t="s">
        <v>274</v>
      </c>
      <c r="F49" t="s">
        <v>321</v>
      </c>
      <c r="G49" t="s">
        <v>480</v>
      </c>
      <c r="H49" s="67">
        <v>199.32</v>
      </c>
      <c r="L49" s="67"/>
    </row>
    <row r="50" spans="1:12" x14ac:dyDescent="0.35">
      <c r="A50" t="s">
        <v>175</v>
      </c>
      <c r="B50" t="s">
        <v>217</v>
      </c>
      <c r="C50" t="s">
        <v>275</v>
      </c>
      <c r="D50" t="s">
        <v>323</v>
      </c>
      <c r="E50" t="s">
        <v>274</v>
      </c>
      <c r="F50" t="s">
        <v>321</v>
      </c>
      <c r="G50" t="s">
        <v>480</v>
      </c>
      <c r="H50" s="67">
        <v>443.94</v>
      </c>
      <c r="L50" s="67"/>
    </row>
    <row r="51" spans="1:12" x14ac:dyDescent="0.35">
      <c r="A51" t="s">
        <v>175</v>
      </c>
      <c r="B51" t="s">
        <v>189</v>
      </c>
      <c r="C51" t="s">
        <v>275</v>
      </c>
      <c r="D51" t="s">
        <v>324</v>
      </c>
      <c r="E51" t="s">
        <v>274</v>
      </c>
      <c r="F51" t="s">
        <v>320</v>
      </c>
      <c r="G51" t="s">
        <v>480</v>
      </c>
      <c r="H51" s="67">
        <v>350.17</v>
      </c>
      <c r="L51" s="67"/>
    </row>
    <row r="52" spans="1:12" x14ac:dyDescent="0.35">
      <c r="A52" t="s">
        <v>175</v>
      </c>
      <c r="B52" t="s">
        <v>189</v>
      </c>
      <c r="C52" t="s">
        <v>275</v>
      </c>
      <c r="D52" t="s">
        <v>325</v>
      </c>
      <c r="E52" t="s">
        <v>274</v>
      </c>
      <c r="F52" t="s">
        <v>319</v>
      </c>
      <c r="G52" t="s">
        <v>481</v>
      </c>
      <c r="H52" s="67">
        <v>552.24</v>
      </c>
      <c r="L52" s="67"/>
    </row>
    <row r="53" spans="1:12" x14ac:dyDescent="0.35">
      <c r="A53" t="s">
        <v>175</v>
      </c>
      <c r="B53" t="s">
        <v>189</v>
      </c>
      <c r="C53" t="s">
        <v>275</v>
      </c>
      <c r="D53" t="s">
        <v>326</v>
      </c>
      <c r="E53" t="s">
        <v>274</v>
      </c>
      <c r="F53" t="s">
        <v>320</v>
      </c>
      <c r="G53" t="s">
        <v>480</v>
      </c>
      <c r="H53" s="67">
        <v>460.75</v>
      </c>
      <c r="L53" s="67"/>
    </row>
    <row r="54" spans="1:12" x14ac:dyDescent="0.35">
      <c r="A54" t="s">
        <v>175</v>
      </c>
      <c r="B54" t="s">
        <v>189</v>
      </c>
      <c r="C54" t="s">
        <v>275</v>
      </c>
      <c r="D54" t="s">
        <v>327</v>
      </c>
      <c r="E54" t="s">
        <v>274</v>
      </c>
      <c r="F54" t="s">
        <v>319</v>
      </c>
      <c r="G54" t="s">
        <v>481</v>
      </c>
      <c r="H54" s="67">
        <v>563.75</v>
      </c>
      <c r="L54" s="67"/>
    </row>
    <row r="55" spans="1:12" x14ac:dyDescent="0.35">
      <c r="A55" t="s">
        <v>175</v>
      </c>
      <c r="B55" t="s">
        <v>218</v>
      </c>
      <c r="C55" t="s">
        <v>275</v>
      </c>
      <c r="D55" t="s">
        <v>328</v>
      </c>
      <c r="E55" t="s">
        <v>274</v>
      </c>
      <c r="F55" t="s">
        <v>321</v>
      </c>
      <c r="G55" t="s">
        <v>480</v>
      </c>
      <c r="H55" s="67">
        <v>996.6</v>
      </c>
      <c r="L55" s="67"/>
    </row>
    <row r="56" spans="1:12" x14ac:dyDescent="0.35">
      <c r="A56" t="s">
        <v>175</v>
      </c>
      <c r="B56" t="s">
        <v>219</v>
      </c>
      <c r="C56" t="s">
        <v>275</v>
      </c>
      <c r="D56" t="s">
        <v>329</v>
      </c>
      <c r="E56" t="s">
        <v>274</v>
      </c>
      <c r="F56" t="s">
        <v>321</v>
      </c>
      <c r="G56" t="s">
        <v>480</v>
      </c>
      <c r="H56" s="67">
        <v>362.4</v>
      </c>
      <c r="L56" s="67"/>
    </row>
    <row r="57" spans="1:12" x14ac:dyDescent="0.35">
      <c r="A57" t="s">
        <v>175</v>
      </c>
      <c r="B57" t="s">
        <v>190</v>
      </c>
      <c r="C57" t="s">
        <v>275</v>
      </c>
      <c r="D57" t="s">
        <v>330</v>
      </c>
      <c r="E57" t="s">
        <v>274</v>
      </c>
      <c r="F57" t="s">
        <v>320</v>
      </c>
      <c r="G57" t="s">
        <v>480</v>
      </c>
      <c r="H57" s="67">
        <v>460.75</v>
      </c>
      <c r="L57" s="67"/>
    </row>
    <row r="58" spans="1:12" x14ac:dyDescent="0.35">
      <c r="A58" t="s">
        <v>175</v>
      </c>
      <c r="B58" t="s">
        <v>220</v>
      </c>
      <c r="C58" t="s">
        <v>275</v>
      </c>
      <c r="D58" t="s">
        <v>331</v>
      </c>
      <c r="E58" t="s">
        <v>274</v>
      </c>
      <c r="F58" t="s">
        <v>319</v>
      </c>
      <c r="G58" t="s">
        <v>481</v>
      </c>
      <c r="H58" s="67">
        <v>552.24</v>
      </c>
      <c r="L58" s="67"/>
    </row>
    <row r="59" spans="1:12" x14ac:dyDescent="0.35">
      <c r="A59" t="s">
        <v>175</v>
      </c>
      <c r="B59" t="s">
        <v>191</v>
      </c>
      <c r="C59" t="s">
        <v>275</v>
      </c>
      <c r="D59" t="s">
        <v>332</v>
      </c>
      <c r="E59" t="s">
        <v>274</v>
      </c>
      <c r="F59" t="s">
        <v>320</v>
      </c>
      <c r="G59" t="s">
        <v>480</v>
      </c>
      <c r="H59" s="67">
        <v>276.45</v>
      </c>
      <c r="L59" s="67"/>
    </row>
    <row r="60" spans="1:12" x14ac:dyDescent="0.35">
      <c r="A60" t="s">
        <v>175</v>
      </c>
      <c r="B60" t="s">
        <v>191</v>
      </c>
      <c r="C60" t="s">
        <v>275</v>
      </c>
      <c r="D60" t="s">
        <v>333</v>
      </c>
      <c r="E60" t="s">
        <v>274</v>
      </c>
      <c r="F60" t="s">
        <v>319</v>
      </c>
      <c r="G60" t="s">
        <v>481</v>
      </c>
      <c r="H60" s="67">
        <v>552.24</v>
      </c>
      <c r="L60" s="67"/>
    </row>
    <row r="61" spans="1:12" x14ac:dyDescent="0.35">
      <c r="A61" t="s">
        <v>175</v>
      </c>
      <c r="B61" t="s">
        <v>191</v>
      </c>
      <c r="C61" t="s">
        <v>275</v>
      </c>
      <c r="D61" t="s">
        <v>334</v>
      </c>
      <c r="E61" t="s">
        <v>274</v>
      </c>
      <c r="F61" t="s">
        <v>320</v>
      </c>
      <c r="G61" t="s">
        <v>480</v>
      </c>
      <c r="H61" s="67">
        <v>110.58</v>
      </c>
      <c r="L61" s="67"/>
    </row>
    <row r="62" spans="1:12" x14ac:dyDescent="0.35">
      <c r="A62" t="s">
        <v>175</v>
      </c>
      <c r="B62" t="s">
        <v>191</v>
      </c>
      <c r="C62" t="s">
        <v>275</v>
      </c>
      <c r="D62" t="s">
        <v>335</v>
      </c>
      <c r="E62" t="s">
        <v>274</v>
      </c>
      <c r="F62" t="s">
        <v>319</v>
      </c>
      <c r="G62" t="s">
        <v>481</v>
      </c>
      <c r="H62" s="67">
        <v>494.72</v>
      </c>
      <c r="L62" s="67"/>
    </row>
    <row r="63" spans="1:12" x14ac:dyDescent="0.35">
      <c r="A63" t="s">
        <v>175</v>
      </c>
      <c r="B63" t="s">
        <v>195</v>
      </c>
      <c r="C63" t="s">
        <v>275</v>
      </c>
      <c r="D63" t="s">
        <v>336</v>
      </c>
      <c r="E63" t="s">
        <v>274</v>
      </c>
      <c r="F63" t="s">
        <v>319</v>
      </c>
      <c r="G63" t="s">
        <v>481</v>
      </c>
      <c r="H63" s="67">
        <v>552.24</v>
      </c>
      <c r="L63" s="67"/>
    </row>
    <row r="64" spans="1:12" x14ac:dyDescent="0.35">
      <c r="A64" t="s">
        <v>175</v>
      </c>
      <c r="B64" t="s">
        <v>221</v>
      </c>
      <c r="C64" t="s">
        <v>275</v>
      </c>
      <c r="D64" t="s">
        <v>338</v>
      </c>
      <c r="E64" t="s">
        <v>274</v>
      </c>
      <c r="F64" t="s">
        <v>321</v>
      </c>
      <c r="G64" t="s">
        <v>480</v>
      </c>
      <c r="H64" s="67">
        <v>543.6</v>
      </c>
      <c r="L64" s="67"/>
    </row>
    <row r="65" spans="1:12" x14ac:dyDescent="0.35">
      <c r="A65" t="s">
        <v>175</v>
      </c>
      <c r="B65" t="s">
        <v>222</v>
      </c>
      <c r="C65" t="s">
        <v>275</v>
      </c>
      <c r="D65" t="s">
        <v>339</v>
      </c>
      <c r="E65" t="s">
        <v>274</v>
      </c>
      <c r="F65" t="s">
        <v>321</v>
      </c>
      <c r="G65" t="s">
        <v>480</v>
      </c>
      <c r="H65" s="67">
        <v>616.07999999999993</v>
      </c>
      <c r="L65" s="67"/>
    </row>
    <row r="66" spans="1:12" x14ac:dyDescent="0.35">
      <c r="A66" t="s">
        <v>175</v>
      </c>
      <c r="B66" t="s">
        <v>222</v>
      </c>
      <c r="C66" t="s">
        <v>275</v>
      </c>
      <c r="D66" t="s">
        <v>340</v>
      </c>
      <c r="E66" t="s">
        <v>274</v>
      </c>
      <c r="F66" t="s">
        <v>321</v>
      </c>
      <c r="G66" t="s">
        <v>480</v>
      </c>
      <c r="H66" s="67">
        <v>543.6</v>
      </c>
      <c r="L66" s="67"/>
    </row>
    <row r="67" spans="1:12" x14ac:dyDescent="0.35">
      <c r="A67" t="s">
        <v>175</v>
      </c>
      <c r="B67" t="s">
        <v>222</v>
      </c>
      <c r="C67" t="s">
        <v>275</v>
      </c>
      <c r="D67" t="s">
        <v>341</v>
      </c>
      <c r="E67" t="s">
        <v>274</v>
      </c>
      <c r="F67" t="s">
        <v>321</v>
      </c>
      <c r="G67" t="s">
        <v>480</v>
      </c>
      <c r="H67" s="67">
        <v>543.6</v>
      </c>
      <c r="L67" s="67"/>
    </row>
    <row r="68" spans="1:12" x14ac:dyDescent="0.35">
      <c r="A68" t="s">
        <v>175</v>
      </c>
      <c r="B68" t="s">
        <v>222</v>
      </c>
      <c r="C68" t="s">
        <v>275</v>
      </c>
      <c r="D68" t="s">
        <v>342</v>
      </c>
      <c r="E68" t="s">
        <v>274</v>
      </c>
      <c r="F68" t="s">
        <v>321</v>
      </c>
      <c r="G68" t="s">
        <v>480</v>
      </c>
      <c r="H68" s="67">
        <v>543.6</v>
      </c>
      <c r="L68" s="67"/>
    </row>
    <row r="69" spans="1:12" x14ac:dyDescent="0.35">
      <c r="A69" t="s">
        <v>175</v>
      </c>
      <c r="B69" t="s">
        <v>223</v>
      </c>
      <c r="C69" t="s">
        <v>275</v>
      </c>
      <c r="D69" t="s">
        <v>343</v>
      </c>
      <c r="E69" t="s">
        <v>274</v>
      </c>
      <c r="F69" t="s">
        <v>319</v>
      </c>
      <c r="G69" t="s">
        <v>481</v>
      </c>
      <c r="H69" s="67">
        <v>540.74</v>
      </c>
      <c r="L69" s="67"/>
    </row>
    <row r="70" spans="1:12" x14ac:dyDescent="0.35">
      <c r="A70" t="s">
        <v>175</v>
      </c>
      <c r="B70" t="s">
        <v>223</v>
      </c>
      <c r="C70" t="s">
        <v>275</v>
      </c>
      <c r="D70" t="s">
        <v>344</v>
      </c>
      <c r="E70" t="s">
        <v>274</v>
      </c>
      <c r="F70" t="s">
        <v>319</v>
      </c>
      <c r="G70" t="s">
        <v>481</v>
      </c>
      <c r="H70" s="67">
        <v>276.12</v>
      </c>
      <c r="L70" s="67"/>
    </row>
    <row r="71" spans="1:12" x14ac:dyDescent="0.35">
      <c r="A71" t="s">
        <v>175</v>
      </c>
      <c r="B71" t="s">
        <v>224</v>
      </c>
      <c r="C71" t="s">
        <v>275</v>
      </c>
      <c r="D71" t="s">
        <v>345</v>
      </c>
      <c r="E71" t="s">
        <v>274</v>
      </c>
      <c r="F71" t="s">
        <v>321</v>
      </c>
      <c r="G71" t="s">
        <v>480</v>
      </c>
      <c r="H71" s="67">
        <v>335.22</v>
      </c>
      <c r="L71" s="67"/>
    </row>
    <row r="72" spans="1:12" x14ac:dyDescent="0.35">
      <c r="A72" t="s">
        <v>175</v>
      </c>
      <c r="B72" t="s">
        <v>224</v>
      </c>
      <c r="C72" t="s">
        <v>275</v>
      </c>
      <c r="D72" t="s">
        <v>346</v>
      </c>
      <c r="E72" t="s">
        <v>274</v>
      </c>
      <c r="F72" t="s">
        <v>321</v>
      </c>
      <c r="G72" t="s">
        <v>480</v>
      </c>
      <c r="H72" s="67">
        <v>507.36</v>
      </c>
      <c r="L72" s="67"/>
    </row>
    <row r="73" spans="1:12" x14ac:dyDescent="0.35">
      <c r="A73" t="s">
        <v>175</v>
      </c>
      <c r="B73" t="s">
        <v>224</v>
      </c>
      <c r="C73" t="s">
        <v>275</v>
      </c>
      <c r="D73" t="s">
        <v>347</v>
      </c>
      <c r="E73" t="s">
        <v>274</v>
      </c>
      <c r="F73" t="s">
        <v>321</v>
      </c>
      <c r="G73" t="s">
        <v>480</v>
      </c>
      <c r="H73" s="67">
        <v>398.64</v>
      </c>
      <c r="L73" s="67"/>
    </row>
    <row r="74" spans="1:12" x14ac:dyDescent="0.35">
      <c r="A74" t="s">
        <v>175</v>
      </c>
      <c r="B74" t="s">
        <v>225</v>
      </c>
      <c r="C74" t="s">
        <v>275</v>
      </c>
      <c r="D74" t="s">
        <v>348</v>
      </c>
      <c r="E74" t="s">
        <v>274</v>
      </c>
      <c r="F74" t="s">
        <v>321</v>
      </c>
      <c r="G74" t="s">
        <v>480</v>
      </c>
      <c r="H74" s="67">
        <v>362.4</v>
      </c>
      <c r="L74" s="67"/>
    </row>
    <row r="75" spans="1:12" x14ac:dyDescent="0.35">
      <c r="A75" t="s">
        <v>175</v>
      </c>
      <c r="B75" t="s">
        <v>226</v>
      </c>
      <c r="C75" t="s">
        <v>275</v>
      </c>
      <c r="D75" t="s">
        <v>349</v>
      </c>
      <c r="E75" t="s">
        <v>274</v>
      </c>
      <c r="F75" t="s">
        <v>321</v>
      </c>
      <c r="G75" t="s">
        <v>480</v>
      </c>
      <c r="H75" s="67">
        <v>398.64</v>
      </c>
      <c r="L75" s="67"/>
    </row>
    <row r="76" spans="1:12" x14ac:dyDescent="0.35">
      <c r="A76" t="s">
        <v>175</v>
      </c>
      <c r="B76" t="s">
        <v>226</v>
      </c>
      <c r="C76" t="s">
        <v>275</v>
      </c>
      <c r="D76" t="s">
        <v>350</v>
      </c>
      <c r="E76" t="s">
        <v>274</v>
      </c>
      <c r="F76" t="s">
        <v>320</v>
      </c>
      <c r="G76" t="s">
        <v>480</v>
      </c>
      <c r="H76" s="67">
        <v>359.39</v>
      </c>
      <c r="L76" s="67"/>
    </row>
    <row r="77" spans="1:12" x14ac:dyDescent="0.35">
      <c r="A77" t="s">
        <v>175</v>
      </c>
      <c r="B77" t="s">
        <v>197</v>
      </c>
      <c r="C77" t="s">
        <v>275</v>
      </c>
      <c r="D77" t="s">
        <v>351</v>
      </c>
      <c r="E77" t="s">
        <v>274</v>
      </c>
      <c r="F77" t="s">
        <v>320</v>
      </c>
      <c r="G77" t="s">
        <v>480</v>
      </c>
      <c r="H77" s="67">
        <v>460.75</v>
      </c>
      <c r="L77" s="67"/>
    </row>
    <row r="78" spans="1:12" x14ac:dyDescent="0.35">
      <c r="A78" t="s">
        <v>175</v>
      </c>
      <c r="B78" t="s">
        <v>197</v>
      </c>
      <c r="C78" t="s">
        <v>275</v>
      </c>
      <c r="D78" t="s">
        <v>352</v>
      </c>
      <c r="E78" t="s">
        <v>274</v>
      </c>
      <c r="F78" t="s">
        <v>319</v>
      </c>
      <c r="G78" t="s">
        <v>481</v>
      </c>
      <c r="H78" s="67">
        <v>552.24</v>
      </c>
      <c r="L78" s="67"/>
    </row>
    <row r="79" spans="1:12" x14ac:dyDescent="0.35">
      <c r="A79" t="s">
        <v>175</v>
      </c>
      <c r="B79" t="s">
        <v>227</v>
      </c>
      <c r="C79" t="s">
        <v>275</v>
      </c>
      <c r="D79" t="s">
        <v>353</v>
      </c>
      <c r="E79" t="s">
        <v>274</v>
      </c>
      <c r="F79" t="s">
        <v>321</v>
      </c>
      <c r="G79" t="s">
        <v>480</v>
      </c>
      <c r="H79" s="67">
        <v>453</v>
      </c>
      <c r="L79" s="67"/>
    </row>
    <row r="80" spans="1:12" x14ac:dyDescent="0.35">
      <c r="A80" t="s">
        <v>175</v>
      </c>
      <c r="B80" t="s">
        <v>198</v>
      </c>
      <c r="C80" t="s">
        <v>275</v>
      </c>
      <c r="D80" t="s">
        <v>354</v>
      </c>
      <c r="E80" t="s">
        <v>274</v>
      </c>
      <c r="F80" t="s">
        <v>320</v>
      </c>
      <c r="G80" t="s">
        <v>480</v>
      </c>
      <c r="H80" s="67">
        <v>331.74</v>
      </c>
      <c r="L80" s="67"/>
    </row>
    <row r="81" spans="1:12" x14ac:dyDescent="0.35">
      <c r="A81" t="s">
        <v>175</v>
      </c>
      <c r="B81" t="s">
        <v>199</v>
      </c>
      <c r="C81" t="s">
        <v>275</v>
      </c>
      <c r="D81" t="s">
        <v>355</v>
      </c>
      <c r="E81" t="s">
        <v>274</v>
      </c>
      <c r="F81" t="s">
        <v>319</v>
      </c>
      <c r="G81" t="s">
        <v>481</v>
      </c>
      <c r="H81" s="67">
        <v>552.24</v>
      </c>
      <c r="L81" s="67"/>
    </row>
    <row r="82" spans="1:12" x14ac:dyDescent="0.35">
      <c r="A82" t="s">
        <v>175</v>
      </c>
      <c r="B82" t="s">
        <v>199</v>
      </c>
      <c r="C82" t="s">
        <v>275</v>
      </c>
      <c r="D82" t="s">
        <v>356</v>
      </c>
      <c r="E82" t="s">
        <v>274</v>
      </c>
      <c r="F82" t="s">
        <v>319</v>
      </c>
      <c r="G82" t="s">
        <v>481</v>
      </c>
      <c r="H82" s="67">
        <v>552.24</v>
      </c>
      <c r="L82" s="67"/>
    </row>
    <row r="83" spans="1:12" x14ac:dyDescent="0.35">
      <c r="A83" t="s">
        <v>175</v>
      </c>
      <c r="B83" t="s">
        <v>228</v>
      </c>
      <c r="C83" t="s">
        <v>275</v>
      </c>
      <c r="D83" t="s">
        <v>357</v>
      </c>
      <c r="E83" t="s">
        <v>274</v>
      </c>
      <c r="F83" t="s">
        <v>319</v>
      </c>
      <c r="G83" t="s">
        <v>481</v>
      </c>
      <c r="H83" s="67">
        <v>529.23</v>
      </c>
      <c r="L83" s="67"/>
    </row>
    <row r="84" spans="1:12" x14ac:dyDescent="0.35">
      <c r="A84" t="s">
        <v>175</v>
      </c>
      <c r="B84" t="s">
        <v>229</v>
      </c>
      <c r="C84" t="s">
        <v>275</v>
      </c>
      <c r="D84" t="s">
        <v>358</v>
      </c>
      <c r="E84" t="s">
        <v>274</v>
      </c>
      <c r="F84" t="s">
        <v>321</v>
      </c>
      <c r="G84" t="s">
        <v>480</v>
      </c>
      <c r="H84" s="67">
        <v>434.88</v>
      </c>
      <c r="L84" s="67"/>
    </row>
    <row r="85" spans="1:12" x14ac:dyDescent="0.35">
      <c r="A85" t="s">
        <v>175</v>
      </c>
      <c r="B85" t="s">
        <v>230</v>
      </c>
      <c r="C85" t="s">
        <v>275</v>
      </c>
      <c r="D85" t="s">
        <v>359</v>
      </c>
      <c r="E85" t="s">
        <v>274</v>
      </c>
      <c r="F85" t="s">
        <v>321</v>
      </c>
      <c r="G85" t="s">
        <v>480</v>
      </c>
      <c r="H85" s="67">
        <v>434.88</v>
      </c>
      <c r="L85" s="67"/>
    </row>
    <row r="86" spans="1:12" x14ac:dyDescent="0.35">
      <c r="A86" t="s">
        <v>175</v>
      </c>
      <c r="B86" t="s">
        <v>230</v>
      </c>
      <c r="C86" t="s">
        <v>275</v>
      </c>
      <c r="D86" t="s">
        <v>360</v>
      </c>
      <c r="E86" t="s">
        <v>274</v>
      </c>
      <c r="F86" t="s">
        <v>319</v>
      </c>
      <c r="G86" t="s">
        <v>481</v>
      </c>
      <c r="H86" s="67">
        <v>356.66</v>
      </c>
      <c r="L86" s="67"/>
    </row>
    <row r="87" spans="1:12" x14ac:dyDescent="0.35">
      <c r="A87" t="s">
        <v>175</v>
      </c>
      <c r="B87" t="s">
        <v>202</v>
      </c>
      <c r="C87" t="s">
        <v>275</v>
      </c>
      <c r="D87" t="s">
        <v>361</v>
      </c>
      <c r="E87" t="s">
        <v>274</v>
      </c>
      <c r="F87" t="s">
        <v>337</v>
      </c>
      <c r="G87" t="s">
        <v>481</v>
      </c>
      <c r="H87" s="67">
        <v>552.24</v>
      </c>
      <c r="L87" s="67"/>
    </row>
    <row r="88" spans="1:12" x14ac:dyDescent="0.35">
      <c r="A88" t="s">
        <v>175</v>
      </c>
      <c r="B88" t="s">
        <v>202</v>
      </c>
      <c r="C88" t="s">
        <v>275</v>
      </c>
      <c r="D88" t="s">
        <v>362</v>
      </c>
      <c r="E88" t="s">
        <v>274</v>
      </c>
      <c r="F88" t="s">
        <v>337</v>
      </c>
      <c r="G88" t="s">
        <v>481</v>
      </c>
      <c r="H88" s="67">
        <v>552.24</v>
      </c>
      <c r="L88" s="67"/>
    </row>
    <row r="89" spans="1:12" x14ac:dyDescent="0.35">
      <c r="A89" t="s">
        <v>175</v>
      </c>
      <c r="B89" t="s">
        <v>231</v>
      </c>
      <c r="C89" t="s">
        <v>275</v>
      </c>
      <c r="D89" t="s">
        <v>363</v>
      </c>
      <c r="E89" t="s">
        <v>274</v>
      </c>
      <c r="F89" t="s">
        <v>321</v>
      </c>
      <c r="G89" t="s">
        <v>480</v>
      </c>
      <c r="H89" s="67">
        <v>434.88</v>
      </c>
      <c r="L89" s="67"/>
    </row>
    <row r="90" spans="1:12" x14ac:dyDescent="0.35">
      <c r="A90" t="s">
        <v>175</v>
      </c>
      <c r="B90" t="s">
        <v>232</v>
      </c>
      <c r="C90" t="s">
        <v>275</v>
      </c>
      <c r="D90" t="s">
        <v>364</v>
      </c>
      <c r="E90" t="s">
        <v>274</v>
      </c>
      <c r="F90" t="s">
        <v>337</v>
      </c>
      <c r="G90" t="s">
        <v>481</v>
      </c>
      <c r="H90" s="67">
        <v>506.22</v>
      </c>
      <c r="L90" s="67"/>
    </row>
    <row r="91" spans="1:12" x14ac:dyDescent="0.35">
      <c r="A91" t="s">
        <v>175</v>
      </c>
      <c r="B91" t="s">
        <v>232</v>
      </c>
      <c r="C91" t="s">
        <v>275</v>
      </c>
      <c r="D91" t="s">
        <v>365</v>
      </c>
      <c r="E91" t="s">
        <v>274</v>
      </c>
      <c r="F91" t="s">
        <v>337</v>
      </c>
      <c r="G91" t="s">
        <v>481</v>
      </c>
      <c r="H91" s="67">
        <v>552.24</v>
      </c>
      <c r="L91" s="67"/>
    </row>
    <row r="92" spans="1:12" x14ac:dyDescent="0.35">
      <c r="A92" t="s">
        <v>175</v>
      </c>
      <c r="B92" t="s">
        <v>203</v>
      </c>
      <c r="C92" t="s">
        <v>275</v>
      </c>
      <c r="D92" t="s">
        <v>366</v>
      </c>
      <c r="E92" t="s">
        <v>274</v>
      </c>
      <c r="F92" t="s">
        <v>337</v>
      </c>
      <c r="G92" t="s">
        <v>481</v>
      </c>
      <c r="H92" s="67">
        <v>368.16</v>
      </c>
      <c r="L92" s="67"/>
    </row>
    <row r="93" spans="1:12" x14ac:dyDescent="0.35">
      <c r="A93" t="s">
        <v>175</v>
      </c>
      <c r="B93" t="s">
        <v>233</v>
      </c>
      <c r="C93" t="s">
        <v>275</v>
      </c>
      <c r="D93" t="s">
        <v>367</v>
      </c>
      <c r="E93" t="s">
        <v>274</v>
      </c>
      <c r="F93" t="s">
        <v>337</v>
      </c>
      <c r="G93" t="s">
        <v>481</v>
      </c>
      <c r="H93" s="67">
        <v>483.21</v>
      </c>
      <c r="L93" s="67"/>
    </row>
    <row r="94" spans="1:12" x14ac:dyDescent="0.35">
      <c r="A94" t="s">
        <v>175</v>
      </c>
      <c r="B94" t="s">
        <v>204</v>
      </c>
      <c r="C94" t="s">
        <v>275</v>
      </c>
      <c r="D94" t="s">
        <v>368</v>
      </c>
      <c r="E94" t="s">
        <v>274</v>
      </c>
      <c r="F94" t="s">
        <v>337</v>
      </c>
      <c r="G94" t="s">
        <v>481</v>
      </c>
      <c r="H94" s="67">
        <v>184.08</v>
      </c>
      <c r="L94" s="67"/>
    </row>
    <row r="95" spans="1:12" x14ac:dyDescent="0.35">
      <c r="A95" t="s">
        <v>175</v>
      </c>
      <c r="B95" t="s">
        <v>205</v>
      </c>
      <c r="C95" t="s">
        <v>275</v>
      </c>
      <c r="D95" t="s">
        <v>369</v>
      </c>
      <c r="E95" t="s">
        <v>274</v>
      </c>
      <c r="F95" t="s">
        <v>337</v>
      </c>
      <c r="G95" t="s">
        <v>481</v>
      </c>
      <c r="H95" s="67">
        <v>161.07</v>
      </c>
      <c r="L95" s="67"/>
    </row>
    <row r="96" spans="1:12" x14ac:dyDescent="0.35">
      <c r="A96" t="s">
        <v>175</v>
      </c>
      <c r="B96" t="s">
        <v>205</v>
      </c>
      <c r="C96" t="s">
        <v>275</v>
      </c>
      <c r="D96" t="s">
        <v>370</v>
      </c>
      <c r="E96" t="s">
        <v>274</v>
      </c>
      <c r="F96" t="s">
        <v>337</v>
      </c>
      <c r="G96" t="s">
        <v>481</v>
      </c>
      <c r="H96" s="67">
        <v>494.72</v>
      </c>
      <c r="L96" s="67"/>
    </row>
    <row r="97" spans="1:12" x14ac:dyDescent="0.35">
      <c r="A97" t="s">
        <v>175</v>
      </c>
      <c r="B97" t="s">
        <v>234</v>
      </c>
      <c r="C97" t="s">
        <v>275</v>
      </c>
      <c r="D97" t="s">
        <v>371</v>
      </c>
      <c r="E97" t="s">
        <v>274</v>
      </c>
      <c r="F97" t="s">
        <v>321</v>
      </c>
      <c r="G97" t="s">
        <v>480</v>
      </c>
      <c r="H97" s="67">
        <v>652.52</v>
      </c>
      <c r="L97" s="67"/>
    </row>
    <row r="98" spans="1:12" x14ac:dyDescent="0.35">
      <c r="A98" t="s">
        <v>175</v>
      </c>
      <c r="B98" t="s">
        <v>206</v>
      </c>
      <c r="C98" t="s">
        <v>275</v>
      </c>
      <c r="D98" t="s">
        <v>372</v>
      </c>
      <c r="E98" t="s">
        <v>274</v>
      </c>
      <c r="F98" t="s">
        <v>321</v>
      </c>
      <c r="G98" t="s">
        <v>480</v>
      </c>
      <c r="H98" s="67">
        <v>579.84</v>
      </c>
      <c r="L98" s="67"/>
    </row>
    <row r="99" spans="1:12" x14ac:dyDescent="0.35">
      <c r="A99" t="s">
        <v>175</v>
      </c>
      <c r="B99" t="s">
        <v>208</v>
      </c>
      <c r="C99" t="s">
        <v>275</v>
      </c>
      <c r="D99" t="s">
        <v>373</v>
      </c>
      <c r="E99" t="s">
        <v>274</v>
      </c>
      <c r="F99" t="s">
        <v>337</v>
      </c>
      <c r="G99" t="s">
        <v>481</v>
      </c>
      <c r="H99" s="67">
        <v>437.19</v>
      </c>
      <c r="L99" s="67"/>
    </row>
    <row r="100" spans="1:12" x14ac:dyDescent="0.35">
      <c r="A100" t="s">
        <v>175</v>
      </c>
      <c r="B100" t="s">
        <v>208</v>
      </c>
      <c r="C100" t="s">
        <v>275</v>
      </c>
      <c r="D100" t="s">
        <v>374</v>
      </c>
      <c r="E100" t="s">
        <v>274</v>
      </c>
      <c r="F100" t="s">
        <v>337</v>
      </c>
      <c r="G100" t="s">
        <v>481</v>
      </c>
      <c r="H100" s="67">
        <v>552.24</v>
      </c>
      <c r="L100" s="67"/>
    </row>
    <row r="101" spans="1:12" x14ac:dyDescent="0.35">
      <c r="A101" t="s">
        <v>175</v>
      </c>
      <c r="B101" t="s">
        <v>208</v>
      </c>
      <c r="C101" t="s">
        <v>275</v>
      </c>
      <c r="D101" t="s">
        <v>375</v>
      </c>
      <c r="E101" t="s">
        <v>274</v>
      </c>
      <c r="F101" t="s">
        <v>337</v>
      </c>
      <c r="G101" t="s">
        <v>481</v>
      </c>
      <c r="H101" s="67">
        <v>368.16</v>
      </c>
      <c r="L101" s="67"/>
    </row>
    <row r="102" spans="1:12" x14ac:dyDescent="0.35">
      <c r="A102" t="s">
        <v>175</v>
      </c>
      <c r="B102" t="s">
        <v>235</v>
      </c>
      <c r="C102" t="s">
        <v>275</v>
      </c>
      <c r="D102" t="s">
        <v>376</v>
      </c>
      <c r="E102" t="s">
        <v>274</v>
      </c>
      <c r="F102" t="s">
        <v>321</v>
      </c>
      <c r="G102" t="s">
        <v>480</v>
      </c>
      <c r="H102" s="67">
        <v>724.8</v>
      </c>
      <c r="L102" s="67"/>
    </row>
    <row r="103" spans="1:12" x14ac:dyDescent="0.35">
      <c r="A103" t="s">
        <v>175</v>
      </c>
      <c r="B103" t="s">
        <v>235</v>
      </c>
      <c r="C103" t="s">
        <v>275</v>
      </c>
      <c r="D103" t="s">
        <v>377</v>
      </c>
      <c r="E103" t="s">
        <v>274</v>
      </c>
      <c r="F103" t="s">
        <v>321</v>
      </c>
      <c r="G103" t="s">
        <v>480</v>
      </c>
      <c r="H103" s="67">
        <v>688.56</v>
      </c>
      <c r="L103" s="67"/>
    </row>
    <row r="104" spans="1:12" x14ac:dyDescent="0.35">
      <c r="A104" t="s">
        <v>175</v>
      </c>
      <c r="B104" t="s">
        <v>235</v>
      </c>
      <c r="C104" t="s">
        <v>275</v>
      </c>
      <c r="D104" t="s">
        <v>378</v>
      </c>
      <c r="E104" t="s">
        <v>274</v>
      </c>
      <c r="F104" t="s">
        <v>321</v>
      </c>
      <c r="G104" t="s">
        <v>480</v>
      </c>
      <c r="H104" s="67">
        <v>724.8</v>
      </c>
      <c r="L104" s="67"/>
    </row>
    <row r="105" spans="1:12" x14ac:dyDescent="0.35">
      <c r="A105" t="s">
        <v>175</v>
      </c>
      <c r="B105" t="s">
        <v>235</v>
      </c>
      <c r="C105" t="s">
        <v>275</v>
      </c>
      <c r="D105" t="s">
        <v>379</v>
      </c>
      <c r="E105" t="s">
        <v>274</v>
      </c>
      <c r="F105" t="s">
        <v>321</v>
      </c>
      <c r="G105" t="s">
        <v>480</v>
      </c>
      <c r="H105" s="67">
        <v>579.84</v>
      </c>
      <c r="L105" s="67"/>
    </row>
    <row r="106" spans="1:12" x14ac:dyDescent="0.35">
      <c r="A106" t="s">
        <v>175</v>
      </c>
      <c r="B106" t="s">
        <v>209</v>
      </c>
      <c r="C106" t="s">
        <v>275</v>
      </c>
      <c r="D106" t="s">
        <v>380</v>
      </c>
      <c r="E106" t="s">
        <v>274</v>
      </c>
      <c r="F106" t="s">
        <v>337</v>
      </c>
      <c r="G106" t="s">
        <v>481</v>
      </c>
      <c r="H106" s="67">
        <v>552.24</v>
      </c>
      <c r="L106" s="67"/>
    </row>
    <row r="107" spans="1:12" x14ac:dyDescent="0.35">
      <c r="A107" t="s">
        <v>175</v>
      </c>
      <c r="B107" t="s">
        <v>210</v>
      </c>
      <c r="C107" t="s">
        <v>275</v>
      </c>
      <c r="D107" t="s">
        <v>381</v>
      </c>
      <c r="E107" t="s">
        <v>274</v>
      </c>
      <c r="F107" t="s">
        <v>337</v>
      </c>
      <c r="G107" t="s">
        <v>481</v>
      </c>
      <c r="H107" s="67">
        <v>483.21</v>
      </c>
      <c r="L107" s="67"/>
    </row>
    <row r="108" spans="1:12" x14ac:dyDescent="0.35">
      <c r="A108" t="s">
        <v>175</v>
      </c>
      <c r="B108" t="s">
        <v>210</v>
      </c>
      <c r="C108" t="s">
        <v>275</v>
      </c>
      <c r="D108" t="s">
        <v>382</v>
      </c>
      <c r="E108" t="s">
        <v>274</v>
      </c>
      <c r="F108" t="s">
        <v>337</v>
      </c>
      <c r="G108" t="s">
        <v>481</v>
      </c>
      <c r="H108" s="67">
        <v>460.2</v>
      </c>
      <c r="L108" s="67"/>
    </row>
    <row r="109" spans="1:12" x14ac:dyDescent="0.35">
      <c r="A109" t="s">
        <v>175</v>
      </c>
      <c r="B109" t="s">
        <v>236</v>
      </c>
      <c r="C109" t="s">
        <v>275</v>
      </c>
      <c r="D109" t="s">
        <v>383</v>
      </c>
      <c r="E109" t="s">
        <v>274</v>
      </c>
      <c r="F109" t="s">
        <v>321</v>
      </c>
      <c r="G109" t="s">
        <v>480</v>
      </c>
      <c r="H109" s="67">
        <v>579.84</v>
      </c>
      <c r="L109" s="67"/>
    </row>
    <row r="110" spans="1:12" x14ac:dyDescent="0.35">
      <c r="A110" t="s">
        <v>175</v>
      </c>
      <c r="B110" t="s">
        <v>236</v>
      </c>
      <c r="C110" t="s">
        <v>275</v>
      </c>
      <c r="D110" t="s">
        <v>384</v>
      </c>
      <c r="E110" t="s">
        <v>274</v>
      </c>
      <c r="F110" t="s">
        <v>321</v>
      </c>
      <c r="G110" t="s">
        <v>480</v>
      </c>
      <c r="H110" s="67">
        <v>1195.92</v>
      </c>
      <c r="L110" s="67"/>
    </row>
    <row r="111" spans="1:12" x14ac:dyDescent="0.35">
      <c r="A111" t="s">
        <v>175</v>
      </c>
      <c r="B111" t="s">
        <v>211</v>
      </c>
      <c r="C111" t="s">
        <v>275</v>
      </c>
      <c r="D111" t="s">
        <v>385</v>
      </c>
      <c r="E111" t="s">
        <v>274</v>
      </c>
      <c r="F111" t="s">
        <v>337</v>
      </c>
      <c r="G111" t="s">
        <v>481</v>
      </c>
      <c r="H111" s="67">
        <v>368.16</v>
      </c>
      <c r="L111" s="67"/>
    </row>
    <row r="112" spans="1:12" x14ac:dyDescent="0.35">
      <c r="A112" t="s">
        <v>175</v>
      </c>
      <c r="B112" t="s">
        <v>211</v>
      </c>
      <c r="C112" t="s">
        <v>275</v>
      </c>
      <c r="D112" t="s">
        <v>386</v>
      </c>
      <c r="E112" t="s">
        <v>274</v>
      </c>
      <c r="F112" t="s">
        <v>337</v>
      </c>
      <c r="G112" t="s">
        <v>481</v>
      </c>
      <c r="H112" s="67">
        <v>563.75</v>
      </c>
      <c r="L112" s="67"/>
    </row>
    <row r="113" spans="1:12" x14ac:dyDescent="0.35">
      <c r="A113" t="s">
        <v>175</v>
      </c>
      <c r="B113" t="s">
        <v>237</v>
      </c>
      <c r="C113" t="s">
        <v>275</v>
      </c>
      <c r="D113" t="s">
        <v>387</v>
      </c>
      <c r="E113" t="s">
        <v>274</v>
      </c>
      <c r="F113" t="s">
        <v>337</v>
      </c>
      <c r="G113" t="s">
        <v>481</v>
      </c>
      <c r="H113" s="67">
        <v>529.23</v>
      </c>
      <c r="L113" s="67"/>
    </row>
    <row r="114" spans="1:12" x14ac:dyDescent="0.35">
      <c r="A114" t="s">
        <v>175</v>
      </c>
      <c r="B114" t="s">
        <v>212</v>
      </c>
      <c r="C114" t="s">
        <v>275</v>
      </c>
      <c r="D114" t="s">
        <v>388</v>
      </c>
      <c r="E114" t="s">
        <v>274</v>
      </c>
      <c r="F114" t="s">
        <v>337</v>
      </c>
      <c r="G114" t="s">
        <v>481</v>
      </c>
      <c r="H114" s="67">
        <v>552.24</v>
      </c>
      <c r="L114" s="67"/>
    </row>
    <row r="115" spans="1:12" x14ac:dyDescent="0.35">
      <c r="A115" t="s">
        <v>175</v>
      </c>
      <c r="B115" t="s">
        <v>212</v>
      </c>
      <c r="C115" t="s">
        <v>275</v>
      </c>
      <c r="D115" t="s">
        <v>389</v>
      </c>
      <c r="E115" t="s">
        <v>274</v>
      </c>
      <c r="F115" t="s">
        <v>337</v>
      </c>
      <c r="G115" t="s">
        <v>481</v>
      </c>
      <c r="H115" s="67">
        <v>529.23</v>
      </c>
      <c r="L115" s="67"/>
    </row>
    <row r="116" spans="1:12" x14ac:dyDescent="0.35">
      <c r="A116" t="s">
        <v>175</v>
      </c>
      <c r="B116" t="s">
        <v>212</v>
      </c>
      <c r="C116" t="s">
        <v>275</v>
      </c>
      <c r="D116" t="s">
        <v>390</v>
      </c>
      <c r="E116" t="s">
        <v>274</v>
      </c>
      <c r="F116" t="s">
        <v>337</v>
      </c>
      <c r="G116" t="s">
        <v>481</v>
      </c>
      <c r="H116" s="67">
        <v>552.24</v>
      </c>
      <c r="L116" s="67"/>
    </row>
    <row r="117" spans="1:12" x14ac:dyDescent="0.35">
      <c r="A117" t="s">
        <v>175</v>
      </c>
      <c r="B117" t="s">
        <v>212</v>
      </c>
      <c r="C117" t="s">
        <v>275</v>
      </c>
      <c r="D117" t="s">
        <v>391</v>
      </c>
      <c r="E117" t="s">
        <v>274</v>
      </c>
      <c r="F117" t="s">
        <v>337</v>
      </c>
      <c r="G117" t="s">
        <v>481</v>
      </c>
      <c r="H117" s="67">
        <v>437.19</v>
      </c>
      <c r="L117" s="67"/>
    </row>
    <row r="118" spans="1:12" x14ac:dyDescent="0.35">
      <c r="A118" t="s">
        <v>175</v>
      </c>
      <c r="B118" t="s">
        <v>212</v>
      </c>
      <c r="C118" t="s">
        <v>275</v>
      </c>
      <c r="D118" t="s">
        <v>392</v>
      </c>
      <c r="E118" t="s">
        <v>274</v>
      </c>
      <c r="F118" t="s">
        <v>337</v>
      </c>
      <c r="G118" t="s">
        <v>481</v>
      </c>
      <c r="H118" s="67">
        <v>368.16</v>
      </c>
      <c r="L118" s="67"/>
    </row>
    <row r="119" spans="1:12" x14ac:dyDescent="0.35">
      <c r="A119" t="s">
        <v>175</v>
      </c>
      <c r="B119" t="s">
        <v>238</v>
      </c>
      <c r="C119" t="s">
        <v>275</v>
      </c>
      <c r="D119" t="s">
        <v>393</v>
      </c>
      <c r="E119" t="s">
        <v>274</v>
      </c>
      <c r="F119" t="s">
        <v>321</v>
      </c>
      <c r="G119" t="s">
        <v>480</v>
      </c>
      <c r="H119" s="67">
        <v>1014.72</v>
      </c>
      <c r="L119" s="67"/>
    </row>
    <row r="120" spans="1:12" x14ac:dyDescent="0.35">
      <c r="A120" t="s">
        <v>175</v>
      </c>
      <c r="B120" t="s">
        <v>239</v>
      </c>
      <c r="C120" t="s">
        <v>275</v>
      </c>
      <c r="D120" t="s">
        <v>394</v>
      </c>
      <c r="E120" t="s">
        <v>274</v>
      </c>
      <c r="F120" t="s">
        <v>337</v>
      </c>
      <c r="G120" t="s">
        <v>481</v>
      </c>
      <c r="H120" s="67">
        <v>552.24</v>
      </c>
      <c r="L120" s="67"/>
    </row>
    <row r="121" spans="1:12" x14ac:dyDescent="0.35">
      <c r="A121" t="s">
        <v>175</v>
      </c>
      <c r="B121" t="s">
        <v>214</v>
      </c>
      <c r="C121" t="s">
        <v>275</v>
      </c>
      <c r="D121" t="s">
        <v>395</v>
      </c>
      <c r="E121" t="s">
        <v>274</v>
      </c>
      <c r="F121" t="s">
        <v>337</v>
      </c>
      <c r="G121" t="s">
        <v>481</v>
      </c>
      <c r="H121" s="67">
        <v>483.21</v>
      </c>
      <c r="L121" s="67"/>
    </row>
    <row r="122" spans="1:12" x14ac:dyDescent="0.35">
      <c r="A122" t="s">
        <v>175</v>
      </c>
      <c r="B122" t="s">
        <v>240</v>
      </c>
      <c r="C122" t="s">
        <v>276</v>
      </c>
      <c r="D122" t="s">
        <v>396</v>
      </c>
      <c r="E122" t="s">
        <v>171</v>
      </c>
      <c r="F122" t="s">
        <v>171</v>
      </c>
      <c r="G122" t="s">
        <v>171</v>
      </c>
      <c r="H122" s="67">
        <v>500</v>
      </c>
      <c r="L122" s="67"/>
    </row>
    <row r="123" spans="1:12" x14ac:dyDescent="0.35">
      <c r="A123" t="s">
        <v>175</v>
      </c>
      <c r="B123" t="s">
        <v>241</v>
      </c>
      <c r="C123" t="s">
        <v>275</v>
      </c>
      <c r="D123" t="s">
        <v>397</v>
      </c>
      <c r="E123" t="s">
        <v>274</v>
      </c>
      <c r="F123" t="s">
        <v>337</v>
      </c>
      <c r="G123" t="s">
        <v>481</v>
      </c>
      <c r="H123" s="67">
        <v>552.24</v>
      </c>
      <c r="L123" s="67"/>
    </row>
    <row r="124" spans="1:12" x14ac:dyDescent="0.35">
      <c r="A124" t="s">
        <v>175</v>
      </c>
      <c r="B124" t="s">
        <v>241</v>
      </c>
      <c r="C124" t="s">
        <v>275</v>
      </c>
      <c r="D124" t="s">
        <v>398</v>
      </c>
      <c r="E124" t="s">
        <v>274</v>
      </c>
      <c r="F124" t="s">
        <v>321</v>
      </c>
      <c r="G124" t="s">
        <v>480</v>
      </c>
      <c r="H124" s="67">
        <v>1304.6400000000001</v>
      </c>
      <c r="L124" s="67"/>
    </row>
    <row r="125" spans="1:12" x14ac:dyDescent="0.35">
      <c r="A125" t="s">
        <v>175</v>
      </c>
      <c r="B125" t="s">
        <v>242</v>
      </c>
      <c r="C125" t="s">
        <v>275</v>
      </c>
      <c r="D125" t="s">
        <v>399</v>
      </c>
      <c r="E125" t="s">
        <v>274</v>
      </c>
      <c r="F125" t="s">
        <v>321</v>
      </c>
      <c r="G125" t="s">
        <v>480</v>
      </c>
      <c r="H125" s="67">
        <v>1449.6</v>
      </c>
      <c r="L125" s="67"/>
    </row>
    <row r="126" spans="1:12" x14ac:dyDescent="0.35">
      <c r="A126" t="s">
        <v>175</v>
      </c>
      <c r="B126" t="s">
        <v>215</v>
      </c>
      <c r="C126" t="s">
        <v>275</v>
      </c>
      <c r="D126" t="s">
        <v>400</v>
      </c>
      <c r="E126" t="s">
        <v>274</v>
      </c>
      <c r="F126" t="s">
        <v>337</v>
      </c>
      <c r="G126" t="s">
        <v>481</v>
      </c>
      <c r="H126" s="67">
        <v>368.16</v>
      </c>
      <c r="L126" s="67"/>
    </row>
    <row r="127" spans="1:12" x14ac:dyDescent="0.35">
      <c r="A127" t="s">
        <v>175</v>
      </c>
      <c r="B127" t="s">
        <v>215</v>
      </c>
      <c r="C127" t="s">
        <v>275</v>
      </c>
      <c r="D127" t="s">
        <v>401</v>
      </c>
      <c r="E127" t="s">
        <v>274</v>
      </c>
      <c r="F127" t="s">
        <v>337</v>
      </c>
      <c r="G127" t="s">
        <v>481</v>
      </c>
      <c r="H127" s="67">
        <v>552.24</v>
      </c>
      <c r="L127" s="67"/>
    </row>
    <row r="128" spans="1:12" x14ac:dyDescent="0.35">
      <c r="A128" t="s">
        <v>175</v>
      </c>
      <c r="B128" t="s">
        <v>215</v>
      </c>
      <c r="C128" t="s">
        <v>275</v>
      </c>
      <c r="D128" t="s">
        <v>402</v>
      </c>
      <c r="E128" t="s">
        <v>274</v>
      </c>
      <c r="F128" t="s">
        <v>321</v>
      </c>
      <c r="G128" t="s">
        <v>480</v>
      </c>
      <c r="H128" s="67">
        <v>1449.6</v>
      </c>
      <c r="L128" s="67"/>
    </row>
    <row r="129" spans="1:12" x14ac:dyDescent="0.35">
      <c r="A129" t="s">
        <v>175</v>
      </c>
      <c r="B129" t="s">
        <v>215</v>
      </c>
      <c r="C129" t="s">
        <v>275</v>
      </c>
      <c r="D129" t="s">
        <v>403</v>
      </c>
      <c r="E129" t="s">
        <v>274</v>
      </c>
      <c r="F129" t="s">
        <v>337</v>
      </c>
      <c r="G129" t="s">
        <v>481</v>
      </c>
      <c r="H129" s="67">
        <v>552.24</v>
      </c>
      <c r="L129" s="67"/>
    </row>
    <row r="130" spans="1:12" x14ac:dyDescent="0.35">
      <c r="A130" t="s">
        <v>175</v>
      </c>
      <c r="B130" t="s">
        <v>215</v>
      </c>
      <c r="C130" t="s">
        <v>275</v>
      </c>
      <c r="D130" t="s">
        <v>404</v>
      </c>
      <c r="E130" t="s">
        <v>274</v>
      </c>
      <c r="F130" t="s">
        <v>321</v>
      </c>
      <c r="G130" t="s">
        <v>480</v>
      </c>
      <c r="H130" s="67">
        <v>724.8</v>
      </c>
      <c r="L130" s="67"/>
    </row>
    <row r="131" spans="1:12" x14ac:dyDescent="0.35">
      <c r="A131" t="s">
        <v>175</v>
      </c>
      <c r="B131" t="s">
        <v>216</v>
      </c>
      <c r="C131" t="s">
        <v>275</v>
      </c>
      <c r="D131" t="s">
        <v>405</v>
      </c>
      <c r="E131" t="s">
        <v>274</v>
      </c>
      <c r="F131" t="s">
        <v>337</v>
      </c>
      <c r="G131" t="s">
        <v>481</v>
      </c>
      <c r="H131" s="67">
        <v>552.24</v>
      </c>
      <c r="L131" s="67"/>
    </row>
    <row r="132" spans="1:12" x14ac:dyDescent="0.35">
      <c r="A132" t="s">
        <v>175</v>
      </c>
      <c r="B132" t="s">
        <v>216</v>
      </c>
      <c r="C132" t="s">
        <v>275</v>
      </c>
      <c r="D132" t="s">
        <v>406</v>
      </c>
      <c r="E132" t="s">
        <v>274</v>
      </c>
      <c r="F132" t="s">
        <v>337</v>
      </c>
      <c r="G132" t="s">
        <v>481</v>
      </c>
      <c r="H132" s="67">
        <v>552.24</v>
      </c>
      <c r="L132" s="67"/>
    </row>
    <row r="133" spans="1:12" x14ac:dyDescent="0.35">
      <c r="A133" t="s">
        <v>175</v>
      </c>
      <c r="B133" t="s">
        <v>243</v>
      </c>
      <c r="C133" t="s">
        <v>275</v>
      </c>
      <c r="D133" t="s">
        <v>407</v>
      </c>
      <c r="E133" t="s">
        <v>274</v>
      </c>
      <c r="F133" t="s">
        <v>321</v>
      </c>
      <c r="G133" t="s">
        <v>480</v>
      </c>
      <c r="H133" s="67">
        <v>434.88</v>
      </c>
      <c r="L133" s="67"/>
    </row>
    <row r="134" spans="1:12" x14ac:dyDescent="0.35">
      <c r="A134" t="s">
        <v>175</v>
      </c>
      <c r="B134" t="s">
        <v>243</v>
      </c>
      <c r="C134" t="s">
        <v>275</v>
      </c>
      <c r="D134" t="s">
        <v>408</v>
      </c>
      <c r="E134" t="s">
        <v>274</v>
      </c>
      <c r="F134" t="s">
        <v>337</v>
      </c>
      <c r="G134" t="s">
        <v>481</v>
      </c>
      <c r="H134" s="67">
        <v>368.16</v>
      </c>
      <c r="L134" s="67"/>
    </row>
    <row r="135" spans="1:12" x14ac:dyDescent="0.35">
      <c r="A135" t="s">
        <v>175</v>
      </c>
      <c r="B135" t="s">
        <v>244</v>
      </c>
      <c r="C135" t="s">
        <v>275</v>
      </c>
      <c r="D135" t="s">
        <v>409</v>
      </c>
      <c r="E135" t="s">
        <v>274</v>
      </c>
      <c r="F135" t="s">
        <v>321</v>
      </c>
      <c r="G135" t="s">
        <v>480</v>
      </c>
      <c r="H135" s="67">
        <v>670.44</v>
      </c>
      <c r="L135" s="67"/>
    </row>
    <row r="136" spans="1:12" x14ac:dyDescent="0.35">
      <c r="A136" t="s">
        <v>175</v>
      </c>
      <c r="B136" t="s">
        <v>244</v>
      </c>
      <c r="C136" t="s">
        <v>275</v>
      </c>
      <c r="D136" t="s">
        <v>410</v>
      </c>
      <c r="E136" t="s">
        <v>274</v>
      </c>
      <c r="F136" t="s">
        <v>321</v>
      </c>
      <c r="G136" t="s">
        <v>480</v>
      </c>
      <c r="H136" s="67">
        <v>525.48</v>
      </c>
      <c r="L136" s="67"/>
    </row>
    <row r="137" spans="1:12" x14ac:dyDescent="0.35">
      <c r="A137" s="68" t="s">
        <v>500</v>
      </c>
      <c r="B137" s="68"/>
      <c r="C137" s="68"/>
      <c r="D137" s="68"/>
      <c r="E137" s="68"/>
      <c r="F137" s="68"/>
      <c r="G137" s="68"/>
      <c r="H137" s="69">
        <v>46930.989999999991</v>
      </c>
      <c r="J137" s="68"/>
      <c r="K137" s="68"/>
      <c r="L137" s="69"/>
    </row>
    <row r="138" spans="1:12" x14ac:dyDescent="0.35">
      <c r="A138" t="s">
        <v>16</v>
      </c>
      <c r="H138" s="67">
        <v>62698.999999999993</v>
      </c>
      <c r="L138" s="6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249977111117893"/>
  </sheetPr>
  <dimension ref="A1:AS114"/>
  <sheetViews>
    <sheetView topLeftCell="Y1" zoomScale="80" zoomScaleNormal="80" workbookViewId="0">
      <selection activeCell="AR24" sqref="AR24"/>
    </sheetView>
  </sheetViews>
  <sheetFormatPr defaultRowHeight="14.5" x14ac:dyDescent="0.35"/>
  <cols>
    <col min="1" max="1" width="17.7265625" bestFit="1" customWidth="1"/>
    <col min="2" max="2" width="35" bestFit="1" customWidth="1"/>
    <col min="3" max="3" width="18.453125" style="5" bestFit="1" customWidth="1"/>
    <col min="4" max="13" width="14.81640625" style="5" bestFit="1" customWidth="1"/>
    <col min="14" max="18" width="14.81640625" bestFit="1" customWidth="1"/>
    <col min="19" max="19" width="15.81640625" bestFit="1" customWidth="1"/>
    <col min="20" max="26" width="15.81640625" customWidth="1"/>
    <col min="27" max="27" width="17.7265625" bestFit="1" customWidth="1"/>
    <col min="28" max="28" width="35.7265625" bestFit="1" customWidth="1"/>
    <col min="29" max="29" width="18.453125" bestFit="1" customWidth="1"/>
    <col min="30" max="44" width="13.81640625" bestFit="1" customWidth="1"/>
    <col min="45" max="45" width="15.1796875" bestFit="1" customWidth="1"/>
    <col min="46" max="49" width="10.54296875" customWidth="1"/>
    <col min="50" max="50" width="10.54296875" bestFit="1" customWidth="1"/>
    <col min="51" max="51" width="10.54296875" customWidth="1"/>
    <col min="52" max="52" width="10.54296875" bestFit="1" customWidth="1"/>
    <col min="53" max="54" width="11.54296875" bestFit="1" customWidth="1"/>
    <col min="55" max="55" width="10.54296875" customWidth="1"/>
    <col min="56" max="56" width="10.54296875" bestFit="1" customWidth="1"/>
    <col min="57" max="63" width="10.54296875" customWidth="1"/>
    <col min="64" max="64" width="11.453125" customWidth="1"/>
    <col min="65" max="66" width="10.54296875" customWidth="1"/>
    <col min="67" max="67" width="11.54296875" bestFit="1" customWidth="1"/>
    <col min="68" max="68" width="10.54296875" customWidth="1"/>
    <col min="69" max="69" width="11.54296875" bestFit="1" customWidth="1"/>
    <col min="70" max="70" width="10.54296875" customWidth="1"/>
    <col min="71" max="71" width="10.54296875" bestFit="1" customWidth="1"/>
    <col min="72" max="74" width="10.54296875" customWidth="1"/>
    <col min="75" max="75" width="11.54296875" bestFit="1" customWidth="1"/>
    <col min="76" max="79" width="10.54296875" customWidth="1"/>
    <col min="80" max="81" width="5.1796875" customWidth="1"/>
    <col min="82" max="82" width="11.54296875" bestFit="1" customWidth="1"/>
    <col min="83" max="92" width="10.54296875" customWidth="1"/>
    <col min="93" max="93" width="10.453125" customWidth="1"/>
    <col min="94" max="94" width="10.54296875" customWidth="1"/>
    <col min="95" max="95" width="11.54296875" bestFit="1" customWidth="1"/>
    <col min="96" max="99" width="10.54296875" customWidth="1"/>
    <col min="100" max="100" width="11.54296875" bestFit="1" customWidth="1"/>
    <col min="101" max="101" width="10.54296875" bestFit="1" customWidth="1"/>
    <col min="102" max="107" width="10.54296875" customWidth="1"/>
    <col min="108" max="109" width="5.1796875" customWidth="1"/>
    <col min="110" max="110" width="11.54296875" bestFit="1" customWidth="1"/>
    <col min="111" max="112" width="10.54296875" customWidth="1"/>
    <col min="113" max="113" width="10.54296875" bestFit="1" customWidth="1"/>
    <col min="114" max="119" width="10.54296875" customWidth="1"/>
    <col min="120" max="120" width="10.54296875" bestFit="1" customWidth="1"/>
    <col min="121" max="122" width="10.54296875" customWidth="1"/>
    <col min="123" max="124" width="5.1796875" customWidth="1"/>
    <col min="125" max="125" width="11.54296875" bestFit="1" customWidth="1"/>
    <col min="126" max="134" width="10.54296875" customWidth="1"/>
    <col min="135" max="135" width="11.54296875" bestFit="1" customWidth="1"/>
    <col min="136" max="136" width="10.54296875" customWidth="1"/>
    <col min="137" max="137" width="12.453125" bestFit="1" customWidth="1"/>
    <col min="138" max="138" width="11.54296875" customWidth="1"/>
    <col min="139" max="145" width="10.54296875" bestFit="1" customWidth="1"/>
    <col min="146" max="147" width="11.54296875" bestFit="1" customWidth="1"/>
    <col min="148" max="148" width="10.54296875" bestFit="1" customWidth="1"/>
    <col min="149" max="149" width="11.54296875" bestFit="1" customWidth="1"/>
    <col min="150" max="150" width="11.453125" bestFit="1" customWidth="1"/>
    <col min="151" max="151" width="11.54296875" bestFit="1" customWidth="1"/>
    <col min="152" max="158" width="10.54296875" bestFit="1" customWidth="1"/>
    <col min="159" max="159" width="11.54296875" bestFit="1" customWidth="1"/>
    <col min="160" max="160" width="13.453125" bestFit="1" customWidth="1"/>
  </cols>
  <sheetData>
    <row r="1" spans="1:45" x14ac:dyDescent="0.35">
      <c r="A1" s="3" t="s">
        <v>1</v>
      </c>
      <c r="B1" s="4" t="s" vm="10">
        <v>152</v>
      </c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45" x14ac:dyDescent="0.35">
      <c r="A2" s="3" t="s">
        <v>2</v>
      </c>
      <c r="B2" s="4" t="s" vm="3">
        <v>125</v>
      </c>
      <c r="AA2" s="3" t="s">
        <v>1</v>
      </c>
      <c r="AB2" s="4" t="s" vm="9">
        <v>151</v>
      </c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45" x14ac:dyDescent="0.35">
      <c r="A3" s="3" t="s">
        <v>3</v>
      </c>
      <c r="B3" s="4" t="s" vm="1">
        <v>4</v>
      </c>
      <c r="AA3" s="3" t="s">
        <v>2</v>
      </c>
      <c r="AB3" s="4" t="s" vm="3">
        <v>125</v>
      </c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45" x14ac:dyDescent="0.35">
      <c r="A4" s="1" t="s">
        <v>106</v>
      </c>
      <c r="B4" t="s" vm="2">
        <v>107</v>
      </c>
      <c r="AA4" s="3" t="s">
        <v>3</v>
      </c>
      <c r="AB4" s="4" t="s" vm="1">
        <v>4</v>
      </c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45" x14ac:dyDescent="0.35">
      <c r="C5"/>
      <c r="D5"/>
      <c r="E5"/>
      <c r="F5"/>
      <c r="G5"/>
      <c r="H5"/>
      <c r="I5"/>
      <c r="J5"/>
      <c r="K5"/>
      <c r="L5"/>
      <c r="M5"/>
    </row>
    <row r="6" spans="1:45" x14ac:dyDescent="0.35">
      <c r="A6" s="1" t="s">
        <v>48</v>
      </c>
      <c r="C6" s="6" t="s">
        <v>5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1" t="s">
        <v>48</v>
      </c>
      <c r="AC6" s="6" t="s">
        <v>5</v>
      </c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</row>
    <row r="7" spans="1:45" x14ac:dyDescent="0.35">
      <c r="A7" s="1" t="s">
        <v>17</v>
      </c>
      <c r="B7" s="1" t="s">
        <v>47</v>
      </c>
      <c r="C7" s="5" t="s">
        <v>6</v>
      </c>
      <c r="D7" s="5" t="s">
        <v>7</v>
      </c>
      <c r="E7" s="5" t="s">
        <v>8</v>
      </c>
      <c r="F7" s="5" t="s">
        <v>9</v>
      </c>
      <c r="G7" s="5" t="s">
        <v>10</v>
      </c>
      <c r="H7" s="5" t="s">
        <v>11</v>
      </c>
      <c r="I7" s="5" t="s">
        <v>12</v>
      </c>
      <c r="J7" s="5" t="s">
        <v>13</v>
      </c>
      <c r="K7" s="5" t="s">
        <v>14</v>
      </c>
      <c r="L7" s="5" t="s">
        <v>15</v>
      </c>
      <c r="M7" s="5" t="s">
        <v>137</v>
      </c>
      <c r="N7" s="5" t="s">
        <v>144</v>
      </c>
      <c r="O7" s="5" t="s">
        <v>145</v>
      </c>
      <c r="P7" s="5" t="s">
        <v>148</v>
      </c>
      <c r="Q7" s="5" t="s">
        <v>150</v>
      </c>
      <c r="R7" s="5" t="s">
        <v>155</v>
      </c>
      <c r="S7" s="5" t="s">
        <v>16</v>
      </c>
      <c r="T7" s="5"/>
      <c r="U7" s="5"/>
      <c r="V7" s="5"/>
      <c r="W7" s="5"/>
      <c r="X7" s="5"/>
      <c r="Y7" s="5"/>
      <c r="Z7" s="5"/>
      <c r="AA7" s="1" t="s">
        <v>17</v>
      </c>
      <c r="AB7" s="1" t="s">
        <v>103</v>
      </c>
      <c r="AC7" s="5" t="s">
        <v>6</v>
      </c>
      <c r="AD7" s="5" t="s">
        <v>7</v>
      </c>
      <c r="AE7" s="5" t="s">
        <v>8</v>
      </c>
      <c r="AF7" s="5" t="s">
        <v>9</v>
      </c>
      <c r="AG7" s="5" t="s">
        <v>10</v>
      </c>
      <c r="AH7" s="5" t="s">
        <v>11</v>
      </c>
      <c r="AI7" s="5" t="s">
        <v>12</v>
      </c>
      <c r="AJ7" s="5" t="s">
        <v>13</v>
      </c>
      <c r="AK7" s="5" t="s">
        <v>14</v>
      </c>
      <c r="AL7" s="5" t="s">
        <v>15</v>
      </c>
      <c r="AM7" s="5" t="s">
        <v>137</v>
      </c>
      <c r="AN7" s="5" t="s">
        <v>144</v>
      </c>
      <c r="AO7" s="5" t="s">
        <v>145</v>
      </c>
      <c r="AP7" s="5" t="s">
        <v>148</v>
      </c>
      <c r="AQ7" s="5" t="s">
        <v>150</v>
      </c>
      <c r="AR7" s="5" t="s">
        <v>155</v>
      </c>
      <c r="AS7" s="5" t="s">
        <v>16</v>
      </c>
    </row>
    <row r="8" spans="1:45" x14ac:dyDescent="0.35">
      <c r="A8" s="2" t="s">
        <v>115</v>
      </c>
      <c r="B8" s="2" t="s">
        <v>116</v>
      </c>
      <c r="C8" s="5">
        <v>-1301565</v>
      </c>
      <c r="D8" s="5">
        <v>-1329960</v>
      </c>
      <c r="E8" s="5">
        <v>-1551750</v>
      </c>
      <c r="F8" s="5">
        <v>-1620850</v>
      </c>
      <c r="G8" s="5">
        <v>-1696524.48</v>
      </c>
      <c r="H8" s="5">
        <v>-1724850</v>
      </c>
      <c r="I8" s="5">
        <v>-1817000</v>
      </c>
      <c r="J8" s="5">
        <v>-1922800</v>
      </c>
      <c r="K8" s="5">
        <v>-1956560</v>
      </c>
      <c r="L8" s="5">
        <v>-2027670</v>
      </c>
      <c r="M8" s="5">
        <v>-2036908</v>
      </c>
      <c r="N8" s="5">
        <v>-1995040</v>
      </c>
      <c r="O8" s="5">
        <v>-2071680</v>
      </c>
      <c r="P8" s="5">
        <v>-2039041</v>
      </c>
      <c r="Q8" s="5">
        <v>-2145120</v>
      </c>
      <c r="R8" s="5">
        <v>-1692800</v>
      </c>
      <c r="S8" s="5">
        <v>-28930118.48</v>
      </c>
      <c r="T8" s="5"/>
      <c r="U8" s="5"/>
      <c r="V8" s="5"/>
      <c r="W8" s="5"/>
      <c r="X8" s="5"/>
      <c r="Y8" s="5"/>
      <c r="Z8" s="5"/>
      <c r="AA8" s="2" t="s">
        <v>50</v>
      </c>
      <c r="AB8" s="2" t="s">
        <v>79</v>
      </c>
      <c r="AC8" s="5">
        <v>11579.97</v>
      </c>
      <c r="AD8" s="5">
        <v>7282.5499999999993</v>
      </c>
      <c r="AE8" s="5">
        <v>6407.7400000000016</v>
      </c>
      <c r="AF8" s="5"/>
      <c r="AG8" s="5"/>
      <c r="AH8" s="5"/>
      <c r="AI8" s="5"/>
      <c r="AJ8" s="5"/>
      <c r="AK8" s="5">
        <v>1566.4</v>
      </c>
      <c r="AL8" s="5"/>
      <c r="AM8" s="5"/>
      <c r="AN8" s="5"/>
      <c r="AO8" s="5"/>
      <c r="AP8" s="5"/>
      <c r="AQ8" s="5"/>
      <c r="AR8" s="5"/>
      <c r="AS8" s="5">
        <v>26836.66</v>
      </c>
    </row>
    <row r="9" spans="1:45" x14ac:dyDescent="0.35">
      <c r="A9" s="2" t="s">
        <v>18</v>
      </c>
      <c r="B9" s="2" t="s">
        <v>32</v>
      </c>
      <c r="C9" s="5">
        <v>-106515</v>
      </c>
      <c r="D9" s="5">
        <v>-102435</v>
      </c>
      <c r="E9" s="5">
        <v>-114100</v>
      </c>
      <c r="F9" s="5">
        <v>-108778</v>
      </c>
      <c r="G9" s="5">
        <v>-117930</v>
      </c>
      <c r="H9" s="5">
        <v>-114280</v>
      </c>
      <c r="I9" s="5">
        <v>-124360</v>
      </c>
      <c r="J9" s="5">
        <v>-132676</v>
      </c>
      <c r="K9" s="5">
        <v>-135345</v>
      </c>
      <c r="L9" s="5">
        <v>-166620</v>
      </c>
      <c r="M9" s="5">
        <v>-176977.1</v>
      </c>
      <c r="N9" s="5">
        <v>-87985</v>
      </c>
      <c r="O9" s="5">
        <v>-144232.01</v>
      </c>
      <c r="P9" s="5">
        <v>-166465</v>
      </c>
      <c r="Q9" s="5">
        <v>-123645.35</v>
      </c>
      <c r="R9" s="5">
        <v>-144740.03000000003</v>
      </c>
      <c r="S9" s="5">
        <v>-2067083.4900000002</v>
      </c>
      <c r="T9" s="5"/>
      <c r="U9" s="5"/>
      <c r="V9" s="5"/>
      <c r="W9" s="5"/>
      <c r="X9" s="5"/>
      <c r="Y9" s="5"/>
      <c r="Z9" s="5"/>
      <c r="AA9" s="2" t="s">
        <v>51</v>
      </c>
      <c r="AB9" s="2" t="s">
        <v>79</v>
      </c>
      <c r="AC9" s="5">
        <v>520072.02000000008</v>
      </c>
      <c r="AD9" s="5">
        <v>536463.75000000047</v>
      </c>
      <c r="AE9" s="5">
        <v>520888.80000000016</v>
      </c>
      <c r="AF9" s="5">
        <v>595631.86999999988</v>
      </c>
      <c r="AG9" s="5">
        <v>651085.75</v>
      </c>
      <c r="AH9" s="5">
        <v>666775.64999999979</v>
      </c>
      <c r="AI9" s="5">
        <v>641418.03000000014</v>
      </c>
      <c r="AJ9" s="5">
        <v>660432.31000000017</v>
      </c>
      <c r="AK9" s="5">
        <v>645820.97000000009</v>
      </c>
      <c r="AL9" s="5">
        <v>631182.45999999985</v>
      </c>
      <c r="AM9" s="5">
        <v>654575.88000000012</v>
      </c>
      <c r="AN9" s="5">
        <v>686704.62</v>
      </c>
      <c r="AO9" s="5">
        <v>699358.13</v>
      </c>
      <c r="AP9" s="5">
        <v>723715.83000000007</v>
      </c>
      <c r="AQ9" s="5">
        <v>762856.50000000012</v>
      </c>
      <c r="AR9" s="5">
        <v>743896.94999999984</v>
      </c>
      <c r="AS9" s="5">
        <v>10340879.520000001</v>
      </c>
    </row>
    <row r="10" spans="1:45" x14ac:dyDescent="0.35">
      <c r="A10" s="2" t="s">
        <v>146</v>
      </c>
      <c r="B10" s="2" t="s">
        <v>147</v>
      </c>
      <c r="N10" s="5"/>
      <c r="O10" s="5">
        <v>-150</v>
      </c>
      <c r="P10" s="5"/>
      <c r="Q10" s="5"/>
      <c r="R10" s="5"/>
      <c r="S10" s="5">
        <v>-150</v>
      </c>
      <c r="T10" s="5"/>
      <c r="U10" s="5"/>
      <c r="V10" s="5"/>
      <c r="W10" s="5"/>
      <c r="X10" s="5"/>
      <c r="Y10" s="5"/>
      <c r="Z10" s="5"/>
      <c r="AA10" s="2" t="s">
        <v>126</v>
      </c>
      <c r="AB10" s="2" t="s">
        <v>79</v>
      </c>
      <c r="AC10" s="5">
        <v>35185.289999999994</v>
      </c>
      <c r="AD10" s="5">
        <v>55112.789999999994</v>
      </c>
      <c r="AE10" s="5">
        <v>55614.020000000019</v>
      </c>
      <c r="AF10" s="5">
        <v>49720.73</v>
      </c>
      <c r="AG10" s="5">
        <v>45721.380000000005</v>
      </c>
      <c r="AH10" s="5">
        <v>52857.120000000017</v>
      </c>
      <c r="AI10" s="5">
        <v>56420.750000000015</v>
      </c>
      <c r="AJ10" s="5">
        <v>59147.919999999991</v>
      </c>
      <c r="AK10" s="5">
        <v>65420.470000000016</v>
      </c>
      <c r="AL10" s="5">
        <v>64467.520000000011</v>
      </c>
      <c r="AM10" s="5">
        <v>54574.12999999999</v>
      </c>
      <c r="AN10" s="5">
        <v>49745.85</v>
      </c>
      <c r="AO10" s="5">
        <v>55501.119999999981</v>
      </c>
      <c r="AP10" s="5">
        <v>60891.819999999992</v>
      </c>
      <c r="AQ10" s="5">
        <v>65612.759999999995</v>
      </c>
      <c r="AR10" s="5">
        <v>64170.830000000009</v>
      </c>
      <c r="AS10" s="5">
        <v>890164.49999999988</v>
      </c>
    </row>
    <row r="11" spans="1:45" x14ac:dyDescent="0.35">
      <c r="A11" s="2" t="s">
        <v>140</v>
      </c>
      <c r="B11" s="2" t="s">
        <v>141</v>
      </c>
      <c r="M11" s="5">
        <v>-4057.32</v>
      </c>
      <c r="N11" s="5"/>
      <c r="O11" s="5"/>
      <c r="P11" s="5"/>
      <c r="Q11" s="5"/>
      <c r="R11" s="5"/>
      <c r="S11" s="5">
        <v>-4057.32</v>
      </c>
      <c r="T11" s="5"/>
      <c r="U11" s="5"/>
      <c r="V11" s="5"/>
      <c r="W11" s="5"/>
      <c r="X11" s="5"/>
      <c r="Y11" s="5"/>
      <c r="Z11" s="5"/>
      <c r="AA11" s="2" t="s">
        <v>52</v>
      </c>
      <c r="AB11" s="2" t="s">
        <v>79</v>
      </c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>
        <v>2304</v>
      </c>
      <c r="AO11" s="5">
        <v>4680</v>
      </c>
      <c r="AP11" s="5"/>
      <c r="AQ11" s="5"/>
      <c r="AR11" s="5"/>
      <c r="AS11" s="5">
        <v>6984</v>
      </c>
    </row>
    <row r="12" spans="1:45" x14ac:dyDescent="0.35">
      <c r="A12" s="2" t="s">
        <v>117</v>
      </c>
      <c r="B12" s="2" t="s">
        <v>118</v>
      </c>
      <c r="D12" s="5">
        <v>0</v>
      </c>
      <c r="N12" s="5"/>
      <c r="O12" s="5"/>
      <c r="P12" s="5"/>
      <c r="Q12" s="5"/>
      <c r="R12" s="5"/>
      <c r="S12" s="5">
        <v>0</v>
      </c>
      <c r="T12" s="5"/>
      <c r="U12" s="5"/>
      <c r="V12" s="5"/>
      <c r="W12" s="5"/>
      <c r="X12" s="5"/>
      <c r="Y12" s="5"/>
      <c r="Z12" s="5"/>
      <c r="AA12" s="2" t="s">
        <v>53</v>
      </c>
      <c r="AB12" s="2" t="s">
        <v>79</v>
      </c>
      <c r="AC12" s="5">
        <v>24658.670000000002</v>
      </c>
      <c r="AD12" s="5">
        <v>17692.350000000002</v>
      </c>
      <c r="AE12" s="5">
        <v>19885.340000000007</v>
      </c>
      <c r="AF12" s="5">
        <v>19793.699999999997</v>
      </c>
      <c r="AG12" s="5">
        <v>13596.800000000003</v>
      </c>
      <c r="AH12" s="5">
        <v>11978.340000000006</v>
      </c>
      <c r="AI12" s="5">
        <v>10657.580000000002</v>
      </c>
      <c r="AJ12" s="5">
        <v>15495.409999999994</v>
      </c>
      <c r="AK12" s="5">
        <v>12154.229999999998</v>
      </c>
      <c r="AL12" s="5">
        <v>25911.27</v>
      </c>
      <c r="AM12" s="5">
        <v>8750.92</v>
      </c>
      <c r="AN12" s="5">
        <v>8890</v>
      </c>
      <c r="AO12" s="5">
        <v>12702.839999999998</v>
      </c>
      <c r="AP12" s="5">
        <v>15734.019999999999</v>
      </c>
      <c r="AQ12" s="5">
        <v>42588.93</v>
      </c>
      <c r="AR12" s="5">
        <v>27533.890000000003</v>
      </c>
      <c r="AS12" s="5">
        <v>288024.29000000004</v>
      </c>
    </row>
    <row r="13" spans="1:45" x14ac:dyDescent="0.35">
      <c r="A13" s="2" t="s">
        <v>119</v>
      </c>
      <c r="B13" s="2" t="s">
        <v>33</v>
      </c>
      <c r="C13" s="5">
        <v>-340</v>
      </c>
      <c r="D13" s="5">
        <v>-360</v>
      </c>
      <c r="E13" s="5">
        <v>-360</v>
      </c>
      <c r="F13" s="5">
        <v>-300</v>
      </c>
      <c r="G13" s="5">
        <v>-360</v>
      </c>
      <c r="H13" s="5">
        <v>-400</v>
      </c>
      <c r="I13" s="5">
        <v>-380</v>
      </c>
      <c r="J13" s="5">
        <v>-460</v>
      </c>
      <c r="K13" s="5">
        <v>-540</v>
      </c>
      <c r="L13" s="5">
        <v>-580</v>
      </c>
      <c r="M13" s="5">
        <v>-963.3</v>
      </c>
      <c r="N13" s="5">
        <v>-560</v>
      </c>
      <c r="O13" s="5">
        <v>-3291</v>
      </c>
      <c r="P13" s="5"/>
      <c r="Q13" s="5"/>
      <c r="R13" s="5"/>
      <c r="S13" s="5">
        <v>-8894.2999999999993</v>
      </c>
      <c r="T13" s="5"/>
      <c r="U13" s="5"/>
      <c r="V13" s="5"/>
      <c r="W13" s="5"/>
      <c r="X13" s="5"/>
      <c r="Y13" s="5"/>
      <c r="Z13" s="5"/>
      <c r="AA13" s="2" t="s">
        <v>54</v>
      </c>
      <c r="AB13" s="2" t="s">
        <v>79</v>
      </c>
      <c r="AC13" s="5">
        <v>7020.95</v>
      </c>
      <c r="AD13" s="5">
        <v>6119.79</v>
      </c>
      <c r="AE13" s="5">
        <v>8878.32</v>
      </c>
      <c r="AF13" s="5">
        <v>8888.0400000000009</v>
      </c>
      <c r="AG13" s="5">
        <v>8433.42</v>
      </c>
      <c r="AH13" s="5">
        <v>10470.700000000001</v>
      </c>
      <c r="AI13" s="5">
        <v>8892.8200000000015</v>
      </c>
      <c r="AJ13" s="5">
        <v>9141.89</v>
      </c>
      <c r="AK13" s="5">
        <v>7768.3200000000015</v>
      </c>
      <c r="AL13" s="5">
        <v>7780.19</v>
      </c>
      <c r="AM13" s="5">
        <v>7308.08</v>
      </c>
      <c r="AN13" s="5">
        <v>7558.0300000000007</v>
      </c>
      <c r="AO13" s="5">
        <v>5888.6</v>
      </c>
      <c r="AP13" s="5">
        <v>7271.29</v>
      </c>
      <c r="AQ13" s="5">
        <v>7954.4700000000012</v>
      </c>
      <c r="AR13" s="5">
        <v>2414.38</v>
      </c>
      <c r="AS13" s="5">
        <v>121789.29000000002</v>
      </c>
    </row>
    <row r="14" spans="1:45" x14ac:dyDescent="0.35">
      <c r="A14" s="2" t="s">
        <v>19</v>
      </c>
      <c r="B14" s="2" t="s">
        <v>34</v>
      </c>
      <c r="C14" s="5">
        <v>-3000</v>
      </c>
      <c r="D14" s="5">
        <v>-5638.2800000000007</v>
      </c>
      <c r="E14" s="5">
        <v>-12151.7</v>
      </c>
      <c r="F14" s="5">
        <v>-18047.87</v>
      </c>
      <c r="G14" s="5">
        <v>-39647.93</v>
      </c>
      <c r="H14" s="5">
        <v>-19308.63</v>
      </c>
      <c r="I14" s="5">
        <v>-663.43</v>
      </c>
      <c r="K14" s="5">
        <v>-875.15</v>
      </c>
      <c r="L14" s="5">
        <v>-11750.029999999999</v>
      </c>
      <c r="M14" s="5">
        <v>-13192.130000000001</v>
      </c>
      <c r="N14" s="5">
        <v>-14167.689999999999</v>
      </c>
      <c r="O14" s="5"/>
      <c r="P14" s="5"/>
      <c r="Q14" s="5"/>
      <c r="R14" s="5"/>
      <c r="S14" s="5">
        <v>-138442.84</v>
      </c>
      <c r="T14" s="5"/>
      <c r="U14" s="5"/>
      <c r="V14" s="5"/>
      <c r="W14" s="5"/>
      <c r="X14" s="5"/>
      <c r="Y14" s="5"/>
      <c r="Z14" s="5"/>
      <c r="AA14" s="2" t="s">
        <v>55</v>
      </c>
      <c r="AB14" s="2" t="s">
        <v>80</v>
      </c>
      <c r="AC14" s="5">
        <v>333547.76000000007</v>
      </c>
      <c r="AD14" s="5">
        <v>358668.53000000009</v>
      </c>
      <c r="AE14" s="5">
        <v>346819.87</v>
      </c>
      <c r="AF14" s="5">
        <v>366894.06000000006</v>
      </c>
      <c r="AG14" s="5">
        <v>358521.33999999997</v>
      </c>
      <c r="AH14" s="5">
        <v>364636.84</v>
      </c>
      <c r="AI14" s="5">
        <v>402229</v>
      </c>
      <c r="AJ14" s="5">
        <v>418671.76999999996</v>
      </c>
      <c r="AK14" s="5">
        <v>424849.48000000004</v>
      </c>
      <c r="AL14" s="5">
        <v>435463.01999999996</v>
      </c>
      <c r="AM14" s="5">
        <v>454949.36999999982</v>
      </c>
      <c r="AN14" s="5">
        <v>474202.87999999995</v>
      </c>
      <c r="AO14" s="5">
        <v>452474.25000000006</v>
      </c>
      <c r="AP14" s="5">
        <v>451681.83000000007</v>
      </c>
      <c r="AQ14" s="5">
        <v>440315.9</v>
      </c>
      <c r="AR14" s="5">
        <v>397009.68000000011</v>
      </c>
      <c r="AS14" s="5">
        <v>6480935.5800000001</v>
      </c>
    </row>
    <row r="15" spans="1:45" x14ac:dyDescent="0.35">
      <c r="A15" s="2" t="s">
        <v>120</v>
      </c>
      <c r="B15" s="2" t="s">
        <v>121</v>
      </c>
      <c r="C15" s="5">
        <v>-746.4</v>
      </c>
      <c r="D15" s="5">
        <v>-588.16000000000008</v>
      </c>
      <c r="E15" s="5">
        <v>-1379.56</v>
      </c>
      <c r="F15" s="5">
        <v>-1976.44</v>
      </c>
      <c r="G15" s="5">
        <v>-1190.2</v>
      </c>
      <c r="H15" s="5">
        <v>-297</v>
      </c>
      <c r="N15" s="5"/>
      <c r="O15" s="5"/>
      <c r="P15" s="5"/>
      <c r="Q15" s="5"/>
      <c r="R15" s="5"/>
      <c r="S15" s="5">
        <v>-6177.76</v>
      </c>
      <c r="T15" s="5"/>
      <c r="U15" s="5"/>
      <c r="V15" s="5"/>
      <c r="W15" s="5"/>
      <c r="X15" s="5"/>
      <c r="Y15" s="5"/>
      <c r="Z15" s="5"/>
      <c r="AA15" s="2" t="s">
        <v>56</v>
      </c>
      <c r="AB15" s="2" t="s">
        <v>81</v>
      </c>
      <c r="AC15" s="5">
        <v>55813.479999999996</v>
      </c>
      <c r="AD15" s="5">
        <v>23371.040000000001</v>
      </c>
      <c r="AE15" s="5">
        <v>41292.409999999996</v>
      </c>
      <c r="AF15" s="5">
        <v>53813.619999999988</v>
      </c>
      <c r="AG15" s="5">
        <v>41050.279999999992</v>
      </c>
      <c r="AH15" s="5">
        <v>20804.820000000007</v>
      </c>
      <c r="AI15" s="5">
        <v>30605.200000000012</v>
      </c>
      <c r="AJ15" s="5">
        <v>28244.499999999996</v>
      </c>
      <c r="AK15" s="5">
        <v>38597.08</v>
      </c>
      <c r="AL15" s="5">
        <v>52058.390000000007</v>
      </c>
      <c r="AM15" s="5">
        <v>46789.370000000017</v>
      </c>
      <c r="AN15" s="5">
        <v>33534.410000000003</v>
      </c>
      <c r="AO15" s="5">
        <v>14941.44</v>
      </c>
      <c r="AP15" s="5">
        <v>19075.159999999993</v>
      </c>
      <c r="AQ15" s="5">
        <v>100630.24000000002</v>
      </c>
      <c r="AR15" s="5">
        <v>62699</v>
      </c>
      <c r="AS15" s="5">
        <v>663320.44000000006</v>
      </c>
    </row>
    <row r="16" spans="1:45" x14ac:dyDescent="0.35">
      <c r="A16" s="2" t="s">
        <v>122</v>
      </c>
      <c r="B16" s="2" t="s">
        <v>123</v>
      </c>
      <c r="C16" s="5">
        <v>-110</v>
      </c>
      <c r="D16" s="5">
        <v>-32</v>
      </c>
      <c r="E16" s="5">
        <v>-60</v>
      </c>
      <c r="F16" s="5">
        <v>-200</v>
      </c>
      <c r="I16" s="5">
        <v>-50</v>
      </c>
      <c r="N16" s="5"/>
      <c r="O16" s="5"/>
      <c r="P16" s="5"/>
      <c r="Q16" s="5"/>
      <c r="R16" s="5"/>
      <c r="S16" s="5">
        <v>-452</v>
      </c>
      <c r="T16" s="5"/>
      <c r="U16" s="5"/>
      <c r="V16" s="5"/>
      <c r="W16" s="5"/>
      <c r="X16" s="5"/>
      <c r="Y16" s="5"/>
      <c r="Z16" s="5"/>
      <c r="AA16" s="2" t="s">
        <v>57</v>
      </c>
      <c r="AB16" s="2" t="s">
        <v>82</v>
      </c>
      <c r="AC16" s="5">
        <v>608</v>
      </c>
      <c r="AD16" s="5">
        <v>1837.5</v>
      </c>
      <c r="AE16" s="5">
        <v>750</v>
      </c>
      <c r="AF16" s="5">
        <v>235</v>
      </c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>
        <v>3430.5</v>
      </c>
    </row>
    <row r="17" spans="1:45" x14ac:dyDescent="0.35">
      <c r="A17" s="2" t="s">
        <v>20</v>
      </c>
      <c r="B17" s="2" t="s">
        <v>35</v>
      </c>
      <c r="C17" s="5">
        <v>-493.05</v>
      </c>
      <c r="D17" s="5">
        <v>-3720</v>
      </c>
      <c r="N17" s="5"/>
      <c r="O17" s="5"/>
      <c r="P17" s="5"/>
      <c r="Q17" s="5"/>
      <c r="R17" s="5"/>
      <c r="S17" s="5">
        <v>-4213.05</v>
      </c>
      <c r="T17" s="5"/>
      <c r="U17" s="5"/>
      <c r="V17" s="5"/>
      <c r="W17" s="5"/>
      <c r="X17" s="5"/>
      <c r="Y17" s="5"/>
      <c r="Z17" s="5"/>
      <c r="AA17" s="2" t="s">
        <v>58</v>
      </c>
      <c r="AB17" s="2" t="s">
        <v>83</v>
      </c>
      <c r="AC17" s="5">
        <v>12415.54</v>
      </c>
      <c r="AD17" s="5">
        <v>1892.5699999999997</v>
      </c>
      <c r="AE17" s="5">
        <v>4180.3700000000026</v>
      </c>
      <c r="AF17" s="5">
        <v>4738.8500000000004</v>
      </c>
      <c r="AG17" s="5">
        <v>2226.44</v>
      </c>
      <c r="AH17" s="5">
        <v>2942.9399999999996</v>
      </c>
      <c r="AI17" s="5">
        <v>2645.64</v>
      </c>
      <c r="AJ17" s="5">
        <v>2713.6700000000005</v>
      </c>
      <c r="AK17" s="5">
        <v>2573</v>
      </c>
      <c r="AL17" s="5">
        <v>3232.4</v>
      </c>
      <c r="AM17" s="5">
        <v>1947.1700000000003</v>
      </c>
      <c r="AN17" s="5">
        <v>3292.9099999999994</v>
      </c>
      <c r="AO17" s="5">
        <v>4310.99</v>
      </c>
      <c r="AP17" s="5">
        <v>446.59999999999997</v>
      </c>
      <c r="AQ17" s="5">
        <v>284.27</v>
      </c>
      <c r="AR17" s="5">
        <v>1107.07</v>
      </c>
      <c r="AS17" s="5">
        <v>50950.429999999993</v>
      </c>
    </row>
    <row r="18" spans="1:45" x14ac:dyDescent="0.35">
      <c r="A18" s="2" t="s">
        <v>21</v>
      </c>
      <c r="B18" s="2" t="s">
        <v>36</v>
      </c>
      <c r="D18" s="5">
        <v>-80</v>
      </c>
      <c r="N18" s="5"/>
      <c r="O18" s="5"/>
      <c r="P18" s="5"/>
      <c r="Q18" s="5"/>
      <c r="R18" s="5"/>
      <c r="S18" s="5">
        <v>-80</v>
      </c>
      <c r="T18" s="5"/>
      <c r="U18" s="5"/>
      <c r="V18" s="5"/>
      <c r="W18" s="5"/>
      <c r="X18" s="5"/>
      <c r="Y18" s="5"/>
      <c r="Z18" s="5"/>
      <c r="AA18" s="2" t="s">
        <v>59</v>
      </c>
      <c r="AB18" s="2" t="s">
        <v>84</v>
      </c>
      <c r="AC18" s="5">
        <v>2331.6999999999998</v>
      </c>
      <c r="AD18" s="5">
        <v>3009.2200000000003</v>
      </c>
      <c r="AE18" s="5">
        <v>2852.5499999999997</v>
      </c>
      <c r="AF18" s="5">
        <v>7650.8799999999992</v>
      </c>
      <c r="AG18" s="5">
        <v>8554.52</v>
      </c>
      <c r="AH18" s="5">
        <v>2204.62</v>
      </c>
      <c r="AI18" s="5">
        <v>5783.05</v>
      </c>
      <c r="AJ18" s="5">
        <v>4234.33</v>
      </c>
      <c r="AK18" s="5">
        <v>8081.5300000000007</v>
      </c>
      <c r="AL18" s="5">
        <v>5154.3799999999992</v>
      </c>
      <c r="AM18" s="5">
        <v>6931.6900000000023</v>
      </c>
      <c r="AN18" s="5">
        <v>12080.220000000003</v>
      </c>
      <c r="AO18" s="5">
        <v>4938.4799999999996</v>
      </c>
      <c r="AP18" s="5"/>
      <c r="AQ18" s="5">
        <v>266.86</v>
      </c>
      <c r="AR18" s="5">
        <v>4601.7199999999993</v>
      </c>
      <c r="AS18" s="5">
        <v>78675.75</v>
      </c>
    </row>
    <row r="19" spans="1:45" x14ac:dyDescent="0.35">
      <c r="A19" s="2" t="s">
        <v>22</v>
      </c>
      <c r="B19" s="2" t="s">
        <v>37</v>
      </c>
      <c r="C19" s="5">
        <v>-10165</v>
      </c>
      <c r="D19" s="5">
        <v>-375</v>
      </c>
      <c r="E19" s="5">
        <v>-375</v>
      </c>
      <c r="F19" s="5">
        <v>-387.5</v>
      </c>
      <c r="J19" s="5">
        <v>-44.46</v>
      </c>
      <c r="K19" s="5">
        <v>-23.36</v>
      </c>
      <c r="L19" s="5">
        <v>-74.8</v>
      </c>
      <c r="M19" s="5">
        <v>-21.62</v>
      </c>
      <c r="N19" s="5">
        <v>-15</v>
      </c>
      <c r="O19" s="5">
        <v>-3.26</v>
      </c>
      <c r="P19" s="5">
        <v>-858.35</v>
      </c>
      <c r="Q19" s="5">
        <v>-5.63</v>
      </c>
      <c r="R19" s="5"/>
      <c r="S19" s="5">
        <v>-12348.98</v>
      </c>
      <c r="T19" s="5"/>
      <c r="U19" s="5"/>
      <c r="V19" s="5"/>
      <c r="W19" s="5"/>
      <c r="X19" s="5"/>
      <c r="Y19" s="5"/>
      <c r="Z19" s="5"/>
      <c r="AA19" s="2" t="s">
        <v>60</v>
      </c>
      <c r="AB19" s="2" t="s">
        <v>85</v>
      </c>
      <c r="AC19" s="5"/>
      <c r="AD19" s="5"/>
      <c r="AE19" s="5"/>
      <c r="AF19" s="5"/>
      <c r="AG19" s="5"/>
      <c r="AH19" s="5"/>
      <c r="AI19" s="5"/>
      <c r="AJ19" s="5"/>
      <c r="AK19" s="5">
        <v>35.72</v>
      </c>
      <c r="AL19" s="5"/>
      <c r="AM19" s="5">
        <v>7</v>
      </c>
      <c r="AN19" s="5"/>
      <c r="AO19" s="5"/>
      <c r="AP19" s="5"/>
      <c r="AQ19" s="5"/>
      <c r="AR19" s="5"/>
      <c r="AS19" s="5">
        <v>42.72</v>
      </c>
    </row>
    <row r="20" spans="1:45" x14ac:dyDescent="0.35">
      <c r="A20" s="2" t="s">
        <v>23</v>
      </c>
      <c r="B20" s="2" t="s">
        <v>38</v>
      </c>
      <c r="L20" s="5">
        <v>0</v>
      </c>
      <c r="N20" s="5"/>
      <c r="O20" s="5"/>
      <c r="P20" s="5"/>
      <c r="Q20" s="5"/>
      <c r="R20" s="5"/>
      <c r="S20" s="5">
        <v>0</v>
      </c>
      <c r="T20" s="5"/>
      <c r="U20" s="5"/>
      <c r="V20" s="5"/>
      <c r="W20" s="5"/>
      <c r="X20" s="5"/>
      <c r="Y20" s="5"/>
      <c r="Z20" s="5"/>
      <c r="AA20" s="2" t="s">
        <v>61</v>
      </c>
      <c r="AB20" s="2" t="s">
        <v>86</v>
      </c>
      <c r="AC20" s="5">
        <v>99.63000000000001</v>
      </c>
      <c r="AD20" s="5">
        <v>94.75</v>
      </c>
      <c r="AE20" s="5">
        <v>100.18999999999998</v>
      </c>
      <c r="AF20" s="5">
        <v>101.25999999999998</v>
      </c>
      <c r="AG20" s="5">
        <v>27.669999999999998</v>
      </c>
      <c r="AH20" s="5"/>
      <c r="AI20" s="5"/>
      <c r="AJ20" s="5"/>
      <c r="AK20" s="5"/>
      <c r="AL20" s="5"/>
      <c r="AM20" s="5"/>
      <c r="AN20" s="5"/>
      <c r="AO20" s="5"/>
      <c r="AP20" s="5">
        <v>19.940000000000001</v>
      </c>
      <c r="AQ20" s="5"/>
      <c r="AR20" s="5"/>
      <c r="AS20" s="5">
        <v>443.44</v>
      </c>
    </row>
    <row r="21" spans="1:45" x14ac:dyDescent="0.35">
      <c r="A21" s="2" t="s">
        <v>138</v>
      </c>
      <c r="B21" s="2" t="s">
        <v>139</v>
      </c>
      <c r="M21" s="5">
        <v>-82.5</v>
      </c>
      <c r="N21" s="5"/>
      <c r="O21" s="5">
        <v>-142.5</v>
      </c>
      <c r="P21" s="5"/>
      <c r="Q21" s="5"/>
      <c r="R21" s="5">
        <v>-100</v>
      </c>
      <c r="S21" s="5">
        <v>-325</v>
      </c>
      <c r="T21" s="5"/>
      <c r="U21" s="5"/>
      <c r="V21" s="5"/>
      <c r="W21" s="5"/>
      <c r="X21" s="5"/>
      <c r="Y21" s="5"/>
      <c r="Z21" s="5"/>
      <c r="AA21" s="2" t="s">
        <v>62</v>
      </c>
      <c r="AB21" s="2" t="s">
        <v>87</v>
      </c>
      <c r="AC21" s="5">
        <v>6341.329999999999</v>
      </c>
      <c r="AD21" s="5">
        <v>7813.8300000000008</v>
      </c>
      <c r="AE21" s="5">
        <v>12963.7</v>
      </c>
      <c r="AF21" s="5">
        <v>15713.18</v>
      </c>
      <c r="AG21" s="5">
        <v>13275.68</v>
      </c>
      <c r="AH21" s="5">
        <v>15305.899999999998</v>
      </c>
      <c r="AI21" s="5">
        <v>11931.130000000001</v>
      </c>
      <c r="AJ21" s="5">
        <v>8052.8700000000008</v>
      </c>
      <c r="AK21" s="5">
        <v>9422.26</v>
      </c>
      <c r="AL21" s="5">
        <v>12340.089999999998</v>
      </c>
      <c r="AM21" s="5">
        <v>12427.230000000001</v>
      </c>
      <c r="AN21" s="5">
        <v>12378.369999999999</v>
      </c>
      <c r="AO21" s="5">
        <v>18652.109999999997</v>
      </c>
      <c r="AP21" s="5">
        <v>14111.71</v>
      </c>
      <c r="AQ21" s="5">
        <v>14704.88</v>
      </c>
      <c r="AR21" s="5">
        <v>12994.909999999998</v>
      </c>
      <c r="AS21" s="5">
        <v>198429.17999999996</v>
      </c>
    </row>
    <row r="22" spans="1:45" x14ac:dyDescent="0.35">
      <c r="A22" s="2" t="s">
        <v>24</v>
      </c>
      <c r="B22" s="2" t="s">
        <v>39</v>
      </c>
      <c r="E22" s="5">
        <v>54183</v>
      </c>
      <c r="F22" s="5">
        <v>351931</v>
      </c>
      <c r="N22" s="5"/>
      <c r="O22" s="5"/>
      <c r="P22" s="5"/>
      <c r="Q22" s="5"/>
      <c r="R22" s="5"/>
      <c r="S22" s="5">
        <v>406114</v>
      </c>
      <c r="T22" s="5"/>
      <c r="U22" s="5"/>
      <c r="V22" s="5"/>
      <c r="W22" s="5"/>
      <c r="X22" s="5"/>
      <c r="Y22" s="5"/>
      <c r="Z22" s="5"/>
      <c r="AA22" s="2" t="s">
        <v>63</v>
      </c>
      <c r="AB22" s="2" t="s">
        <v>88</v>
      </c>
      <c r="AC22" s="5"/>
      <c r="AD22" s="5"/>
      <c r="AE22" s="5">
        <v>15</v>
      </c>
      <c r="AF22" s="5"/>
      <c r="AG22" s="5"/>
      <c r="AH22" s="5"/>
      <c r="AI22" s="5">
        <v>99.95</v>
      </c>
      <c r="AJ22" s="5">
        <v>107.91</v>
      </c>
      <c r="AK22" s="5"/>
      <c r="AL22" s="5">
        <v>42.66</v>
      </c>
      <c r="AM22" s="5"/>
      <c r="AN22" s="5"/>
      <c r="AO22" s="5"/>
      <c r="AP22" s="5"/>
      <c r="AQ22" s="5"/>
      <c r="AR22" s="5"/>
      <c r="AS22" s="5">
        <v>265.52</v>
      </c>
    </row>
    <row r="23" spans="1:45" x14ac:dyDescent="0.35">
      <c r="A23" s="2" t="s">
        <v>25</v>
      </c>
      <c r="B23" s="2" t="s">
        <v>40</v>
      </c>
      <c r="C23" s="5">
        <v>4.6566128730773926E-10</v>
      </c>
      <c r="G23" s="5">
        <v>-657.46999999976708</v>
      </c>
      <c r="I23" s="5">
        <v>-34.72</v>
      </c>
      <c r="L23" s="5">
        <v>0</v>
      </c>
      <c r="N23" s="5"/>
      <c r="O23" s="5"/>
      <c r="P23" s="5"/>
      <c r="Q23" s="5"/>
      <c r="R23" s="5"/>
      <c r="S23" s="5">
        <v>-692.18999999930145</v>
      </c>
      <c r="T23" s="5"/>
      <c r="U23" s="5"/>
      <c r="V23" s="5"/>
      <c r="W23" s="5"/>
      <c r="X23" s="5"/>
      <c r="Y23" s="5"/>
      <c r="Z23" s="5"/>
      <c r="AA23" s="2" t="s">
        <v>64</v>
      </c>
      <c r="AB23" s="2" t="s">
        <v>89</v>
      </c>
      <c r="AC23" s="5">
        <v>978.47</v>
      </c>
      <c r="AD23" s="5">
        <v>965.15000000000009</v>
      </c>
      <c r="AE23" s="5">
        <v>934.53</v>
      </c>
      <c r="AF23" s="5">
        <v>15</v>
      </c>
      <c r="AG23" s="5">
        <v>1382.5600000000002</v>
      </c>
      <c r="AH23" s="5">
        <v>276.61</v>
      </c>
      <c r="AI23" s="5">
        <v>1147.3999999999999</v>
      </c>
      <c r="AJ23" s="5">
        <v>1325.83</v>
      </c>
      <c r="AK23" s="5">
        <v>1583.7099999999998</v>
      </c>
      <c r="AL23" s="5">
        <v>1891.88</v>
      </c>
      <c r="AM23" s="5">
        <v>3116.24</v>
      </c>
      <c r="AN23" s="5">
        <v>2629.72</v>
      </c>
      <c r="AO23" s="5">
        <v>2629.7999999999997</v>
      </c>
      <c r="AP23" s="5">
        <v>2867</v>
      </c>
      <c r="AQ23" s="5">
        <v>3514.78</v>
      </c>
      <c r="AR23" s="5">
        <v>3811.61</v>
      </c>
      <c r="AS23" s="5">
        <v>29070.289999999997</v>
      </c>
    </row>
    <row r="24" spans="1:45" x14ac:dyDescent="0.35">
      <c r="A24" s="2" t="s">
        <v>26</v>
      </c>
      <c r="B24" s="2" t="s">
        <v>41</v>
      </c>
      <c r="C24" s="5">
        <v>-8948.24</v>
      </c>
      <c r="D24" s="5">
        <v>-37094.32</v>
      </c>
      <c r="E24" s="5">
        <v>128.15</v>
      </c>
      <c r="F24" s="5">
        <v>-50691.049999999996</v>
      </c>
      <c r="G24" s="5">
        <v>0</v>
      </c>
      <c r="I24" s="5">
        <v>6.9277916736609768E-14</v>
      </c>
      <c r="K24" s="5">
        <v>36.590000000000003</v>
      </c>
      <c r="L24" s="5">
        <v>-638.14</v>
      </c>
      <c r="M24" s="5">
        <v>-164600.45000000001</v>
      </c>
      <c r="N24" s="5"/>
      <c r="O24" s="5">
        <v>373.33</v>
      </c>
      <c r="P24" s="5">
        <v>-66.69</v>
      </c>
      <c r="Q24" s="5">
        <v>-50771.01</v>
      </c>
      <c r="R24" s="5">
        <v>-185.12</v>
      </c>
      <c r="S24" s="5">
        <v>-312456.95</v>
      </c>
      <c r="T24" s="5"/>
      <c r="U24" s="5"/>
      <c r="V24" s="5"/>
      <c r="W24" s="5"/>
      <c r="X24" s="5"/>
      <c r="Y24" s="5"/>
      <c r="Z24" s="5"/>
      <c r="AA24" s="2" t="s">
        <v>65</v>
      </c>
      <c r="AB24" s="2" t="s">
        <v>90</v>
      </c>
      <c r="AC24" s="5">
        <v>34840.490000000005</v>
      </c>
      <c r="AD24" s="5">
        <v>17798.29</v>
      </c>
      <c r="AE24" s="5">
        <v>29393.52</v>
      </c>
      <c r="AF24" s="5">
        <v>35092.81</v>
      </c>
      <c r="AG24" s="5">
        <v>17566.36</v>
      </c>
      <c r="AH24" s="5">
        <v>35736.100000000013</v>
      </c>
      <c r="AI24" s="5">
        <v>24985.269999999993</v>
      </c>
      <c r="AJ24" s="5">
        <v>28662.380000000005</v>
      </c>
      <c r="AK24" s="5">
        <v>30661.830000000005</v>
      </c>
      <c r="AL24" s="5">
        <v>19558.16</v>
      </c>
      <c r="AM24" s="5">
        <v>34919.629999999997</v>
      </c>
      <c r="AN24" s="5">
        <v>61036.729999999996</v>
      </c>
      <c r="AO24" s="5">
        <v>50322.66</v>
      </c>
      <c r="AP24" s="5">
        <v>41686.35</v>
      </c>
      <c r="AQ24" s="5">
        <v>62289.1</v>
      </c>
      <c r="AR24" s="5">
        <v>46156.219999999994</v>
      </c>
      <c r="AS24" s="5">
        <v>570705.89999999991</v>
      </c>
    </row>
    <row r="25" spans="1:45" x14ac:dyDescent="0.35">
      <c r="A25" s="2" t="s">
        <v>124</v>
      </c>
      <c r="B25" s="2" t="s">
        <v>114</v>
      </c>
      <c r="G25" s="5">
        <v>43.63</v>
      </c>
      <c r="N25" s="5"/>
      <c r="O25" s="5"/>
      <c r="P25" s="5"/>
      <c r="Q25" s="5"/>
      <c r="R25" s="5"/>
      <c r="S25" s="5">
        <v>43.63</v>
      </c>
      <c r="T25" s="5"/>
      <c r="U25" s="5"/>
      <c r="V25" s="5"/>
      <c r="W25" s="5"/>
      <c r="X25" s="5"/>
      <c r="Y25" s="5"/>
      <c r="Z25" s="5"/>
      <c r="AA25" s="2" t="s">
        <v>66</v>
      </c>
      <c r="AB25" s="2" t="s">
        <v>91</v>
      </c>
      <c r="AC25" s="5">
        <v>60</v>
      </c>
      <c r="AD25" s="5">
        <v>1521.99</v>
      </c>
      <c r="AE25" s="5">
        <v>758.52</v>
      </c>
      <c r="AF25" s="5">
        <v>860</v>
      </c>
      <c r="AG25" s="5">
        <v>176</v>
      </c>
      <c r="AH25" s="5">
        <v>175</v>
      </c>
      <c r="AI25" s="5">
        <v>979</v>
      </c>
      <c r="AJ25" s="5">
        <v>745</v>
      </c>
      <c r="AK25" s="5"/>
      <c r="AL25" s="5">
        <v>134.24</v>
      </c>
      <c r="AM25" s="5">
        <v>910</v>
      </c>
      <c r="AN25" s="5">
        <v>55</v>
      </c>
      <c r="AO25" s="5">
        <v>1262.75</v>
      </c>
      <c r="AP25" s="5">
        <v>1117</v>
      </c>
      <c r="AQ25" s="5">
        <v>369</v>
      </c>
      <c r="AR25" s="5">
        <v>131.34</v>
      </c>
      <c r="AS25" s="5">
        <v>9254.84</v>
      </c>
    </row>
    <row r="26" spans="1:45" x14ac:dyDescent="0.35">
      <c r="A26" s="2" t="s">
        <v>27</v>
      </c>
      <c r="B26" s="2" t="s">
        <v>42</v>
      </c>
      <c r="D26" s="5">
        <v>0</v>
      </c>
      <c r="E26" s="5">
        <v>0</v>
      </c>
      <c r="F26" s="5">
        <v>0</v>
      </c>
      <c r="G26" s="5">
        <v>0</v>
      </c>
      <c r="N26" s="5"/>
      <c r="O26" s="5"/>
      <c r="P26" s="5"/>
      <c r="Q26" s="5"/>
      <c r="R26" s="5"/>
      <c r="S26" s="5">
        <v>0</v>
      </c>
      <c r="T26" s="5"/>
      <c r="U26" s="5"/>
      <c r="V26" s="5"/>
      <c r="W26" s="5"/>
      <c r="X26" s="5"/>
      <c r="Y26" s="5"/>
      <c r="Z26" s="5"/>
      <c r="AA26" s="2" t="s">
        <v>67</v>
      </c>
      <c r="AB26" s="2" t="s">
        <v>92</v>
      </c>
      <c r="AC26" s="5">
        <v>212.80999999999997</v>
      </c>
      <c r="AD26" s="5">
        <v>320.54000000000002</v>
      </c>
      <c r="AE26" s="5">
        <v>579.34</v>
      </c>
      <c r="AF26" s="5">
        <v>396.05</v>
      </c>
      <c r="AG26" s="5">
        <v>431.24</v>
      </c>
      <c r="AH26" s="5">
        <v>1664.0200000000002</v>
      </c>
      <c r="AI26" s="5">
        <v>432.53999999999996</v>
      </c>
      <c r="AJ26" s="5">
        <v>315.5</v>
      </c>
      <c r="AK26" s="5">
        <v>342.46999999999997</v>
      </c>
      <c r="AL26" s="5">
        <v>450.97999999999996</v>
      </c>
      <c r="AM26" s="5">
        <v>190.06</v>
      </c>
      <c r="AN26" s="5">
        <v>535.02</v>
      </c>
      <c r="AO26" s="5">
        <v>526.79999999999995</v>
      </c>
      <c r="AP26" s="5"/>
      <c r="AQ26" s="5"/>
      <c r="AR26" s="5">
        <v>133.75</v>
      </c>
      <c r="AS26" s="5">
        <v>6531.1200000000008</v>
      </c>
    </row>
    <row r="27" spans="1:45" x14ac:dyDescent="0.35">
      <c r="A27" s="2" t="s">
        <v>28</v>
      </c>
      <c r="B27" s="2" t="s">
        <v>43</v>
      </c>
      <c r="G27" s="5">
        <v>200000</v>
      </c>
      <c r="I27" s="5">
        <v>100000</v>
      </c>
      <c r="N27" s="5">
        <v>0</v>
      </c>
      <c r="O27" s="5">
        <v>100000</v>
      </c>
      <c r="P27" s="5">
        <v>50000</v>
      </c>
      <c r="Q27" s="5">
        <v>50000</v>
      </c>
      <c r="R27" s="5">
        <v>25000</v>
      </c>
      <c r="S27" s="5">
        <v>525000</v>
      </c>
      <c r="T27" s="5"/>
      <c r="U27" s="5"/>
      <c r="V27" s="5"/>
      <c r="W27" s="5"/>
      <c r="X27" s="5"/>
      <c r="Y27" s="5"/>
      <c r="Z27" s="5"/>
      <c r="AA27" s="2" t="s">
        <v>68</v>
      </c>
      <c r="AB27" s="2" t="s">
        <v>93</v>
      </c>
      <c r="AC27" s="5">
        <v>738.05999999999972</v>
      </c>
      <c r="AD27" s="5">
        <v>398.26000000000005</v>
      </c>
      <c r="AE27" s="5">
        <v>25.889999999999873</v>
      </c>
      <c r="AF27" s="5">
        <v>-2.8421709430404007E-14</v>
      </c>
      <c r="AG27" s="5">
        <v>1134</v>
      </c>
      <c r="AH27" s="5"/>
      <c r="AI27" s="5">
        <v>897.64</v>
      </c>
      <c r="AJ27" s="5">
        <v>87868.77</v>
      </c>
      <c r="AK27" s="5">
        <v>576461.19999999995</v>
      </c>
      <c r="AL27" s="5">
        <v>670046.71</v>
      </c>
      <c r="AM27" s="5">
        <v>305223.4599999999</v>
      </c>
      <c r="AN27" s="5">
        <v>99717.409999999974</v>
      </c>
      <c r="AO27" s="5">
        <v>125546.96</v>
      </c>
      <c r="AP27" s="5">
        <v>157272.18</v>
      </c>
      <c r="AQ27" s="5">
        <v>129518.88</v>
      </c>
      <c r="AR27" s="5">
        <v>126144.92000000001</v>
      </c>
      <c r="AS27" s="5">
        <v>2280994.3399999994</v>
      </c>
    </row>
    <row r="28" spans="1:45" x14ac:dyDescent="0.35">
      <c r="A28" s="2" t="s">
        <v>29</v>
      </c>
      <c r="B28" s="2" t="s">
        <v>44</v>
      </c>
      <c r="C28" s="5">
        <v>150899.91999999998</v>
      </c>
      <c r="D28" s="5">
        <v>230246.40000000002</v>
      </c>
      <c r="E28" s="5">
        <v>245149.5</v>
      </c>
      <c r="F28" s="5">
        <v>319381.28000000003</v>
      </c>
      <c r="G28" s="5">
        <v>333135.93000000005</v>
      </c>
      <c r="H28" s="5">
        <v>329586.67</v>
      </c>
      <c r="I28" s="5">
        <v>164238.47</v>
      </c>
      <c r="J28" s="5">
        <v>171943.49000000002</v>
      </c>
      <c r="K28" s="5">
        <v>228194.78000000003</v>
      </c>
      <c r="L28" s="5">
        <v>259149.46000000002</v>
      </c>
      <c r="M28" s="5">
        <v>197385.44000000003</v>
      </c>
      <c r="N28" s="5">
        <v>226588.58999999997</v>
      </c>
      <c r="O28" s="5">
        <v>218438.04</v>
      </c>
      <c r="P28" s="5">
        <v>227565.83999999997</v>
      </c>
      <c r="Q28" s="5">
        <v>242700.13999999996</v>
      </c>
      <c r="R28" s="5">
        <v>222479.5</v>
      </c>
      <c r="S28" s="5">
        <v>3767083.4499999997</v>
      </c>
      <c r="T28" s="5"/>
      <c r="U28" s="5"/>
      <c r="V28" s="5"/>
      <c r="W28" s="5"/>
      <c r="X28" s="5"/>
      <c r="Y28" s="5"/>
      <c r="Z28" s="5"/>
      <c r="AA28" s="2" t="s">
        <v>69</v>
      </c>
      <c r="AB28" s="2" t="s">
        <v>94</v>
      </c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>
        <v>219.7</v>
      </c>
      <c r="AN28" s="5">
        <v>280.54000000000002</v>
      </c>
      <c r="AO28" s="5">
        <v>736.8</v>
      </c>
      <c r="AP28" s="5"/>
      <c r="AQ28" s="5">
        <v>321.89999999999998</v>
      </c>
      <c r="AR28" s="5"/>
      <c r="AS28" s="5">
        <v>1558.94</v>
      </c>
    </row>
    <row r="29" spans="1:45" x14ac:dyDescent="0.35">
      <c r="A29" s="2" t="s">
        <v>30</v>
      </c>
      <c r="B29" s="2" t="s">
        <v>45</v>
      </c>
      <c r="C29" s="5">
        <v>-3.04</v>
      </c>
      <c r="N29" s="5"/>
      <c r="O29" s="5"/>
      <c r="P29" s="5"/>
      <c r="Q29" s="5"/>
      <c r="R29" s="5"/>
      <c r="S29" s="5">
        <v>-3.04</v>
      </c>
      <c r="T29" s="5"/>
      <c r="U29" s="5"/>
      <c r="V29" s="5"/>
      <c r="W29" s="5"/>
      <c r="X29" s="5"/>
      <c r="Y29" s="5"/>
      <c r="Z29" s="5"/>
      <c r="AA29" s="2" t="s">
        <v>70</v>
      </c>
      <c r="AB29" s="2" t="s">
        <v>142</v>
      </c>
      <c r="AC29" s="5"/>
      <c r="AD29" s="5">
        <v>449.49</v>
      </c>
      <c r="AE29" s="5"/>
      <c r="AF29" s="5"/>
      <c r="AG29" s="5">
        <v>115.98</v>
      </c>
      <c r="AH29" s="5"/>
      <c r="AI29" s="5"/>
      <c r="AJ29" s="5"/>
      <c r="AK29" s="5">
        <v>351.36</v>
      </c>
      <c r="AL29" s="5">
        <v>378.63</v>
      </c>
      <c r="AM29" s="5"/>
      <c r="AN29" s="5">
        <v>1000.68</v>
      </c>
      <c r="AO29" s="5">
        <v>1165.3700000000001</v>
      </c>
      <c r="AP29" s="5">
        <v>1547.8400000000001</v>
      </c>
      <c r="AQ29" s="5">
        <v>3631.36</v>
      </c>
      <c r="AR29" s="5">
        <v>3518.4999999999995</v>
      </c>
      <c r="AS29" s="5">
        <v>12159.210000000001</v>
      </c>
    </row>
    <row r="30" spans="1:45" x14ac:dyDescent="0.35">
      <c r="A30" s="2" t="s">
        <v>31</v>
      </c>
      <c r="B30" s="2" t="s">
        <v>46</v>
      </c>
      <c r="F30" s="5">
        <v>50000</v>
      </c>
      <c r="G30" s="5">
        <v>200000</v>
      </c>
      <c r="I30" s="5">
        <v>135000</v>
      </c>
      <c r="J30" s="5">
        <v>235000</v>
      </c>
      <c r="K30" s="5">
        <v>135000</v>
      </c>
      <c r="L30" s="5">
        <v>135000</v>
      </c>
      <c r="M30" s="5">
        <v>135000</v>
      </c>
      <c r="N30" s="5">
        <v>135000</v>
      </c>
      <c r="O30" s="5">
        <v>200000</v>
      </c>
      <c r="P30" s="5">
        <v>200000</v>
      </c>
      <c r="Q30" s="5">
        <v>140000</v>
      </c>
      <c r="R30" s="5">
        <v>200000</v>
      </c>
      <c r="S30" s="5">
        <v>1900000</v>
      </c>
      <c r="T30" s="5"/>
      <c r="U30" s="5"/>
      <c r="V30" s="5"/>
      <c r="W30" s="5"/>
      <c r="X30" s="5"/>
      <c r="Y30" s="5"/>
      <c r="Z30" s="5"/>
      <c r="AA30" s="2" t="s">
        <v>71</v>
      </c>
      <c r="AB30" s="2" t="s">
        <v>96</v>
      </c>
      <c r="AC30" s="5">
        <v>2593.7599999999993</v>
      </c>
      <c r="AD30" s="5">
        <v>5888.07</v>
      </c>
      <c r="AE30" s="5">
        <v>4970.28</v>
      </c>
      <c r="AF30" s="5">
        <v>5997.4699999999993</v>
      </c>
      <c r="AG30" s="5">
        <v>4895.08</v>
      </c>
      <c r="AH30" s="5">
        <v>4932.7300000000005</v>
      </c>
      <c r="AI30" s="5">
        <v>4568.3499999999985</v>
      </c>
      <c r="AJ30" s="5">
        <v>4584.5300000000016</v>
      </c>
      <c r="AK30" s="5">
        <v>4750.1000000000004</v>
      </c>
      <c r="AL30" s="5">
        <v>6006.1299999999983</v>
      </c>
      <c r="AM30" s="5">
        <v>7411.5199999999995</v>
      </c>
      <c r="AN30" s="5">
        <v>2117.27</v>
      </c>
      <c r="AO30" s="5">
        <v>10440.919999999996</v>
      </c>
      <c r="AP30" s="5">
        <v>3313.79</v>
      </c>
      <c r="AQ30" s="5">
        <v>3150.59</v>
      </c>
      <c r="AR30" s="5">
        <v>3539.6899999999996</v>
      </c>
      <c r="AS30" s="5">
        <v>79160.27999999997</v>
      </c>
    </row>
    <row r="31" spans="1:45" x14ac:dyDescent="0.35">
      <c r="A31" s="2" t="s">
        <v>16</v>
      </c>
      <c r="C31" s="5">
        <v>-1280985.8099999996</v>
      </c>
      <c r="D31" s="5">
        <v>-1250036.3600000001</v>
      </c>
      <c r="E31" s="5">
        <v>-1380715.61</v>
      </c>
      <c r="F31" s="5">
        <v>-1079918.58</v>
      </c>
      <c r="G31" s="5">
        <v>-1123130.5199999996</v>
      </c>
      <c r="H31" s="5">
        <v>-1529548.96</v>
      </c>
      <c r="I31" s="5">
        <v>-1543249.68</v>
      </c>
      <c r="J31" s="5">
        <v>-1649036.97</v>
      </c>
      <c r="K31" s="5">
        <v>-1730112.14</v>
      </c>
      <c r="L31" s="5">
        <v>-1813183.51</v>
      </c>
      <c r="M31" s="5">
        <v>-2064416.9800000002</v>
      </c>
      <c r="N31" s="5">
        <v>-1736179.1</v>
      </c>
      <c r="O31" s="5">
        <v>-1700687.3999999997</v>
      </c>
      <c r="P31" s="5">
        <v>-1728865.2000000002</v>
      </c>
      <c r="Q31" s="5">
        <v>-1886841.8499999999</v>
      </c>
      <c r="R31" s="5">
        <v>-1390345.6500000001</v>
      </c>
      <c r="S31" s="5">
        <v>-24887254.320000011</v>
      </c>
      <c r="T31" s="5">
        <v>21610066.82</v>
      </c>
      <c r="AA31" s="2" t="s">
        <v>127</v>
      </c>
      <c r="AB31" s="2" t="s">
        <v>128</v>
      </c>
      <c r="AC31" s="5"/>
      <c r="AD31" s="5"/>
      <c r="AE31" s="5"/>
      <c r="AF31" s="5"/>
      <c r="AG31" s="5"/>
      <c r="AH31" s="5"/>
      <c r="AI31" s="5">
        <v>50000</v>
      </c>
      <c r="AJ31" s="5">
        <v>30000</v>
      </c>
      <c r="AK31" s="5">
        <v>50000</v>
      </c>
      <c r="AL31" s="5"/>
      <c r="AM31" s="5"/>
      <c r="AN31" s="5">
        <v>25000</v>
      </c>
      <c r="AO31" s="5"/>
      <c r="AP31" s="5"/>
      <c r="AQ31" s="5"/>
      <c r="AR31" s="5"/>
      <c r="AS31" s="5">
        <v>155000</v>
      </c>
    </row>
    <row r="32" spans="1:45" x14ac:dyDescent="0.35">
      <c r="C32"/>
      <c r="D32"/>
      <c r="E32"/>
      <c r="F32"/>
      <c r="G32"/>
      <c r="H32"/>
      <c r="I32"/>
      <c r="J32"/>
      <c r="K32"/>
      <c r="L32"/>
      <c r="M32"/>
      <c r="T32">
        <v>-21609916.82</v>
      </c>
      <c r="AA32" s="2" t="s">
        <v>73</v>
      </c>
      <c r="AB32" s="2" t="s">
        <v>98</v>
      </c>
      <c r="AC32" s="5">
        <v>73500</v>
      </c>
      <c r="AD32" s="5">
        <v>38500</v>
      </c>
      <c r="AE32" s="5">
        <v>53538</v>
      </c>
      <c r="AF32" s="5">
        <v>17474</v>
      </c>
      <c r="AG32" s="5">
        <v>104518</v>
      </c>
      <c r="AH32" s="5">
        <v>3500</v>
      </c>
      <c r="AI32" s="5">
        <v>130000</v>
      </c>
      <c r="AJ32" s="5">
        <v>7000</v>
      </c>
      <c r="AK32" s="5">
        <v>133675</v>
      </c>
      <c r="AL32" s="5"/>
      <c r="AM32" s="5">
        <v>11720</v>
      </c>
      <c r="AN32" s="5">
        <v>41745.49</v>
      </c>
      <c r="AO32" s="5">
        <v>63647.21</v>
      </c>
      <c r="AP32" s="5">
        <v>12072.79</v>
      </c>
      <c r="AQ32" s="5">
        <v>6432</v>
      </c>
      <c r="AR32" s="5">
        <v>6432</v>
      </c>
      <c r="AS32" s="5">
        <v>703754.49</v>
      </c>
    </row>
    <row r="33" spans="3:45" x14ac:dyDescent="0.35">
      <c r="C33"/>
      <c r="D33"/>
      <c r="E33"/>
      <c r="F33"/>
      <c r="G33"/>
      <c r="H33"/>
      <c r="I33"/>
      <c r="J33"/>
      <c r="K33"/>
      <c r="L33"/>
      <c r="M33"/>
      <c r="AA33" s="2" t="s">
        <v>129</v>
      </c>
      <c r="AB33" s="2" t="s">
        <v>130</v>
      </c>
      <c r="AC33" s="5"/>
      <c r="AD33" s="5">
        <v>0</v>
      </c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>
        <v>0</v>
      </c>
    </row>
    <row r="34" spans="3:45" x14ac:dyDescent="0.35">
      <c r="C34"/>
      <c r="D34"/>
      <c r="E34"/>
      <c r="F34"/>
      <c r="G34"/>
      <c r="H34"/>
      <c r="I34"/>
      <c r="J34"/>
      <c r="K34"/>
      <c r="L34"/>
      <c r="M34"/>
      <c r="AA34" s="2" t="s">
        <v>76</v>
      </c>
      <c r="AB34" s="2" t="s">
        <v>100</v>
      </c>
      <c r="AC34" s="5"/>
      <c r="AD34" s="5"/>
      <c r="AE34" s="5">
        <v>0</v>
      </c>
      <c r="AF34" s="5">
        <v>40</v>
      </c>
      <c r="AG34" s="5">
        <v>0</v>
      </c>
      <c r="AH34" s="5">
        <v>0</v>
      </c>
      <c r="AI34" s="5">
        <v>20</v>
      </c>
      <c r="AJ34" s="5">
        <v>20</v>
      </c>
      <c r="AK34" s="5">
        <v>0</v>
      </c>
      <c r="AL34" s="5">
        <v>0</v>
      </c>
      <c r="AM34" s="5">
        <v>20</v>
      </c>
      <c r="AN34" s="5">
        <v>0</v>
      </c>
      <c r="AO34" s="5">
        <v>0</v>
      </c>
      <c r="AP34" s="5">
        <v>20</v>
      </c>
      <c r="AQ34" s="5">
        <v>20</v>
      </c>
      <c r="AR34" s="5">
        <v>-40</v>
      </c>
      <c r="AS34" s="5">
        <v>100</v>
      </c>
    </row>
    <row r="35" spans="3:45" x14ac:dyDescent="0.35">
      <c r="C35"/>
      <c r="D35"/>
      <c r="E35"/>
      <c r="F35"/>
      <c r="G35"/>
      <c r="H35"/>
      <c r="I35"/>
      <c r="J35"/>
      <c r="K35"/>
      <c r="L35"/>
      <c r="M35"/>
      <c r="AA35" s="2" t="s">
        <v>77</v>
      </c>
      <c r="AB35" s="2" t="s">
        <v>101</v>
      </c>
      <c r="AC35" s="5">
        <v>10333.740000000002</v>
      </c>
      <c r="AD35" s="5">
        <v>14329.379999999994</v>
      </c>
      <c r="AE35" s="5">
        <v>9669.98</v>
      </c>
      <c r="AF35" s="5">
        <v>9386.09</v>
      </c>
      <c r="AG35" s="5">
        <v>11997.469999999998</v>
      </c>
      <c r="AH35" s="5">
        <v>18236.890000000007</v>
      </c>
      <c r="AI35" s="5">
        <v>49708.609999999986</v>
      </c>
      <c r="AJ35" s="5">
        <v>68348.940000000017</v>
      </c>
      <c r="AK35" s="5">
        <v>87641.539999999979</v>
      </c>
      <c r="AL35" s="5">
        <v>72913.540000000008</v>
      </c>
      <c r="AM35" s="5">
        <v>38566.019999999997</v>
      </c>
      <c r="AN35" s="5">
        <v>30444.279999999992</v>
      </c>
      <c r="AO35" s="5">
        <v>41108.630000000012</v>
      </c>
      <c r="AP35" s="5">
        <v>44542.280000000013</v>
      </c>
      <c r="AQ35" s="5">
        <v>87322.290000000008</v>
      </c>
      <c r="AR35" s="5">
        <v>84471.91</v>
      </c>
      <c r="AS35" s="5">
        <v>679021.59000000008</v>
      </c>
    </row>
    <row r="36" spans="3:45" x14ac:dyDescent="0.35">
      <c r="C36"/>
      <c r="D36"/>
      <c r="E36"/>
      <c r="F36"/>
      <c r="G36"/>
      <c r="H36"/>
      <c r="I36"/>
      <c r="J36"/>
      <c r="K36"/>
      <c r="L36"/>
      <c r="M36"/>
      <c r="AA36" s="2" t="s">
        <v>78</v>
      </c>
      <c r="AB36" s="2" t="s">
        <v>102</v>
      </c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>
        <v>14.82</v>
      </c>
      <c r="AS36" s="5">
        <v>14.82</v>
      </c>
    </row>
    <row r="37" spans="3:45" x14ac:dyDescent="0.35">
      <c r="C37"/>
      <c r="D37"/>
      <c r="E37"/>
      <c r="F37"/>
      <c r="G37"/>
      <c r="H37"/>
      <c r="I37"/>
      <c r="J37"/>
      <c r="K37"/>
      <c r="L37"/>
      <c r="M37"/>
      <c r="AA37" s="2" t="s">
        <v>16</v>
      </c>
      <c r="AC37" s="5">
        <v>1132931.6700000002</v>
      </c>
      <c r="AD37" s="5">
        <v>1099529.8400000005</v>
      </c>
      <c r="AE37" s="5">
        <v>1120518.3700000003</v>
      </c>
      <c r="AF37" s="5">
        <v>1192442.6099999999</v>
      </c>
      <c r="AG37" s="5">
        <v>1284709.97</v>
      </c>
      <c r="AH37" s="5">
        <v>1212498.2799999998</v>
      </c>
      <c r="AI37" s="5">
        <v>1433421.96</v>
      </c>
      <c r="AJ37" s="5">
        <v>1435113.53</v>
      </c>
      <c r="AK37" s="5">
        <v>2101756.67</v>
      </c>
      <c r="AL37" s="5">
        <v>2009012.6499999997</v>
      </c>
      <c r="AM37" s="5">
        <v>1650557.4699999995</v>
      </c>
      <c r="AN37" s="5">
        <v>1555253.43</v>
      </c>
      <c r="AO37" s="5">
        <v>1570835.8600000003</v>
      </c>
      <c r="AP37" s="5">
        <v>1557387.43</v>
      </c>
      <c r="AQ37" s="5">
        <v>1731784.7100000002</v>
      </c>
      <c r="AR37" s="5">
        <v>1590743.19</v>
      </c>
      <c r="AS37" s="5">
        <v>23678497.639999997</v>
      </c>
    </row>
    <row r="38" spans="3:45" x14ac:dyDescent="0.35">
      <c r="C38"/>
      <c r="D38"/>
      <c r="E38"/>
      <c r="F38"/>
      <c r="G38"/>
      <c r="H38"/>
      <c r="I38"/>
      <c r="J38"/>
      <c r="K38"/>
      <c r="L38"/>
      <c r="M38"/>
    </row>
    <row r="39" spans="3:45" x14ac:dyDescent="0.35">
      <c r="C39"/>
      <c r="D39"/>
      <c r="E39"/>
      <c r="F39"/>
      <c r="G39"/>
      <c r="H39"/>
      <c r="I39"/>
      <c r="J39"/>
      <c r="K39"/>
      <c r="L39"/>
      <c r="M39"/>
    </row>
    <row r="40" spans="3:45" x14ac:dyDescent="0.35">
      <c r="C40"/>
      <c r="D40"/>
      <c r="E40"/>
      <c r="F40"/>
      <c r="G40"/>
      <c r="H40"/>
      <c r="I40"/>
      <c r="J40"/>
      <c r="K40"/>
      <c r="L40"/>
      <c r="M40"/>
    </row>
    <row r="41" spans="3:45" x14ac:dyDescent="0.35">
      <c r="C41"/>
      <c r="D41"/>
      <c r="E41"/>
      <c r="F41"/>
      <c r="G41"/>
      <c r="H41"/>
      <c r="I41"/>
      <c r="J41"/>
      <c r="K41"/>
      <c r="L41"/>
      <c r="M41"/>
    </row>
    <row r="42" spans="3:45" x14ac:dyDescent="0.35">
      <c r="C42"/>
      <c r="D42"/>
      <c r="E42"/>
      <c r="F42"/>
      <c r="G42"/>
      <c r="H42"/>
      <c r="I42"/>
      <c r="J42"/>
      <c r="K42"/>
      <c r="L42"/>
      <c r="M42"/>
    </row>
    <row r="43" spans="3:45" x14ac:dyDescent="0.35">
      <c r="C43"/>
      <c r="D43"/>
      <c r="E43"/>
      <c r="F43"/>
      <c r="G43"/>
      <c r="H43"/>
      <c r="I43"/>
      <c r="J43"/>
      <c r="K43"/>
      <c r="L43"/>
      <c r="M43"/>
    </row>
    <row r="44" spans="3:45" x14ac:dyDescent="0.35">
      <c r="C44"/>
      <c r="D44"/>
      <c r="E44"/>
      <c r="F44"/>
      <c r="G44"/>
      <c r="H44"/>
      <c r="I44"/>
      <c r="J44"/>
      <c r="K44"/>
      <c r="L44"/>
      <c r="M44"/>
    </row>
    <row r="45" spans="3:45" x14ac:dyDescent="0.35">
      <c r="C45"/>
      <c r="D45"/>
      <c r="E45"/>
      <c r="F45"/>
      <c r="G45"/>
      <c r="H45"/>
      <c r="I45"/>
      <c r="J45"/>
      <c r="K45"/>
      <c r="L45"/>
      <c r="M45"/>
      <c r="AM45" s="5"/>
    </row>
    <row r="68" spans="1:40" x14ac:dyDescent="0.35">
      <c r="AA68" s="3" t="s">
        <v>1</v>
      </c>
      <c r="AB68" s="4" t="s" vm="9">
        <v>151</v>
      </c>
    </row>
    <row r="69" spans="1:40" x14ac:dyDescent="0.35">
      <c r="A69" s="3" t="s">
        <v>1</v>
      </c>
      <c r="B69" s="4" t="s" vm="10">
        <v>152</v>
      </c>
      <c r="AA69" s="3" t="s">
        <v>2</v>
      </c>
      <c r="AB69" s="4" t="s" vm="3">
        <v>125</v>
      </c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</row>
    <row r="70" spans="1:40" x14ac:dyDescent="0.35">
      <c r="A70" s="3" t="s">
        <v>2</v>
      </c>
      <c r="B70" s="4" t="s" vm="3">
        <v>125</v>
      </c>
      <c r="AA70" s="3" t="s">
        <v>3</v>
      </c>
      <c r="AB70" s="4" t="s" vm="1">
        <v>4</v>
      </c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</row>
    <row r="71" spans="1:40" x14ac:dyDescent="0.35">
      <c r="A71" s="3" t="s">
        <v>3</v>
      </c>
      <c r="B71" s="4" t="s" vm="1">
        <v>4</v>
      </c>
      <c r="AA71" s="1" t="s">
        <v>113</v>
      </c>
      <c r="AB71" t="s" vm="12">
        <v>155</v>
      </c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</row>
    <row r="72" spans="1:40" x14ac:dyDescent="0.35">
      <c r="A72" s="1" t="s">
        <v>106</v>
      </c>
      <c r="B72" t="s" vm="2">
        <v>107</v>
      </c>
    </row>
    <row r="73" spans="1:40" x14ac:dyDescent="0.35">
      <c r="A73" s="6" t="s">
        <v>113</v>
      </c>
      <c r="B73" s="5" t="s" vm="12">
        <v>155</v>
      </c>
      <c r="AA73" s="1" t="s">
        <v>48</v>
      </c>
      <c r="AC73" s="1" t="s">
        <v>5</v>
      </c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</row>
    <row r="74" spans="1:40" x14ac:dyDescent="0.35">
      <c r="C74"/>
      <c r="D74"/>
      <c r="E74"/>
      <c r="F74"/>
      <c r="G74"/>
      <c r="H74"/>
      <c r="I74"/>
      <c r="J74"/>
      <c r="K74"/>
      <c r="L74"/>
      <c r="M74"/>
      <c r="AA74" s="1" t="s">
        <v>17</v>
      </c>
      <c r="AB74" s="1" t="s">
        <v>103</v>
      </c>
      <c r="AC74" t="s">
        <v>112</v>
      </c>
      <c r="AD74" t="s">
        <v>149</v>
      </c>
      <c r="AE74" t="s">
        <v>154</v>
      </c>
      <c r="AF74" t="s">
        <v>157</v>
      </c>
      <c r="AG74" t="s">
        <v>158</v>
      </c>
      <c r="AH74" t="s">
        <v>159</v>
      </c>
      <c r="AI74" t="s">
        <v>160</v>
      </c>
      <c r="AJ74" t="s">
        <v>161</v>
      </c>
      <c r="AK74" t="s">
        <v>162</v>
      </c>
      <c r="AL74" t="s">
        <v>163</v>
      </c>
      <c r="AM74" t="s">
        <v>164</v>
      </c>
      <c r="AN74" s="5" t="s">
        <v>16</v>
      </c>
    </row>
    <row r="75" spans="1:40" x14ac:dyDescent="0.35">
      <c r="A75" s="1" t="s">
        <v>48</v>
      </c>
      <c r="C75" s="1" t="s">
        <v>5</v>
      </c>
      <c r="N75" s="5"/>
      <c r="AA75" s="2" t="s">
        <v>51</v>
      </c>
      <c r="AB75" s="2" t="s">
        <v>79</v>
      </c>
      <c r="AC75" s="5">
        <v>59625.229999999996</v>
      </c>
      <c r="AD75" s="5">
        <v>95865.99000000002</v>
      </c>
      <c r="AE75" s="5">
        <v>72288.459999999992</v>
      </c>
      <c r="AF75" s="5">
        <v>58440.4</v>
      </c>
      <c r="AG75" s="5">
        <v>58587.259999999995</v>
      </c>
      <c r="AH75" s="5">
        <v>60690.39</v>
      </c>
      <c r="AI75" s="5">
        <v>94190.37</v>
      </c>
      <c r="AJ75" s="5">
        <v>62793.58</v>
      </c>
      <c r="AK75" s="5">
        <v>63183.189999999988</v>
      </c>
      <c r="AL75" s="5">
        <v>60556</v>
      </c>
      <c r="AM75" s="5">
        <v>57676.08</v>
      </c>
      <c r="AN75" s="5">
        <v>743896.95</v>
      </c>
    </row>
    <row r="76" spans="1:40" x14ac:dyDescent="0.35">
      <c r="A76" s="1" t="s">
        <v>17</v>
      </c>
      <c r="B76" s="1" t="s">
        <v>47</v>
      </c>
      <c r="C76" t="s">
        <v>112</v>
      </c>
      <c r="D76" t="s">
        <v>149</v>
      </c>
      <c r="E76" t="s">
        <v>154</v>
      </c>
      <c r="F76" t="s">
        <v>157</v>
      </c>
      <c r="G76" t="s">
        <v>158</v>
      </c>
      <c r="H76" t="s">
        <v>159</v>
      </c>
      <c r="I76" t="s">
        <v>160</v>
      </c>
      <c r="J76" t="s">
        <v>161</v>
      </c>
      <c r="K76" t="s">
        <v>162</v>
      </c>
      <c r="L76" t="s">
        <v>163</v>
      </c>
      <c r="M76" t="s">
        <v>164</v>
      </c>
      <c r="N76" s="5" t="s">
        <v>16</v>
      </c>
      <c r="AA76" s="2" t="s">
        <v>126</v>
      </c>
      <c r="AB76" s="2" t="s">
        <v>79</v>
      </c>
      <c r="AC76" s="5">
        <v>7032.7999999999993</v>
      </c>
      <c r="AD76" s="5">
        <v>10500.32</v>
      </c>
      <c r="AE76" s="5">
        <v>7196.34</v>
      </c>
      <c r="AF76" s="5">
        <v>7003.99</v>
      </c>
      <c r="AG76" s="5">
        <v>7317.33</v>
      </c>
      <c r="AH76" s="5">
        <v>3700</v>
      </c>
      <c r="AI76" s="5"/>
      <c r="AJ76" s="5">
        <v>789.2</v>
      </c>
      <c r="AK76" s="5">
        <v>6841.52</v>
      </c>
      <c r="AL76" s="5">
        <v>6853.33</v>
      </c>
      <c r="AM76" s="5">
        <v>6936</v>
      </c>
      <c r="AN76" s="5">
        <v>64170.83</v>
      </c>
    </row>
    <row r="77" spans="1:40" x14ac:dyDescent="0.35">
      <c r="A77" s="2" t="s">
        <v>115</v>
      </c>
      <c r="B77" s="2" t="s">
        <v>116</v>
      </c>
      <c r="C77" s="5">
        <v>-19200</v>
      </c>
      <c r="D77" s="5">
        <v>-11520</v>
      </c>
      <c r="E77" s="5">
        <v>-10560</v>
      </c>
      <c r="F77" s="5">
        <v>-11360</v>
      </c>
      <c r="G77" s="5">
        <v>-185120</v>
      </c>
      <c r="H77" s="5">
        <v>-812640</v>
      </c>
      <c r="I77" s="5">
        <v>-180960</v>
      </c>
      <c r="J77" s="5">
        <v>-92800</v>
      </c>
      <c r="K77" s="5">
        <v>-291040</v>
      </c>
      <c r="L77" s="5">
        <v>-41600</v>
      </c>
      <c r="M77" s="5">
        <v>-36000</v>
      </c>
      <c r="N77" s="5">
        <v>-1692800</v>
      </c>
      <c r="AA77" s="2" t="s">
        <v>53</v>
      </c>
      <c r="AB77" s="2" t="s">
        <v>79</v>
      </c>
      <c r="AC77" s="5">
        <v>672.7</v>
      </c>
      <c r="AD77" s="5">
        <v>1729.8600000000001</v>
      </c>
      <c r="AE77" s="5">
        <v>5646.5099999999993</v>
      </c>
      <c r="AF77" s="5">
        <v>1216.1400000000001</v>
      </c>
      <c r="AG77" s="5">
        <v>799.19</v>
      </c>
      <c r="AH77" s="5">
        <v>597.72</v>
      </c>
      <c r="AI77" s="5">
        <v>896.58</v>
      </c>
      <c r="AJ77" s="5">
        <v>597.72</v>
      </c>
      <c r="AK77" s="5">
        <v>692.2</v>
      </c>
      <c r="AL77" s="5">
        <v>14077.169999999998</v>
      </c>
      <c r="AM77" s="5">
        <v>608.1</v>
      </c>
      <c r="AN77" s="5">
        <v>27533.889999999996</v>
      </c>
    </row>
    <row r="78" spans="1:40" x14ac:dyDescent="0.35">
      <c r="A78" s="2" t="s">
        <v>18</v>
      </c>
      <c r="B78" s="2" t="s">
        <v>32</v>
      </c>
      <c r="C78" s="5">
        <v>-8320</v>
      </c>
      <c r="D78" s="5">
        <v>-5420</v>
      </c>
      <c r="E78" s="5">
        <v>-4240.0200000000004</v>
      </c>
      <c r="F78" s="5">
        <v>-6970</v>
      </c>
      <c r="G78" s="5">
        <v>-17440</v>
      </c>
      <c r="H78" s="5">
        <v>-35030</v>
      </c>
      <c r="I78" s="5">
        <v>-19980</v>
      </c>
      <c r="J78" s="5">
        <v>-10675</v>
      </c>
      <c r="K78" s="5">
        <v>-12680.01</v>
      </c>
      <c r="L78" s="5">
        <v>-13345</v>
      </c>
      <c r="M78" s="5">
        <v>-10640</v>
      </c>
      <c r="N78" s="5">
        <v>-144740.03</v>
      </c>
      <c r="AA78" s="2" t="s">
        <v>54</v>
      </c>
      <c r="AB78" s="2" t="s">
        <v>79</v>
      </c>
      <c r="AC78" s="5">
        <v>110</v>
      </c>
      <c r="AD78" s="5">
        <v>709.38</v>
      </c>
      <c r="AE78" s="5"/>
      <c r="AF78" s="5"/>
      <c r="AG78" s="5">
        <v>220</v>
      </c>
      <c r="AH78" s="5">
        <v>275</v>
      </c>
      <c r="AI78" s="5"/>
      <c r="AJ78" s="5">
        <v>275</v>
      </c>
      <c r="AK78" s="5">
        <v>385</v>
      </c>
      <c r="AL78" s="5">
        <v>440</v>
      </c>
      <c r="AM78" s="5"/>
      <c r="AN78" s="5">
        <v>2414.38</v>
      </c>
    </row>
    <row r="79" spans="1:40" x14ac:dyDescent="0.35">
      <c r="A79" s="2" t="s">
        <v>138</v>
      </c>
      <c r="B79" s="2" t="s">
        <v>139</v>
      </c>
      <c r="F79" s="5">
        <v>-100</v>
      </c>
      <c r="N79" s="5">
        <v>-100</v>
      </c>
      <c r="AA79" s="2" t="s">
        <v>55</v>
      </c>
      <c r="AB79" s="2" t="s">
        <v>80</v>
      </c>
      <c r="AC79" s="5">
        <v>38790.100000000006</v>
      </c>
      <c r="AD79" s="5">
        <v>37560.19</v>
      </c>
      <c r="AE79" s="5">
        <v>26838.400000000001</v>
      </c>
      <c r="AF79" s="5">
        <v>23640.639999999999</v>
      </c>
      <c r="AG79" s="5">
        <v>23654.870000000003</v>
      </c>
      <c r="AH79" s="5">
        <v>38140.57</v>
      </c>
      <c r="AI79" s="5">
        <v>56373.279999999999</v>
      </c>
      <c r="AJ79" s="5">
        <v>37869.310000000005</v>
      </c>
      <c r="AK79" s="5">
        <v>32088.300000000003</v>
      </c>
      <c r="AL79" s="5">
        <v>44749.89</v>
      </c>
      <c r="AM79" s="5">
        <v>37304.130000000005</v>
      </c>
      <c r="AN79" s="5">
        <v>397009.68000000005</v>
      </c>
    </row>
    <row r="80" spans="1:40" x14ac:dyDescent="0.35">
      <c r="A80" s="2" t="s">
        <v>26</v>
      </c>
      <c r="B80" s="2" t="s">
        <v>41</v>
      </c>
      <c r="C80" s="5">
        <v>-185.12</v>
      </c>
      <c r="N80" s="5">
        <v>-185.12</v>
      </c>
      <c r="AA80" s="2" t="s">
        <v>56</v>
      </c>
      <c r="AB80" s="2" t="s">
        <v>81</v>
      </c>
      <c r="AC80" s="5">
        <v>3049.6</v>
      </c>
      <c r="AD80" s="5">
        <v>6522.76</v>
      </c>
      <c r="AE80" s="5">
        <v>5278.26</v>
      </c>
      <c r="AF80" s="5">
        <v>6142.8199999999988</v>
      </c>
      <c r="AG80" s="5">
        <v>7282.3900000000012</v>
      </c>
      <c r="AH80" s="5">
        <v>4149.7700000000004</v>
      </c>
      <c r="AI80" s="5">
        <v>5860.14</v>
      </c>
      <c r="AJ80" s="5">
        <v>6387.4000000000005</v>
      </c>
      <c r="AK80" s="5">
        <v>5154.9600000000009</v>
      </c>
      <c r="AL80" s="5">
        <v>5294.73</v>
      </c>
      <c r="AM80" s="5">
        <v>7576.170000000001</v>
      </c>
      <c r="AN80" s="5">
        <v>62699</v>
      </c>
    </row>
    <row r="81" spans="1:40" x14ac:dyDescent="0.35">
      <c r="A81" s="2" t="s">
        <v>28</v>
      </c>
      <c r="B81" s="2" t="s">
        <v>43</v>
      </c>
      <c r="G81" s="5">
        <v>25000</v>
      </c>
      <c r="N81" s="5">
        <v>25000</v>
      </c>
      <c r="AA81" s="2" t="s">
        <v>58</v>
      </c>
      <c r="AB81" s="2" t="s">
        <v>83</v>
      </c>
      <c r="AC81" s="5">
        <v>192</v>
      </c>
      <c r="AD81" s="5">
        <v>29.55</v>
      </c>
      <c r="AE81" s="5">
        <v>47.57</v>
      </c>
      <c r="AF81" s="5">
        <v>18.989999999999998</v>
      </c>
      <c r="AG81" s="5">
        <v>25.53</v>
      </c>
      <c r="AH81" s="5"/>
      <c r="AI81" s="5">
        <v>47.27</v>
      </c>
      <c r="AJ81" s="5">
        <v>503.44</v>
      </c>
      <c r="AK81" s="5">
        <v>200.56</v>
      </c>
      <c r="AL81" s="5">
        <v>11.3</v>
      </c>
      <c r="AM81" s="5">
        <v>30.86</v>
      </c>
      <c r="AN81" s="5">
        <v>1107.0699999999997</v>
      </c>
    </row>
    <row r="82" spans="1:40" x14ac:dyDescent="0.35">
      <c r="A82" s="2" t="s">
        <v>29</v>
      </c>
      <c r="B82" s="2" t="s">
        <v>44</v>
      </c>
      <c r="C82" s="5">
        <v>20232.629999999997</v>
      </c>
      <c r="D82" s="5">
        <v>18120.059999999998</v>
      </c>
      <c r="E82" s="5">
        <v>23805.510000000002</v>
      </c>
      <c r="F82" s="5">
        <v>25752.190000000002</v>
      </c>
      <c r="G82" s="5">
        <v>15182.77</v>
      </c>
      <c r="H82" s="5">
        <v>13736.529999999999</v>
      </c>
      <c r="I82" s="5">
        <v>18652.64</v>
      </c>
      <c r="J82" s="5">
        <v>24122.07</v>
      </c>
      <c r="K82" s="5">
        <v>20404.72</v>
      </c>
      <c r="L82" s="5">
        <v>22354.38</v>
      </c>
      <c r="M82" s="5">
        <v>20116</v>
      </c>
      <c r="N82" s="5">
        <v>222479.50000000003</v>
      </c>
      <c r="AA82" s="2" t="s">
        <v>59</v>
      </c>
      <c r="AB82" s="2" t="s">
        <v>84</v>
      </c>
      <c r="AC82" s="5"/>
      <c r="AD82" s="5"/>
      <c r="AE82" s="5"/>
      <c r="AF82" s="5">
        <v>1644.01</v>
      </c>
      <c r="AG82" s="5">
        <v>828.6800000000004</v>
      </c>
      <c r="AH82" s="5">
        <v>104</v>
      </c>
      <c r="AI82" s="5"/>
      <c r="AJ82" s="5">
        <v>-1062.6400000000001</v>
      </c>
      <c r="AK82" s="5">
        <v>1753.0299999999997</v>
      </c>
      <c r="AL82" s="5"/>
      <c r="AM82" s="5">
        <v>1334.6399999999999</v>
      </c>
      <c r="AN82" s="5">
        <v>4601.7199999999993</v>
      </c>
    </row>
    <row r="83" spans="1:40" x14ac:dyDescent="0.35">
      <c r="A83" s="2" t="s">
        <v>31</v>
      </c>
      <c r="B83" s="2" t="s">
        <v>46</v>
      </c>
      <c r="M83" s="5">
        <v>200000</v>
      </c>
      <c r="N83" s="5">
        <v>200000</v>
      </c>
      <c r="T83" s="59"/>
      <c r="AA83" s="2" t="s">
        <v>62</v>
      </c>
      <c r="AB83" s="2" t="s">
        <v>87</v>
      </c>
      <c r="AC83" s="5"/>
      <c r="AD83" s="5">
        <v>1111.71</v>
      </c>
      <c r="AE83" s="5">
        <v>2869.3</v>
      </c>
      <c r="AF83" s="5">
        <v>194.24</v>
      </c>
      <c r="AG83" s="5">
        <v>70.180000000000007</v>
      </c>
      <c r="AH83" s="5">
        <v>2495.92</v>
      </c>
      <c r="AI83" s="5">
        <v>2544.8000000000002</v>
      </c>
      <c r="AJ83" s="5">
        <v>862.23</v>
      </c>
      <c r="AK83" s="5">
        <v>793.15</v>
      </c>
      <c r="AL83" s="5">
        <v>856.82</v>
      </c>
      <c r="AM83" s="5">
        <v>1196.56</v>
      </c>
      <c r="AN83" s="5">
        <v>12994.91</v>
      </c>
    </row>
    <row r="84" spans="1:40" x14ac:dyDescent="0.35">
      <c r="A84" s="2" t="s">
        <v>16</v>
      </c>
      <c r="C84" s="5">
        <v>-7472.4900000000025</v>
      </c>
      <c r="D84" s="5">
        <v>1180.0599999999977</v>
      </c>
      <c r="E84" s="5">
        <v>9005.4900000000016</v>
      </c>
      <c r="F84" s="5">
        <v>7322.1900000000023</v>
      </c>
      <c r="G84" s="5">
        <v>-162377.23000000001</v>
      </c>
      <c r="H84" s="5">
        <v>-833933.47</v>
      </c>
      <c r="I84" s="5">
        <v>-182287.35999999999</v>
      </c>
      <c r="J84" s="5">
        <v>-79352.929999999993</v>
      </c>
      <c r="K84" s="5">
        <v>-283315.29000000004</v>
      </c>
      <c r="L84" s="5">
        <v>-32590.62</v>
      </c>
      <c r="M84" s="5">
        <v>173476</v>
      </c>
      <c r="N84" s="5">
        <v>-1390345.6500000001</v>
      </c>
      <c r="AA84" s="2" t="s">
        <v>64</v>
      </c>
      <c r="AB84" s="2" t="s">
        <v>89</v>
      </c>
      <c r="AC84" s="5"/>
      <c r="AD84" s="5">
        <v>3483</v>
      </c>
      <c r="AE84" s="5">
        <v>150</v>
      </c>
      <c r="AF84" s="5"/>
      <c r="AG84" s="5"/>
      <c r="AH84" s="5"/>
      <c r="AI84" s="5">
        <v>4.6100000000000003</v>
      </c>
      <c r="AJ84" s="5">
        <v>174</v>
      </c>
      <c r="AK84" s="5"/>
      <c r="AL84" s="5"/>
      <c r="AM84" s="5"/>
      <c r="AN84" s="5">
        <v>3811.61</v>
      </c>
    </row>
    <row r="85" spans="1:40" x14ac:dyDescent="0.35">
      <c r="C85"/>
      <c r="D85"/>
      <c r="E85"/>
      <c r="F85"/>
      <c r="G85"/>
      <c r="H85"/>
      <c r="I85"/>
      <c r="J85"/>
      <c r="K85"/>
      <c r="L85"/>
      <c r="M85"/>
      <c r="AA85" s="2" t="s">
        <v>65</v>
      </c>
      <c r="AB85" s="2" t="s">
        <v>90</v>
      </c>
      <c r="AC85" s="5">
        <v>671.83</v>
      </c>
      <c r="AD85" s="5">
        <v>900.43999999999994</v>
      </c>
      <c r="AE85" s="5">
        <v>793.0200000000001</v>
      </c>
      <c r="AF85" s="5">
        <v>306.18</v>
      </c>
      <c r="AG85" s="5">
        <v>1199.01</v>
      </c>
      <c r="AH85" s="5">
        <v>3239.2500000000005</v>
      </c>
      <c r="AI85" s="5">
        <v>423.54000000000008</v>
      </c>
      <c r="AJ85" s="5">
        <v>15807.34</v>
      </c>
      <c r="AK85" s="5">
        <v>4195.51</v>
      </c>
      <c r="AL85" s="5">
        <v>1040.5</v>
      </c>
      <c r="AM85" s="5">
        <v>17579.599999999999</v>
      </c>
      <c r="AN85" s="5">
        <v>46156.22</v>
      </c>
    </row>
    <row r="86" spans="1:40" x14ac:dyDescent="0.35">
      <c r="C86"/>
      <c r="D86"/>
      <c r="E86"/>
      <c r="F86"/>
      <c r="G86"/>
      <c r="H86"/>
      <c r="I86"/>
      <c r="J86"/>
      <c r="K86"/>
      <c r="L86"/>
      <c r="M86"/>
      <c r="AA86" s="2" t="s">
        <v>66</v>
      </c>
      <c r="AB86" s="2" t="s">
        <v>91</v>
      </c>
      <c r="AC86" s="5"/>
      <c r="AD86" s="5"/>
      <c r="AE86" s="5"/>
      <c r="AF86" s="5"/>
      <c r="AG86" s="5">
        <v>131.34</v>
      </c>
      <c r="AH86" s="5">
        <v>0</v>
      </c>
      <c r="AI86" s="5"/>
      <c r="AJ86" s="5"/>
      <c r="AK86" s="5"/>
      <c r="AL86" s="5"/>
      <c r="AM86" s="5"/>
      <c r="AN86" s="5">
        <v>131.34</v>
      </c>
    </row>
    <row r="87" spans="1:40" x14ac:dyDescent="0.35">
      <c r="C87"/>
      <c r="D87"/>
      <c r="E87"/>
      <c r="F87"/>
      <c r="G87"/>
      <c r="H87"/>
      <c r="I87"/>
      <c r="J87"/>
      <c r="K87"/>
      <c r="L87"/>
      <c r="M87"/>
      <c r="AA87" s="2" t="s">
        <v>67</v>
      </c>
      <c r="AB87" s="2" t="s">
        <v>92</v>
      </c>
      <c r="AC87" s="5"/>
      <c r="AD87" s="5"/>
      <c r="AE87" s="5"/>
      <c r="AF87" s="5"/>
      <c r="AG87" s="5">
        <v>59.87</v>
      </c>
      <c r="AH87" s="5"/>
      <c r="AI87" s="5"/>
      <c r="AJ87" s="5"/>
      <c r="AK87" s="5"/>
      <c r="AL87" s="5">
        <v>36.36</v>
      </c>
      <c r="AM87" s="5">
        <v>37.520000000000003</v>
      </c>
      <c r="AN87" s="5">
        <v>133.75</v>
      </c>
    </row>
    <row r="88" spans="1:40" x14ac:dyDescent="0.35">
      <c r="C88"/>
      <c r="D88"/>
      <c r="E88"/>
      <c r="F88"/>
      <c r="G88"/>
      <c r="H88"/>
      <c r="I88"/>
      <c r="J88"/>
      <c r="K88"/>
      <c r="L88"/>
      <c r="M88"/>
      <c r="AA88" s="2" t="s">
        <v>68</v>
      </c>
      <c r="AB88" s="2" t="s">
        <v>93</v>
      </c>
      <c r="AC88" s="5">
        <v>10435.49</v>
      </c>
      <c r="AD88" s="5"/>
      <c r="AE88" s="5">
        <v>49934.18</v>
      </c>
      <c r="AF88" s="5"/>
      <c r="AG88" s="5">
        <v>-9014.5099999999984</v>
      </c>
      <c r="AH88" s="5">
        <v>10520.949999999999</v>
      </c>
      <c r="AI88" s="5"/>
      <c r="AJ88" s="5">
        <v>10435.49</v>
      </c>
      <c r="AK88" s="5">
        <v>33332.050000000003</v>
      </c>
      <c r="AL88" s="5"/>
      <c r="AM88" s="5">
        <v>20501.27</v>
      </c>
      <c r="AN88" s="5">
        <v>126144.92000000001</v>
      </c>
    </row>
    <row r="89" spans="1:40" x14ac:dyDescent="0.35">
      <c r="C89"/>
      <c r="D89"/>
      <c r="E89"/>
      <c r="F89"/>
      <c r="G89"/>
      <c r="H89"/>
      <c r="I89"/>
      <c r="J89"/>
      <c r="K89"/>
      <c r="L89"/>
      <c r="M89"/>
      <c r="AA89" s="2" t="s">
        <v>70</v>
      </c>
      <c r="AB89" s="2" t="s">
        <v>142</v>
      </c>
      <c r="AC89" s="5">
        <v>220.62</v>
      </c>
      <c r="AD89" s="5">
        <v>243.27000000000004</v>
      </c>
      <c r="AE89" s="5">
        <v>523.86</v>
      </c>
      <c r="AF89" s="5">
        <v>245.79999999999998</v>
      </c>
      <c r="AG89" s="5">
        <v>219.88</v>
      </c>
      <c r="AH89" s="5">
        <v>416.32000000000005</v>
      </c>
      <c r="AI89" s="5">
        <v>329.51</v>
      </c>
      <c r="AJ89" s="5">
        <v>110.08</v>
      </c>
      <c r="AK89" s="5">
        <v>355.31</v>
      </c>
      <c r="AL89" s="5">
        <v>135.52000000000001</v>
      </c>
      <c r="AM89" s="5">
        <v>718.33</v>
      </c>
      <c r="AN89" s="5">
        <v>3518.5</v>
      </c>
    </row>
    <row r="90" spans="1:40" x14ac:dyDescent="0.35">
      <c r="C90"/>
      <c r="D90"/>
      <c r="E90"/>
      <c r="F90"/>
      <c r="G90"/>
      <c r="H90"/>
      <c r="I90"/>
      <c r="J90"/>
      <c r="K90"/>
      <c r="L90"/>
      <c r="M90"/>
      <c r="AA90" s="2" t="s">
        <v>71</v>
      </c>
      <c r="AB90" s="2" t="s">
        <v>96</v>
      </c>
      <c r="AC90" s="5"/>
      <c r="AD90" s="5">
        <v>46.980000000000004</v>
      </c>
      <c r="AE90" s="5">
        <v>115.39999999999999</v>
      </c>
      <c r="AF90" s="5">
        <v>2365.23</v>
      </c>
      <c r="AG90" s="5">
        <v>195.85</v>
      </c>
      <c r="AH90" s="5">
        <v>20.97</v>
      </c>
      <c r="AI90" s="5">
        <v>143.66999999999999</v>
      </c>
      <c r="AJ90" s="5">
        <v>489.3</v>
      </c>
      <c r="AK90" s="5">
        <v>54.41</v>
      </c>
      <c r="AL90" s="5">
        <v>55.01</v>
      </c>
      <c r="AM90" s="5">
        <v>52.87</v>
      </c>
      <c r="AN90" s="5">
        <v>3539.69</v>
      </c>
    </row>
    <row r="91" spans="1:40" x14ac:dyDescent="0.35">
      <c r="C91"/>
      <c r="D91"/>
      <c r="E91"/>
      <c r="F91"/>
      <c r="G91"/>
      <c r="H91"/>
      <c r="I91"/>
      <c r="J91"/>
      <c r="K91"/>
      <c r="L91"/>
      <c r="M91"/>
      <c r="AA91" s="2" t="s">
        <v>73</v>
      </c>
      <c r="AB91" s="2" t="s">
        <v>98</v>
      </c>
      <c r="AC91" s="5"/>
      <c r="AD91" s="5"/>
      <c r="AE91" s="5"/>
      <c r="AF91" s="5"/>
      <c r="AG91" s="5"/>
      <c r="AH91" s="5"/>
      <c r="AI91" s="5"/>
      <c r="AJ91" s="5"/>
      <c r="AK91" s="5">
        <v>6432</v>
      </c>
      <c r="AL91" s="5"/>
      <c r="AM91" s="5"/>
      <c r="AN91" s="5">
        <v>6432</v>
      </c>
    </row>
    <row r="92" spans="1:40" x14ac:dyDescent="0.35">
      <c r="C92"/>
      <c r="D92"/>
      <c r="E92"/>
      <c r="F92"/>
      <c r="G92"/>
      <c r="H92"/>
      <c r="I92"/>
      <c r="J92"/>
      <c r="K92"/>
      <c r="L92"/>
      <c r="M92"/>
      <c r="AA92" s="2" t="s">
        <v>76</v>
      </c>
      <c r="AB92" s="2" t="s">
        <v>100</v>
      </c>
      <c r="AC92" s="5"/>
      <c r="AD92" s="5">
        <v>-20</v>
      </c>
      <c r="AE92" s="5"/>
      <c r="AF92" s="5"/>
      <c r="AG92" s="5">
        <v>-20</v>
      </c>
      <c r="AH92" s="5">
        <v>0</v>
      </c>
      <c r="AI92" s="5"/>
      <c r="AJ92" s="5"/>
      <c r="AK92" s="5">
        <v>0</v>
      </c>
      <c r="AL92" s="5"/>
      <c r="AM92" s="5"/>
      <c r="AN92" s="5">
        <v>-40</v>
      </c>
    </row>
    <row r="93" spans="1:40" x14ac:dyDescent="0.35">
      <c r="C93"/>
      <c r="D93"/>
      <c r="E93"/>
      <c r="F93"/>
      <c r="G93"/>
      <c r="H93"/>
      <c r="I93"/>
      <c r="J93"/>
      <c r="K93"/>
      <c r="L93"/>
      <c r="M93"/>
      <c r="AA93" s="2" t="s">
        <v>77</v>
      </c>
      <c r="AB93" s="2" t="s">
        <v>101</v>
      </c>
      <c r="AC93" s="5">
        <v>7568.1699999999992</v>
      </c>
      <c r="AD93" s="5">
        <v>9942.77</v>
      </c>
      <c r="AE93" s="5">
        <v>10755.88</v>
      </c>
      <c r="AF93" s="5">
        <v>6341.3300000000008</v>
      </c>
      <c r="AG93" s="5">
        <v>5737.3199999999988</v>
      </c>
      <c r="AH93" s="5">
        <v>7790.6200000000008</v>
      </c>
      <c r="AI93" s="5">
        <v>10074.98</v>
      </c>
      <c r="AJ93" s="5">
        <v>8522.3799999999974</v>
      </c>
      <c r="AK93" s="5">
        <v>9336.659999999998</v>
      </c>
      <c r="AL93" s="5">
        <v>8401.8000000000011</v>
      </c>
      <c r="AM93" s="5"/>
      <c r="AN93" s="5">
        <v>84471.910000000018</v>
      </c>
    </row>
    <row r="94" spans="1:40" x14ac:dyDescent="0.35">
      <c r="C94"/>
      <c r="D94"/>
      <c r="E94"/>
      <c r="F94"/>
      <c r="G94"/>
      <c r="H94"/>
      <c r="I94"/>
      <c r="J94"/>
      <c r="K94"/>
      <c r="L94"/>
      <c r="M94"/>
      <c r="AA94" s="2" t="s">
        <v>78</v>
      </c>
      <c r="AB94" s="2" t="s">
        <v>102</v>
      </c>
      <c r="AC94" s="5"/>
      <c r="AD94" s="5"/>
      <c r="AE94" s="5"/>
      <c r="AF94" s="5"/>
      <c r="AG94" s="5"/>
      <c r="AH94" s="5">
        <v>14.82</v>
      </c>
      <c r="AI94" s="5"/>
      <c r="AJ94" s="5"/>
      <c r="AK94" s="5"/>
      <c r="AL94" s="5"/>
      <c r="AM94" s="5"/>
      <c r="AN94" s="5">
        <v>14.82</v>
      </c>
    </row>
    <row r="95" spans="1:40" x14ac:dyDescent="0.35">
      <c r="C95"/>
      <c r="D95"/>
      <c r="E95"/>
      <c r="F95"/>
      <c r="G95"/>
      <c r="H95"/>
      <c r="I95"/>
      <c r="J95"/>
      <c r="K95"/>
      <c r="L95"/>
      <c r="M95"/>
      <c r="AA95" s="2" t="s">
        <v>16</v>
      </c>
      <c r="AC95" s="5">
        <v>128368.54000000001</v>
      </c>
      <c r="AD95" s="5">
        <v>168626.22</v>
      </c>
      <c r="AE95" s="5">
        <v>182437.17999999996</v>
      </c>
      <c r="AF95" s="5">
        <v>107559.77</v>
      </c>
      <c r="AG95" s="5">
        <v>97294.19</v>
      </c>
      <c r="AH95" s="5">
        <v>132156.30000000002</v>
      </c>
      <c r="AI95" s="5">
        <v>170888.75</v>
      </c>
      <c r="AJ95" s="5">
        <v>144553.83000000002</v>
      </c>
      <c r="AK95" s="5">
        <v>164797.85</v>
      </c>
      <c r="AL95" s="5">
        <v>142508.43</v>
      </c>
      <c r="AM95" s="5">
        <v>151552.13</v>
      </c>
      <c r="AN95" s="5">
        <v>1590743.1900000004</v>
      </c>
    </row>
    <row r="96" spans="1:40" x14ac:dyDescent="0.35">
      <c r="C96"/>
      <c r="D96"/>
      <c r="E96"/>
      <c r="F96"/>
      <c r="G96"/>
      <c r="H96"/>
      <c r="I96"/>
      <c r="J96"/>
      <c r="K96"/>
      <c r="L96"/>
      <c r="M96"/>
    </row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</sheetData>
  <pageMargins left="0.7" right="0.7" top="0.75" bottom="0.75" header="0.3" footer="0.3"/>
  <pageSetup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2C5CB-C90E-4F82-AEAD-F3BD54B4BAC1}">
  <sheetPr>
    <tabColor theme="2" tint="-0.249977111117893"/>
  </sheetPr>
  <dimension ref="A1:S138"/>
  <sheetViews>
    <sheetView topLeftCell="H7" workbookViewId="0">
      <selection activeCell="M26" sqref="M26"/>
    </sheetView>
  </sheetViews>
  <sheetFormatPr defaultRowHeight="14.5" x14ac:dyDescent="0.35"/>
  <cols>
    <col min="1" max="1" width="50.1796875" bestFit="1" customWidth="1"/>
    <col min="2" max="2" width="14.7265625" bestFit="1" customWidth="1"/>
    <col min="4" max="4" width="24.453125" bestFit="1" customWidth="1"/>
    <col min="5" max="5" width="12.7265625" bestFit="1" customWidth="1"/>
    <col min="6" max="6" width="40.7265625" bestFit="1" customWidth="1"/>
    <col min="7" max="7" width="38.26953125" bestFit="1" customWidth="1"/>
    <col min="8" max="8" width="9.1796875" bestFit="1" customWidth="1"/>
    <col min="10" max="10" width="12.7265625" bestFit="1" customWidth="1"/>
    <col min="11" max="11" width="40.7265625" bestFit="1" customWidth="1"/>
    <col min="12" max="14" width="10.54296875" bestFit="1" customWidth="1"/>
    <col min="16" max="16" width="25.1796875" bestFit="1" customWidth="1"/>
    <col min="17" max="17" width="14.453125" style="59" bestFit="1" customWidth="1"/>
    <col min="18" max="19" width="10.54296875" bestFit="1" customWidth="1"/>
  </cols>
  <sheetData>
    <row r="1" spans="1:16" x14ac:dyDescent="0.35">
      <c r="A1" s="1" t="s">
        <v>2</v>
      </c>
      <c r="B1" t="s" vm="3">
        <v>125</v>
      </c>
    </row>
    <row r="2" spans="1:16" x14ac:dyDescent="0.35">
      <c r="A2" s="1" t="s">
        <v>168</v>
      </c>
      <c r="B2" t="s" vm="14">
        <v>169</v>
      </c>
    </row>
    <row r="3" spans="1:16" x14ac:dyDescent="0.35">
      <c r="A3" s="1" t="s">
        <v>3</v>
      </c>
      <c r="B3" t="s" vm="1">
        <v>4</v>
      </c>
    </row>
    <row r="4" spans="1:16" x14ac:dyDescent="0.35">
      <c r="A4" s="1" t="s">
        <v>170</v>
      </c>
      <c r="B4" t="s" vm="15">
        <v>155</v>
      </c>
    </row>
    <row r="5" spans="1:16" x14ac:dyDescent="0.35">
      <c r="A5" s="1" t="s">
        <v>1</v>
      </c>
      <c r="B5" t="s" vm="9">
        <v>151</v>
      </c>
    </row>
    <row r="6" spans="1:16" x14ac:dyDescent="0.35">
      <c r="A6" s="1" t="s">
        <v>172</v>
      </c>
      <c r="B6" t="s" vm="16">
        <v>149</v>
      </c>
    </row>
    <row r="7" spans="1:16" x14ac:dyDescent="0.35">
      <c r="A7" s="1" t="s">
        <v>173</v>
      </c>
      <c r="B7" t="s" vm="18">
        <v>65</v>
      </c>
    </row>
    <row r="9" spans="1:16" x14ac:dyDescent="0.35">
      <c r="A9" s="1" t="s">
        <v>48</v>
      </c>
      <c r="K9" s="62" t="s">
        <v>514</v>
      </c>
      <c r="L9" s="10"/>
      <c r="M9" s="10"/>
      <c r="N9" s="10"/>
      <c r="O9" s="58"/>
      <c r="P9" s="58"/>
    </row>
    <row r="10" spans="1:16" x14ac:dyDescent="0.35">
      <c r="A10" s="1" t="s">
        <v>491</v>
      </c>
      <c r="B10" s="1" t="s">
        <v>492</v>
      </c>
      <c r="C10" s="1" t="s">
        <v>493</v>
      </c>
      <c r="D10" s="1" t="s">
        <v>494</v>
      </c>
      <c r="E10" s="1" t="s">
        <v>498</v>
      </c>
      <c r="F10" s="1" t="s">
        <v>497</v>
      </c>
      <c r="G10" s="1" t="s">
        <v>495</v>
      </c>
      <c r="H10" t="s">
        <v>496</v>
      </c>
      <c r="K10" s="11" t="s">
        <v>515</v>
      </c>
      <c r="L10" s="59">
        <v>2750</v>
      </c>
      <c r="M10" s="59">
        <f>+L10*1.03</f>
        <v>2832.5</v>
      </c>
      <c r="N10" s="59">
        <f>+M10*1.03</f>
        <v>2917.4749999999999</v>
      </c>
      <c r="O10" s="58"/>
      <c r="P10" s="58"/>
    </row>
    <row r="11" spans="1:16" x14ac:dyDescent="0.35">
      <c r="A11" t="s">
        <v>176</v>
      </c>
      <c r="B11" t="s">
        <v>220</v>
      </c>
      <c r="C11" t="s">
        <v>277</v>
      </c>
      <c r="D11" t="s">
        <v>411</v>
      </c>
      <c r="E11" t="s">
        <v>171</v>
      </c>
      <c r="F11" t="s">
        <v>171</v>
      </c>
      <c r="G11" t="s">
        <v>483</v>
      </c>
      <c r="H11" s="67">
        <v>20.65</v>
      </c>
      <c r="K11" s="11" t="s">
        <v>516</v>
      </c>
      <c r="L11" s="59">
        <v>35000</v>
      </c>
      <c r="M11" s="59">
        <v>35000</v>
      </c>
      <c r="N11" s="59">
        <v>35000</v>
      </c>
      <c r="O11" s="58"/>
      <c r="P11" s="58"/>
    </row>
    <row r="12" spans="1:16" x14ac:dyDescent="0.35">
      <c r="A12" t="s">
        <v>176</v>
      </c>
      <c r="B12" t="s">
        <v>197</v>
      </c>
      <c r="C12" t="s">
        <v>277</v>
      </c>
      <c r="D12" t="s">
        <v>412</v>
      </c>
      <c r="E12" t="s">
        <v>171</v>
      </c>
      <c r="F12" t="s">
        <v>171</v>
      </c>
      <c r="G12" t="s">
        <v>482</v>
      </c>
      <c r="H12" s="67">
        <v>68.69</v>
      </c>
      <c r="K12" s="11" t="s">
        <v>517</v>
      </c>
      <c r="L12" s="59">
        <v>1500</v>
      </c>
      <c r="M12" s="59">
        <f t="shared" ref="M12:N13" si="0">+L12*1.03</f>
        <v>1545</v>
      </c>
      <c r="N12" s="59">
        <f t="shared" si="0"/>
        <v>1591.3500000000001</v>
      </c>
      <c r="O12" s="58"/>
      <c r="P12" s="58"/>
    </row>
    <row r="13" spans="1:16" x14ac:dyDescent="0.35">
      <c r="A13" s="68" t="s">
        <v>501</v>
      </c>
      <c r="B13" s="68"/>
      <c r="C13" s="68"/>
      <c r="D13" s="68"/>
      <c r="E13" s="68"/>
      <c r="F13" s="68"/>
      <c r="G13" s="68"/>
      <c r="H13" s="69">
        <v>89.34</v>
      </c>
      <c r="K13" s="11" t="s">
        <v>518</v>
      </c>
      <c r="L13" s="59">
        <v>600</v>
      </c>
      <c r="M13" s="59">
        <f t="shared" si="0"/>
        <v>618</v>
      </c>
      <c r="N13" s="59">
        <f t="shared" si="0"/>
        <v>636.54</v>
      </c>
      <c r="O13" s="58"/>
      <c r="P13" s="58"/>
    </row>
    <row r="14" spans="1:16" x14ac:dyDescent="0.35">
      <c r="A14" t="s">
        <v>177</v>
      </c>
      <c r="B14" t="s">
        <v>248</v>
      </c>
      <c r="C14" t="s">
        <v>276</v>
      </c>
      <c r="D14" t="s">
        <v>413</v>
      </c>
      <c r="E14" t="s">
        <v>171</v>
      </c>
      <c r="F14" t="s">
        <v>171</v>
      </c>
      <c r="G14" t="s">
        <v>171</v>
      </c>
      <c r="H14" s="67">
        <v>570.62</v>
      </c>
      <c r="K14" s="11" t="s">
        <v>519</v>
      </c>
      <c r="L14" s="59">
        <f>(+'Account Summary'!Q11+'Account Summary'!Q12)*0.015</f>
        <v>36622.875</v>
      </c>
      <c r="M14" s="59">
        <f>(+'Account Summary'!R11+'Account Summary'!R12)*0.015</f>
        <v>36622.875</v>
      </c>
      <c r="N14" s="59">
        <f>(+'Account Summary'!S11+'Account Summary'!S12)*0.015</f>
        <v>36622.875</v>
      </c>
      <c r="O14" s="58"/>
      <c r="P14" s="58"/>
    </row>
    <row r="15" spans="1:16" x14ac:dyDescent="0.35">
      <c r="A15" s="68" t="s">
        <v>502</v>
      </c>
      <c r="B15" s="68"/>
      <c r="C15" s="68"/>
      <c r="D15" s="68"/>
      <c r="E15" s="68"/>
      <c r="F15" s="68"/>
      <c r="G15" s="68"/>
      <c r="H15" s="69">
        <v>570.62</v>
      </c>
      <c r="K15" s="11" t="s">
        <v>520</v>
      </c>
      <c r="L15" s="59">
        <f>700*9</f>
        <v>6300</v>
      </c>
      <c r="M15" s="59">
        <f t="shared" ref="M15:N15" si="1">+L15*1.03</f>
        <v>6489</v>
      </c>
      <c r="N15" s="59">
        <f t="shared" si="1"/>
        <v>6683.67</v>
      </c>
      <c r="O15" s="58"/>
      <c r="P15" s="58"/>
    </row>
    <row r="16" spans="1:16" ht="15" thickBot="1" x14ac:dyDescent="0.4">
      <c r="A16" t="s">
        <v>178</v>
      </c>
      <c r="B16" t="s">
        <v>248</v>
      </c>
      <c r="C16" t="s">
        <v>277</v>
      </c>
      <c r="D16" t="s">
        <v>414</v>
      </c>
      <c r="E16" t="s">
        <v>171</v>
      </c>
      <c r="F16" t="s">
        <v>171</v>
      </c>
      <c r="G16" t="s">
        <v>484</v>
      </c>
      <c r="H16" s="67">
        <v>14.02</v>
      </c>
      <c r="K16" s="11"/>
      <c r="L16" s="143">
        <f>SUM(L10:L15)</f>
        <v>82772.875</v>
      </c>
      <c r="M16" s="143">
        <f t="shared" ref="M16:N16" si="2">SUM(M10:M15)</f>
        <v>83107.375</v>
      </c>
      <c r="N16" s="143">
        <f t="shared" si="2"/>
        <v>83451.909999999989</v>
      </c>
      <c r="O16" s="58"/>
      <c r="P16" s="58"/>
    </row>
    <row r="17" spans="1:19" ht="15" thickTop="1" x14ac:dyDescent="0.35">
      <c r="A17" t="s">
        <v>178</v>
      </c>
      <c r="B17" t="s">
        <v>249</v>
      </c>
      <c r="C17" t="s">
        <v>277</v>
      </c>
      <c r="D17" t="s">
        <v>415</v>
      </c>
      <c r="E17" t="s">
        <v>171</v>
      </c>
      <c r="F17" t="s">
        <v>171</v>
      </c>
      <c r="G17" t="s">
        <v>484</v>
      </c>
      <c r="H17" s="67">
        <v>98.83</v>
      </c>
      <c r="K17" s="11"/>
      <c r="L17" s="59"/>
      <c r="M17" s="59"/>
      <c r="N17" s="59"/>
      <c r="O17" s="58"/>
      <c r="P17" s="58"/>
    </row>
    <row r="18" spans="1:19" x14ac:dyDescent="0.35">
      <c r="A18" t="s">
        <v>178</v>
      </c>
      <c r="B18" t="s">
        <v>215</v>
      </c>
      <c r="C18" t="s">
        <v>277</v>
      </c>
      <c r="D18" t="s">
        <v>416</v>
      </c>
      <c r="E18" t="s">
        <v>171</v>
      </c>
      <c r="F18" t="s">
        <v>171</v>
      </c>
      <c r="G18" t="s">
        <v>484</v>
      </c>
      <c r="H18" s="67">
        <v>96.92</v>
      </c>
      <c r="K18" s="11"/>
      <c r="O18" s="58"/>
      <c r="P18" s="58"/>
      <c r="R18" s="59"/>
      <c r="S18" s="59"/>
    </row>
    <row r="19" spans="1:19" x14ac:dyDescent="0.35">
      <c r="A19" s="68" t="s">
        <v>503</v>
      </c>
      <c r="B19" s="68"/>
      <c r="C19" s="68"/>
      <c r="D19" s="68"/>
      <c r="E19" s="68"/>
      <c r="F19" s="68"/>
      <c r="G19" s="68"/>
      <c r="H19" s="69">
        <v>209.76999999999998</v>
      </c>
      <c r="L19" s="67"/>
      <c r="R19" s="59"/>
      <c r="S19" s="59"/>
    </row>
    <row r="20" spans="1:19" x14ac:dyDescent="0.35">
      <c r="A20" t="s">
        <v>179</v>
      </c>
      <c r="B20" t="s">
        <v>250</v>
      </c>
      <c r="C20" t="s">
        <v>276</v>
      </c>
      <c r="D20" t="s">
        <v>417</v>
      </c>
      <c r="E20" t="s">
        <v>171</v>
      </c>
      <c r="F20" t="s">
        <v>171</v>
      </c>
      <c r="G20" t="s">
        <v>171</v>
      </c>
      <c r="H20" s="67">
        <v>95.7</v>
      </c>
      <c r="L20" s="67"/>
      <c r="R20" s="59"/>
      <c r="S20" s="59"/>
    </row>
    <row r="21" spans="1:19" x14ac:dyDescent="0.35">
      <c r="A21" t="s">
        <v>179</v>
      </c>
      <c r="B21" t="s">
        <v>251</v>
      </c>
      <c r="C21" t="s">
        <v>276</v>
      </c>
      <c r="D21" t="s">
        <v>418</v>
      </c>
      <c r="E21" t="s">
        <v>171</v>
      </c>
      <c r="F21" t="s">
        <v>171</v>
      </c>
      <c r="G21" t="s">
        <v>171</v>
      </c>
      <c r="H21" s="67">
        <v>38.909999999999997</v>
      </c>
      <c r="L21" s="67"/>
    </row>
    <row r="22" spans="1:19" x14ac:dyDescent="0.35">
      <c r="A22" t="s">
        <v>179</v>
      </c>
      <c r="B22" t="s">
        <v>252</v>
      </c>
      <c r="C22" t="s">
        <v>276</v>
      </c>
      <c r="D22" t="s">
        <v>419</v>
      </c>
      <c r="E22" t="s">
        <v>171</v>
      </c>
      <c r="F22" t="s">
        <v>171</v>
      </c>
      <c r="G22" t="s">
        <v>171</v>
      </c>
      <c r="H22" s="67">
        <v>105.21</v>
      </c>
      <c r="L22" s="67"/>
    </row>
    <row r="23" spans="1:19" x14ac:dyDescent="0.35">
      <c r="A23" t="s">
        <v>179</v>
      </c>
      <c r="B23" t="s">
        <v>192</v>
      </c>
      <c r="C23" t="s">
        <v>276</v>
      </c>
      <c r="D23" t="s">
        <v>420</v>
      </c>
      <c r="E23" t="s">
        <v>171</v>
      </c>
      <c r="F23" t="s">
        <v>171</v>
      </c>
      <c r="G23" t="s">
        <v>171</v>
      </c>
      <c r="H23" s="67">
        <v>114.18</v>
      </c>
      <c r="L23" s="67"/>
    </row>
    <row r="24" spans="1:19" x14ac:dyDescent="0.35">
      <c r="A24" t="s">
        <v>179</v>
      </c>
      <c r="B24" t="s">
        <v>253</v>
      </c>
      <c r="C24" t="s">
        <v>276</v>
      </c>
      <c r="D24" t="s">
        <v>421</v>
      </c>
      <c r="E24" t="s">
        <v>171</v>
      </c>
      <c r="F24" t="s">
        <v>171</v>
      </c>
      <c r="G24" t="s">
        <v>171</v>
      </c>
      <c r="H24" s="67">
        <v>60.4</v>
      </c>
      <c r="L24" s="67"/>
    </row>
    <row r="25" spans="1:19" x14ac:dyDescent="0.35">
      <c r="A25" t="s">
        <v>179</v>
      </c>
      <c r="B25" t="s">
        <v>254</v>
      </c>
      <c r="C25" t="s">
        <v>276</v>
      </c>
      <c r="D25" t="s">
        <v>422</v>
      </c>
      <c r="E25" t="s">
        <v>171</v>
      </c>
      <c r="F25" t="s">
        <v>171</v>
      </c>
      <c r="G25" t="s">
        <v>171</v>
      </c>
      <c r="H25" s="67">
        <v>24.55</v>
      </c>
      <c r="L25" s="67"/>
    </row>
    <row r="26" spans="1:19" x14ac:dyDescent="0.35">
      <c r="A26" t="s">
        <v>179</v>
      </c>
      <c r="B26" t="s">
        <v>255</v>
      </c>
      <c r="C26" t="s">
        <v>276</v>
      </c>
      <c r="D26" t="s">
        <v>423</v>
      </c>
      <c r="E26" t="s">
        <v>171</v>
      </c>
      <c r="F26" t="s">
        <v>171</v>
      </c>
      <c r="G26" t="s">
        <v>171</v>
      </c>
      <c r="H26" s="67">
        <v>51.07</v>
      </c>
      <c r="L26" s="67"/>
    </row>
    <row r="27" spans="1:19" x14ac:dyDescent="0.35">
      <c r="A27" t="s">
        <v>179</v>
      </c>
      <c r="B27" t="s">
        <v>202</v>
      </c>
      <c r="C27" t="s">
        <v>277</v>
      </c>
      <c r="D27" t="s">
        <v>424</v>
      </c>
      <c r="E27" t="s">
        <v>171</v>
      </c>
      <c r="F27" t="s">
        <v>171</v>
      </c>
      <c r="G27" t="s">
        <v>483</v>
      </c>
      <c r="H27" s="67">
        <v>14.32</v>
      </c>
      <c r="L27" s="67"/>
    </row>
    <row r="28" spans="1:19" x14ac:dyDescent="0.35">
      <c r="A28" t="s">
        <v>179</v>
      </c>
      <c r="B28" t="s">
        <v>256</v>
      </c>
      <c r="C28" t="s">
        <v>276</v>
      </c>
      <c r="D28" t="s">
        <v>425</v>
      </c>
      <c r="E28" t="s">
        <v>171</v>
      </c>
      <c r="F28" t="s">
        <v>171</v>
      </c>
      <c r="G28" t="s">
        <v>171</v>
      </c>
      <c r="H28" s="67">
        <v>79.69</v>
      </c>
      <c r="L28" s="67"/>
    </row>
    <row r="29" spans="1:19" x14ac:dyDescent="0.35">
      <c r="A29" t="s">
        <v>179</v>
      </c>
      <c r="B29" t="s">
        <v>257</v>
      </c>
      <c r="C29" t="s">
        <v>276</v>
      </c>
      <c r="D29" t="s">
        <v>426</v>
      </c>
      <c r="E29" t="s">
        <v>171</v>
      </c>
      <c r="F29" t="s">
        <v>171</v>
      </c>
      <c r="G29" t="s">
        <v>171</v>
      </c>
      <c r="H29" s="67">
        <v>1.71</v>
      </c>
      <c r="L29" s="67"/>
    </row>
    <row r="30" spans="1:19" x14ac:dyDescent="0.35">
      <c r="A30" t="s">
        <v>179</v>
      </c>
      <c r="B30" t="s">
        <v>258</v>
      </c>
      <c r="C30" t="s">
        <v>276</v>
      </c>
      <c r="D30" t="s">
        <v>427</v>
      </c>
      <c r="E30" t="s">
        <v>171</v>
      </c>
      <c r="F30" t="s">
        <v>171</v>
      </c>
      <c r="G30" t="s">
        <v>171</v>
      </c>
      <c r="H30" s="67">
        <v>97.4</v>
      </c>
      <c r="L30" s="67"/>
    </row>
    <row r="31" spans="1:19" x14ac:dyDescent="0.35">
      <c r="A31" t="s">
        <v>179</v>
      </c>
      <c r="B31" t="s">
        <v>259</v>
      </c>
      <c r="C31" t="s">
        <v>276</v>
      </c>
      <c r="D31" t="s">
        <v>428</v>
      </c>
      <c r="E31" t="s">
        <v>171</v>
      </c>
      <c r="F31" t="s">
        <v>171</v>
      </c>
      <c r="G31" t="s">
        <v>171</v>
      </c>
      <c r="H31" s="67">
        <v>79.14</v>
      </c>
      <c r="L31" s="67"/>
    </row>
    <row r="32" spans="1:19" x14ac:dyDescent="0.35">
      <c r="A32" t="s">
        <v>179</v>
      </c>
      <c r="B32" t="s">
        <v>260</v>
      </c>
      <c r="C32" t="s">
        <v>276</v>
      </c>
      <c r="D32" t="s">
        <v>429</v>
      </c>
      <c r="E32" t="s">
        <v>171</v>
      </c>
      <c r="F32" t="s">
        <v>171</v>
      </c>
      <c r="G32" t="s">
        <v>171</v>
      </c>
      <c r="H32" s="67">
        <v>145.4</v>
      </c>
      <c r="L32" s="67"/>
    </row>
    <row r="33" spans="1:12" x14ac:dyDescent="0.35">
      <c r="A33" t="s">
        <v>179</v>
      </c>
      <c r="B33" t="s">
        <v>248</v>
      </c>
      <c r="C33" t="s">
        <v>276</v>
      </c>
      <c r="D33" t="s">
        <v>413</v>
      </c>
      <c r="E33" t="s">
        <v>171</v>
      </c>
      <c r="F33" t="s">
        <v>171</v>
      </c>
      <c r="G33" t="s">
        <v>171</v>
      </c>
      <c r="H33" s="67">
        <v>39.75</v>
      </c>
      <c r="L33" s="67"/>
    </row>
    <row r="34" spans="1:12" x14ac:dyDescent="0.35">
      <c r="A34" t="s">
        <v>179</v>
      </c>
      <c r="B34" t="s">
        <v>237</v>
      </c>
      <c r="C34" t="s">
        <v>276</v>
      </c>
      <c r="D34" t="s">
        <v>430</v>
      </c>
      <c r="E34" t="s">
        <v>171</v>
      </c>
      <c r="F34" t="s">
        <v>171</v>
      </c>
      <c r="G34" t="s">
        <v>171</v>
      </c>
      <c r="H34" s="67">
        <v>124.22</v>
      </c>
      <c r="L34" s="67"/>
    </row>
    <row r="35" spans="1:12" x14ac:dyDescent="0.35">
      <c r="A35" t="s">
        <v>179</v>
      </c>
      <c r="B35" t="s">
        <v>261</v>
      </c>
      <c r="C35" t="s">
        <v>276</v>
      </c>
      <c r="D35" t="s">
        <v>431</v>
      </c>
      <c r="E35" t="s">
        <v>171</v>
      </c>
      <c r="F35" t="s">
        <v>171</v>
      </c>
      <c r="G35" t="s">
        <v>171</v>
      </c>
      <c r="H35" s="67">
        <v>103.77</v>
      </c>
      <c r="L35" s="67"/>
    </row>
    <row r="36" spans="1:12" x14ac:dyDescent="0.35">
      <c r="A36" t="s">
        <v>179</v>
      </c>
      <c r="B36" t="s">
        <v>262</v>
      </c>
      <c r="C36" t="s">
        <v>276</v>
      </c>
      <c r="D36" t="s">
        <v>432</v>
      </c>
      <c r="E36" t="s">
        <v>171</v>
      </c>
      <c r="F36" t="s">
        <v>171</v>
      </c>
      <c r="G36" t="s">
        <v>171</v>
      </c>
      <c r="H36" s="67">
        <v>115.48</v>
      </c>
      <c r="L36" s="67"/>
    </row>
    <row r="37" spans="1:12" x14ac:dyDescent="0.35">
      <c r="A37" t="s">
        <v>179</v>
      </c>
      <c r="B37" t="s">
        <v>263</v>
      </c>
      <c r="C37" t="s">
        <v>276</v>
      </c>
      <c r="D37" t="s">
        <v>433</v>
      </c>
      <c r="E37" t="s">
        <v>171</v>
      </c>
      <c r="F37" t="s">
        <v>171</v>
      </c>
      <c r="G37" t="s">
        <v>171</v>
      </c>
      <c r="H37" s="67">
        <v>54.53</v>
      </c>
      <c r="L37" s="67"/>
    </row>
    <row r="38" spans="1:12" x14ac:dyDescent="0.35">
      <c r="A38" t="s">
        <v>179</v>
      </c>
      <c r="B38" t="s">
        <v>214</v>
      </c>
      <c r="C38" t="s">
        <v>276</v>
      </c>
      <c r="D38" t="s">
        <v>434</v>
      </c>
      <c r="E38" t="s">
        <v>171</v>
      </c>
      <c r="F38" t="s">
        <v>171</v>
      </c>
      <c r="G38" t="s">
        <v>171</v>
      </c>
      <c r="H38" s="67">
        <v>116.98</v>
      </c>
      <c r="L38" s="67"/>
    </row>
    <row r="39" spans="1:12" x14ac:dyDescent="0.35">
      <c r="A39" t="s">
        <v>179</v>
      </c>
      <c r="B39" t="s">
        <v>215</v>
      </c>
      <c r="C39" t="s">
        <v>277</v>
      </c>
      <c r="D39" t="s">
        <v>435</v>
      </c>
      <c r="E39" t="s">
        <v>171</v>
      </c>
      <c r="F39" t="s">
        <v>171</v>
      </c>
      <c r="G39" t="s">
        <v>483</v>
      </c>
      <c r="H39" s="67">
        <v>31.74</v>
      </c>
      <c r="L39" s="67"/>
    </row>
    <row r="40" spans="1:12" x14ac:dyDescent="0.35">
      <c r="A40" s="68" t="s">
        <v>504</v>
      </c>
      <c r="B40" s="68"/>
      <c r="C40" s="68"/>
      <c r="D40" s="68"/>
      <c r="E40" s="68"/>
      <c r="F40" s="68"/>
      <c r="G40" s="68"/>
      <c r="H40" s="69">
        <v>1494.1500000000003</v>
      </c>
      <c r="L40" s="67"/>
    </row>
    <row r="41" spans="1:12" x14ac:dyDescent="0.35">
      <c r="A41" t="s">
        <v>180</v>
      </c>
      <c r="B41" t="s">
        <v>250</v>
      </c>
      <c r="C41" t="s">
        <v>276</v>
      </c>
      <c r="D41" t="s">
        <v>417</v>
      </c>
      <c r="E41" t="s">
        <v>171</v>
      </c>
      <c r="F41" t="s">
        <v>171</v>
      </c>
      <c r="G41" t="s">
        <v>171</v>
      </c>
      <c r="H41" s="67">
        <v>14.88</v>
      </c>
      <c r="L41" s="67"/>
    </row>
    <row r="42" spans="1:12" x14ac:dyDescent="0.35">
      <c r="A42" t="s">
        <v>180</v>
      </c>
      <c r="B42" t="s">
        <v>251</v>
      </c>
      <c r="C42" t="s">
        <v>276</v>
      </c>
      <c r="D42" t="s">
        <v>418</v>
      </c>
      <c r="E42" t="s">
        <v>171</v>
      </c>
      <c r="F42" t="s">
        <v>171</v>
      </c>
      <c r="G42" t="s">
        <v>171</v>
      </c>
      <c r="H42" s="67">
        <v>6.17</v>
      </c>
      <c r="L42" s="67"/>
    </row>
    <row r="43" spans="1:12" x14ac:dyDescent="0.35">
      <c r="A43" t="s">
        <v>180</v>
      </c>
      <c r="B43" t="s">
        <v>252</v>
      </c>
      <c r="C43" t="s">
        <v>276</v>
      </c>
      <c r="D43" t="s">
        <v>419</v>
      </c>
      <c r="E43" t="s">
        <v>171</v>
      </c>
      <c r="F43" t="s">
        <v>171</v>
      </c>
      <c r="G43" t="s">
        <v>171</v>
      </c>
      <c r="H43" s="67">
        <v>16.79</v>
      </c>
      <c r="L43" s="67"/>
    </row>
    <row r="44" spans="1:12" x14ac:dyDescent="0.35">
      <c r="A44" t="s">
        <v>180</v>
      </c>
      <c r="B44" t="s">
        <v>192</v>
      </c>
      <c r="C44" t="s">
        <v>276</v>
      </c>
      <c r="D44" t="s">
        <v>420</v>
      </c>
      <c r="E44" t="s">
        <v>171</v>
      </c>
      <c r="F44" t="s">
        <v>171</v>
      </c>
      <c r="G44" t="s">
        <v>171</v>
      </c>
      <c r="H44" s="67">
        <v>16.809999999999999</v>
      </c>
      <c r="L44" s="67"/>
    </row>
    <row r="45" spans="1:12" x14ac:dyDescent="0.35">
      <c r="A45" t="s">
        <v>180</v>
      </c>
      <c r="B45" t="s">
        <v>253</v>
      </c>
      <c r="C45" t="s">
        <v>276</v>
      </c>
      <c r="D45" t="s">
        <v>421</v>
      </c>
      <c r="E45" t="s">
        <v>171</v>
      </c>
      <c r="F45" t="s">
        <v>171</v>
      </c>
      <c r="G45" t="s">
        <v>171</v>
      </c>
      <c r="H45" s="67">
        <v>9.4600000000000009</v>
      </c>
      <c r="L45" s="67"/>
    </row>
    <row r="46" spans="1:12" x14ac:dyDescent="0.35">
      <c r="A46" t="s">
        <v>180</v>
      </c>
      <c r="B46" t="s">
        <v>254</v>
      </c>
      <c r="C46" t="s">
        <v>276</v>
      </c>
      <c r="D46" t="s">
        <v>422</v>
      </c>
      <c r="E46" t="s">
        <v>171</v>
      </c>
      <c r="F46" t="s">
        <v>171</v>
      </c>
      <c r="G46" t="s">
        <v>171</v>
      </c>
      <c r="H46" s="67">
        <v>3.9</v>
      </c>
      <c r="L46" s="67"/>
    </row>
    <row r="47" spans="1:12" x14ac:dyDescent="0.35">
      <c r="A47" t="s">
        <v>180</v>
      </c>
      <c r="B47" t="s">
        <v>255</v>
      </c>
      <c r="C47" t="s">
        <v>276</v>
      </c>
      <c r="D47" t="s">
        <v>423</v>
      </c>
      <c r="E47" t="s">
        <v>171</v>
      </c>
      <c r="F47" t="s">
        <v>171</v>
      </c>
      <c r="G47" t="s">
        <v>171</v>
      </c>
      <c r="H47" s="67">
        <v>8.08</v>
      </c>
      <c r="L47" s="67"/>
    </row>
    <row r="48" spans="1:12" x14ac:dyDescent="0.35">
      <c r="A48" t="s">
        <v>180</v>
      </c>
      <c r="B48" t="s">
        <v>256</v>
      </c>
      <c r="C48" t="s">
        <v>276</v>
      </c>
      <c r="D48" t="s">
        <v>425</v>
      </c>
      <c r="E48" t="s">
        <v>171</v>
      </c>
      <c r="F48" t="s">
        <v>171</v>
      </c>
      <c r="G48" t="s">
        <v>171</v>
      </c>
      <c r="H48" s="67">
        <v>12.32</v>
      </c>
      <c r="J48" s="68"/>
      <c r="K48" s="68"/>
      <c r="L48" s="69"/>
    </row>
    <row r="49" spans="1:12" x14ac:dyDescent="0.35">
      <c r="A49" t="s">
        <v>180</v>
      </c>
      <c r="B49" t="s">
        <v>257</v>
      </c>
      <c r="C49" t="s">
        <v>276</v>
      </c>
      <c r="D49" t="s">
        <v>426</v>
      </c>
      <c r="E49" t="s">
        <v>171</v>
      </c>
      <c r="F49" t="s">
        <v>171</v>
      </c>
      <c r="G49" t="s">
        <v>171</v>
      </c>
      <c r="H49" s="67">
        <v>0.04</v>
      </c>
      <c r="L49" s="67"/>
    </row>
    <row r="50" spans="1:12" x14ac:dyDescent="0.35">
      <c r="A50" t="s">
        <v>180</v>
      </c>
      <c r="B50" t="s">
        <v>258</v>
      </c>
      <c r="C50" t="s">
        <v>276</v>
      </c>
      <c r="D50" t="s">
        <v>427</v>
      </c>
      <c r="E50" t="s">
        <v>171</v>
      </c>
      <c r="F50" t="s">
        <v>171</v>
      </c>
      <c r="G50" t="s">
        <v>171</v>
      </c>
      <c r="H50" s="67">
        <v>15.52</v>
      </c>
      <c r="L50" s="67"/>
    </row>
    <row r="51" spans="1:12" x14ac:dyDescent="0.35">
      <c r="A51" t="s">
        <v>180</v>
      </c>
      <c r="B51" t="s">
        <v>259</v>
      </c>
      <c r="C51" t="s">
        <v>276</v>
      </c>
      <c r="D51" t="s">
        <v>428</v>
      </c>
      <c r="E51" t="s">
        <v>171</v>
      </c>
      <c r="F51" t="s">
        <v>171</v>
      </c>
      <c r="G51" t="s">
        <v>171</v>
      </c>
      <c r="H51" s="67">
        <v>12.58</v>
      </c>
      <c r="L51" s="67"/>
    </row>
    <row r="52" spans="1:12" x14ac:dyDescent="0.35">
      <c r="A52" t="s">
        <v>180</v>
      </c>
      <c r="B52" t="s">
        <v>260</v>
      </c>
      <c r="C52" t="s">
        <v>276</v>
      </c>
      <c r="D52" t="s">
        <v>429</v>
      </c>
      <c r="E52" t="s">
        <v>171</v>
      </c>
      <c r="F52" t="s">
        <v>171</v>
      </c>
      <c r="G52" t="s">
        <v>171</v>
      </c>
      <c r="H52" s="67">
        <v>22.87</v>
      </c>
      <c r="L52" s="67"/>
    </row>
    <row r="53" spans="1:12" x14ac:dyDescent="0.35">
      <c r="A53" t="s">
        <v>180</v>
      </c>
      <c r="B53" t="s">
        <v>248</v>
      </c>
      <c r="C53" t="s">
        <v>276</v>
      </c>
      <c r="D53" t="s">
        <v>413</v>
      </c>
      <c r="E53" t="s">
        <v>171</v>
      </c>
      <c r="F53" t="s">
        <v>171</v>
      </c>
      <c r="G53" t="s">
        <v>171</v>
      </c>
      <c r="H53" s="67">
        <v>97.64</v>
      </c>
      <c r="L53" s="67"/>
    </row>
    <row r="54" spans="1:12" x14ac:dyDescent="0.35">
      <c r="A54" t="s">
        <v>180</v>
      </c>
      <c r="B54" t="s">
        <v>237</v>
      </c>
      <c r="C54" t="s">
        <v>276</v>
      </c>
      <c r="D54" t="s">
        <v>430</v>
      </c>
      <c r="E54" t="s">
        <v>171</v>
      </c>
      <c r="F54" t="s">
        <v>171</v>
      </c>
      <c r="G54" t="s">
        <v>171</v>
      </c>
      <c r="H54" s="67">
        <v>19.8</v>
      </c>
      <c r="L54" s="67"/>
    </row>
    <row r="55" spans="1:12" x14ac:dyDescent="0.35">
      <c r="A55" t="s">
        <v>180</v>
      </c>
      <c r="B55" t="s">
        <v>261</v>
      </c>
      <c r="C55" t="s">
        <v>276</v>
      </c>
      <c r="D55" t="s">
        <v>431</v>
      </c>
      <c r="E55" t="s">
        <v>171</v>
      </c>
      <c r="F55" t="s">
        <v>171</v>
      </c>
      <c r="G55" t="s">
        <v>171</v>
      </c>
      <c r="H55" s="67">
        <v>16.5</v>
      </c>
      <c r="L55" s="67"/>
    </row>
    <row r="56" spans="1:12" x14ac:dyDescent="0.35">
      <c r="A56" t="s">
        <v>180</v>
      </c>
      <c r="B56" t="s">
        <v>262</v>
      </c>
      <c r="C56" t="s">
        <v>276</v>
      </c>
      <c r="D56" t="s">
        <v>432</v>
      </c>
      <c r="E56" t="s">
        <v>171</v>
      </c>
      <c r="F56" t="s">
        <v>171</v>
      </c>
      <c r="G56" t="s">
        <v>171</v>
      </c>
      <c r="H56" s="67">
        <v>18.399999999999999</v>
      </c>
      <c r="L56" s="67"/>
    </row>
    <row r="57" spans="1:12" x14ac:dyDescent="0.35">
      <c r="A57" t="s">
        <v>180</v>
      </c>
      <c r="B57" t="s">
        <v>263</v>
      </c>
      <c r="C57" t="s">
        <v>276</v>
      </c>
      <c r="D57" t="s">
        <v>433</v>
      </c>
      <c r="E57" t="s">
        <v>171</v>
      </c>
      <c r="F57" t="s">
        <v>171</v>
      </c>
      <c r="G57" t="s">
        <v>171</v>
      </c>
      <c r="H57" s="67">
        <v>8.7200000000000006</v>
      </c>
      <c r="L57" s="67"/>
    </row>
    <row r="58" spans="1:12" x14ac:dyDescent="0.35">
      <c r="A58" t="s">
        <v>180</v>
      </c>
      <c r="B58" t="s">
        <v>214</v>
      </c>
      <c r="C58" t="s">
        <v>276</v>
      </c>
      <c r="D58" t="s">
        <v>434</v>
      </c>
      <c r="E58" t="s">
        <v>171</v>
      </c>
      <c r="F58" t="s">
        <v>171</v>
      </c>
      <c r="G58" t="s">
        <v>171</v>
      </c>
      <c r="H58" s="67">
        <v>18.649999999999999</v>
      </c>
      <c r="L58" s="67"/>
    </row>
    <row r="59" spans="1:12" x14ac:dyDescent="0.35">
      <c r="A59" s="68" t="s">
        <v>505</v>
      </c>
      <c r="B59" s="68"/>
      <c r="C59" s="68"/>
      <c r="D59" s="68"/>
      <c r="E59" s="68"/>
      <c r="F59" s="68"/>
      <c r="G59" s="68"/>
      <c r="H59" s="69">
        <v>319.13000000000005</v>
      </c>
      <c r="L59" s="67"/>
    </row>
    <row r="60" spans="1:12" x14ac:dyDescent="0.35">
      <c r="A60" t="s">
        <v>181</v>
      </c>
      <c r="B60" t="s">
        <v>247</v>
      </c>
      <c r="C60" t="s">
        <v>275</v>
      </c>
      <c r="D60" t="s">
        <v>437</v>
      </c>
      <c r="E60" t="s">
        <v>279</v>
      </c>
      <c r="F60" t="s">
        <v>436</v>
      </c>
      <c r="G60" t="s">
        <v>485</v>
      </c>
      <c r="H60" s="67">
        <v>14211.45</v>
      </c>
      <c r="L60" s="67"/>
    </row>
    <row r="61" spans="1:12" x14ac:dyDescent="0.35">
      <c r="A61" t="s">
        <v>181</v>
      </c>
      <c r="B61" t="s">
        <v>216</v>
      </c>
      <c r="C61" t="s">
        <v>275</v>
      </c>
      <c r="D61" t="s">
        <v>438</v>
      </c>
      <c r="E61" t="s">
        <v>279</v>
      </c>
      <c r="F61" t="s">
        <v>436</v>
      </c>
      <c r="G61" t="s">
        <v>485</v>
      </c>
      <c r="H61" s="67">
        <v>2840.23</v>
      </c>
      <c r="L61" s="67"/>
    </row>
    <row r="62" spans="1:12" x14ac:dyDescent="0.35">
      <c r="A62" s="68" t="s">
        <v>506</v>
      </c>
      <c r="B62" s="68"/>
      <c r="C62" s="68"/>
      <c r="D62" s="68"/>
      <c r="E62" s="68"/>
      <c r="F62" s="68"/>
      <c r="G62" s="68"/>
      <c r="H62" s="69">
        <v>17051.68</v>
      </c>
      <c r="L62" s="67"/>
    </row>
    <row r="63" spans="1:12" x14ac:dyDescent="0.35">
      <c r="A63" t="s">
        <v>182</v>
      </c>
      <c r="B63" t="s">
        <v>203</v>
      </c>
      <c r="C63" t="s">
        <v>276</v>
      </c>
      <c r="D63" t="s">
        <v>439</v>
      </c>
      <c r="E63" t="s">
        <v>171</v>
      </c>
      <c r="F63" t="s">
        <v>171</v>
      </c>
      <c r="G63" t="s">
        <v>171</v>
      </c>
      <c r="H63" s="67">
        <v>40</v>
      </c>
      <c r="L63" s="67"/>
    </row>
    <row r="64" spans="1:12" x14ac:dyDescent="0.35">
      <c r="A64" t="s">
        <v>182</v>
      </c>
      <c r="B64" t="s">
        <v>246</v>
      </c>
      <c r="C64" t="s">
        <v>276</v>
      </c>
      <c r="D64" t="s">
        <v>440</v>
      </c>
      <c r="E64" t="s">
        <v>171</v>
      </c>
      <c r="F64" t="s">
        <v>171</v>
      </c>
      <c r="G64" t="s">
        <v>171</v>
      </c>
      <c r="H64" s="67">
        <v>163.55000000000001</v>
      </c>
      <c r="L64" s="67"/>
    </row>
    <row r="65" spans="1:12" x14ac:dyDescent="0.35">
      <c r="A65" t="s">
        <v>182</v>
      </c>
      <c r="B65" t="s">
        <v>210</v>
      </c>
      <c r="C65" t="s">
        <v>276</v>
      </c>
      <c r="D65" t="s">
        <v>441</v>
      </c>
      <c r="E65" t="s">
        <v>171</v>
      </c>
      <c r="F65" t="s">
        <v>171</v>
      </c>
      <c r="G65" t="s">
        <v>171</v>
      </c>
      <c r="H65" s="67">
        <v>279.94</v>
      </c>
      <c r="L65" s="67"/>
    </row>
    <row r="66" spans="1:12" x14ac:dyDescent="0.35">
      <c r="A66" t="s">
        <v>182</v>
      </c>
      <c r="B66" t="s">
        <v>264</v>
      </c>
      <c r="C66" t="s">
        <v>276</v>
      </c>
      <c r="D66" t="s">
        <v>442</v>
      </c>
      <c r="E66" t="s">
        <v>171</v>
      </c>
      <c r="F66" t="s">
        <v>171</v>
      </c>
      <c r="G66" t="s">
        <v>171</v>
      </c>
      <c r="H66" s="67">
        <v>163.55000000000001</v>
      </c>
      <c r="L66" s="67"/>
    </row>
    <row r="67" spans="1:12" x14ac:dyDescent="0.35">
      <c r="A67" t="s">
        <v>182</v>
      </c>
      <c r="B67" t="s">
        <v>215</v>
      </c>
      <c r="C67" t="s">
        <v>276</v>
      </c>
      <c r="D67" t="s">
        <v>443</v>
      </c>
      <c r="E67" t="s">
        <v>171</v>
      </c>
      <c r="F67" t="s">
        <v>171</v>
      </c>
      <c r="G67" t="s">
        <v>171</v>
      </c>
      <c r="H67" s="67">
        <v>9.5</v>
      </c>
      <c r="L67" s="67"/>
    </row>
    <row r="68" spans="1:12" x14ac:dyDescent="0.35">
      <c r="A68" s="68" t="s">
        <v>507</v>
      </c>
      <c r="B68" s="68"/>
      <c r="C68" s="68"/>
      <c r="D68" s="68"/>
      <c r="E68" s="68"/>
      <c r="F68" s="68"/>
      <c r="G68" s="68"/>
      <c r="H68" s="69">
        <v>656.54</v>
      </c>
      <c r="L68" s="67"/>
    </row>
    <row r="69" spans="1:12" x14ac:dyDescent="0.35">
      <c r="A69" t="s">
        <v>183</v>
      </c>
      <c r="B69" t="s">
        <v>192</v>
      </c>
      <c r="C69" t="s">
        <v>278</v>
      </c>
      <c r="D69" t="s">
        <v>444</v>
      </c>
      <c r="E69" t="s">
        <v>171</v>
      </c>
      <c r="F69" t="s">
        <v>171</v>
      </c>
      <c r="G69" t="s">
        <v>171</v>
      </c>
      <c r="H69" s="67">
        <v>581.72</v>
      </c>
      <c r="L69" s="67"/>
    </row>
    <row r="70" spans="1:12" x14ac:dyDescent="0.35">
      <c r="A70" s="68" t="s">
        <v>508</v>
      </c>
      <c r="B70" s="68"/>
      <c r="C70" s="68"/>
      <c r="D70" s="68"/>
      <c r="E70" s="68"/>
      <c r="F70" s="68"/>
      <c r="G70" s="68"/>
      <c r="H70" s="69">
        <v>581.72</v>
      </c>
      <c r="L70" s="67"/>
    </row>
    <row r="71" spans="1:12" x14ac:dyDescent="0.35">
      <c r="A71" t="s">
        <v>184</v>
      </c>
      <c r="B71" t="s">
        <v>265</v>
      </c>
      <c r="C71" t="s">
        <v>280</v>
      </c>
      <c r="D71" t="s">
        <v>445</v>
      </c>
      <c r="E71" t="s">
        <v>171</v>
      </c>
      <c r="F71" t="s">
        <v>171</v>
      </c>
      <c r="G71" t="s">
        <v>171</v>
      </c>
      <c r="H71" s="67">
        <v>246.04</v>
      </c>
      <c r="L71" s="67"/>
    </row>
    <row r="72" spans="1:12" x14ac:dyDescent="0.35">
      <c r="A72" t="s">
        <v>184</v>
      </c>
      <c r="B72" t="s">
        <v>266</v>
      </c>
      <c r="C72" t="s">
        <v>280</v>
      </c>
      <c r="D72" t="s">
        <v>446</v>
      </c>
      <c r="E72" t="s">
        <v>171</v>
      </c>
      <c r="F72" t="s">
        <v>171</v>
      </c>
      <c r="G72" t="s">
        <v>171</v>
      </c>
      <c r="H72" s="67">
        <v>315.20999999999998</v>
      </c>
      <c r="L72" s="67"/>
    </row>
    <row r="73" spans="1:12" x14ac:dyDescent="0.35">
      <c r="A73" t="s">
        <v>184</v>
      </c>
      <c r="B73" t="s">
        <v>222</v>
      </c>
      <c r="C73" t="s">
        <v>280</v>
      </c>
      <c r="D73" t="s">
        <v>447</v>
      </c>
      <c r="E73" t="s">
        <v>171</v>
      </c>
      <c r="F73" t="s">
        <v>171</v>
      </c>
      <c r="G73" t="s">
        <v>171</v>
      </c>
      <c r="H73" s="67">
        <v>223.54</v>
      </c>
      <c r="L73" s="67"/>
    </row>
    <row r="74" spans="1:12" x14ac:dyDescent="0.35">
      <c r="A74" t="s">
        <v>184</v>
      </c>
      <c r="B74" t="s">
        <v>222</v>
      </c>
      <c r="C74" t="s">
        <v>280</v>
      </c>
      <c r="D74" t="s">
        <v>448</v>
      </c>
      <c r="E74" t="s">
        <v>171</v>
      </c>
      <c r="F74" t="s">
        <v>171</v>
      </c>
      <c r="G74" t="s">
        <v>171</v>
      </c>
      <c r="H74" s="67">
        <v>321.17</v>
      </c>
      <c r="L74" s="67"/>
    </row>
    <row r="75" spans="1:12" x14ac:dyDescent="0.35">
      <c r="A75" t="s">
        <v>184</v>
      </c>
      <c r="B75" t="s">
        <v>197</v>
      </c>
      <c r="C75" t="s">
        <v>280</v>
      </c>
      <c r="D75" t="s">
        <v>449</v>
      </c>
      <c r="E75" t="s">
        <v>171</v>
      </c>
      <c r="F75" t="s">
        <v>171</v>
      </c>
      <c r="G75" t="s">
        <v>171</v>
      </c>
      <c r="H75" s="67">
        <v>178.34</v>
      </c>
      <c r="L75" s="67"/>
    </row>
    <row r="76" spans="1:12" x14ac:dyDescent="0.35">
      <c r="A76" t="s">
        <v>184</v>
      </c>
      <c r="B76" t="s">
        <v>230</v>
      </c>
      <c r="C76" t="s">
        <v>280</v>
      </c>
      <c r="D76" t="s">
        <v>450</v>
      </c>
      <c r="E76" t="s">
        <v>171</v>
      </c>
      <c r="F76" t="s">
        <v>171</v>
      </c>
      <c r="G76" t="s">
        <v>171</v>
      </c>
      <c r="H76" s="67">
        <v>159.63999999999999</v>
      </c>
      <c r="L76" s="67"/>
    </row>
    <row r="77" spans="1:12" x14ac:dyDescent="0.35">
      <c r="A77" t="s">
        <v>184</v>
      </c>
      <c r="B77" t="s">
        <v>267</v>
      </c>
      <c r="C77" t="s">
        <v>280</v>
      </c>
      <c r="D77" t="s">
        <v>451</v>
      </c>
      <c r="E77" t="s">
        <v>171</v>
      </c>
      <c r="F77" t="s">
        <v>171</v>
      </c>
      <c r="G77" t="s">
        <v>171</v>
      </c>
      <c r="H77" s="67">
        <v>2362.2600000000002</v>
      </c>
      <c r="L77" s="67"/>
    </row>
    <row r="78" spans="1:12" x14ac:dyDescent="0.35">
      <c r="A78" t="s">
        <v>184</v>
      </c>
      <c r="B78" t="s">
        <v>268</v>
      </c>
      <c r="C78" t="s">
        <v>280</v>
      </c>
      <c r="D78" t="s">
        <v>452</v>
      </c>
      <c r="E78" t="s">
        <v>171</v>
      </c>
      <c r="F78" t="s">
        <v>171</v>
      </c>
      <c r="G78" t="s">
        <v>171</v>
      </c>
      <c r="H78" s="67">
        <v>1039.53</v>
      </c>
      <c r="L78" s="67"/>
    </row>
    <row r="79" spans="1:12" x14ac:dyDescent="0.35">
      <c r="A79" t="s">
        <v>184</v>
      </c>
      <c r="B79" t="s">
        <v>249</v>
      </c>
      <c r="C79" t="s">
        <v>280</v>
      </c>
      <c r="D79" t="s">
        <v>453</v>
      </c>
      <c r="E79" t="s">
        <v>171</v>
      </c>
      <c r="F79" t="s">
        <v>171</v>
      </c>
      <c r="G79" t="s">
        <v>171</v>
      </c>
      <c r="H79" s="67">
        <v>1728.67</v>
      </c>
      <c r="L79" s="67"/>
    </row>
    <row r="80" spans="1:12" x14ac:dyDescent="0.35">
      <c r="A80" t="s">
        <v>184</v>
      </c>
      <c r="B80" t="s">
        <v>269</v>
      </c>
      <c r="C80" t="s">
        <v>280</v>
      </c>
      <c r="D80" t="s">
        <v>454</v>
      </c>
      <c r="E80" t="s">
        <v>171</v>
      </c>
      <c r="F80" t="s">
        <v>171</v>
      </c>
      <c r="G80" t="s">
        <v>171</v>
      </c>
      <c r="H80" s="67">
        <v>3922.34</v>
      </c>
      <c r="L80" s="67"/>
    </row>
    <row r="81" spans="1:12" x14ac:dyDescent="0.35">
      <c r="A81" t="s">
        <v>184</v>
      </c>
      <c r="B81" t="s">
        <v>269</v>
      </c>
      <c r="C81" t="s">
        <v>280</v>
      </c>
      <c r="D81" t="s">
        <v>455</v>
      </c>
      <c r="E81" t="s">
        <v>171</v>
      </c>
      <c r="F81" t="s">
        <v>171</v>
      </c>
      <c r="G81" t="s">
        <v>171</v>
      </c>
      <c r="H81" s="67">
        <v>815.25</v>
      </c>
      <c r="L81" s="67"/>
    </row>
    <row r="82" spans="1:12" x14ac:dyDescent="0.35">
      <c r="A82" t="s">
        <v>184</v>
      </c>
      <c r="B82" t="s">
        <v>269</v>
      </c>
      <c r="C82" t="s">
        <v>280</v>
      </c>
      <c r="D82" t="s">
        <v>456</v>
      </c>
      <c r="E82" t="s">
        <v>171</v>
      </c>
      <c r="F82" t="s">
        <v>171</v>
      </c>
      <c r="G82" t="s">
        <v>171</v>
      </c>
      <c r="H82" s="67">
        <v>9863.6200000000008</v>
      </c>
      <c r="L82" s="67"/>
    </row>
    <row r="83" spans="1:12" x14ac:dyDescent="0.35">
      <c r="A83" s="68" t="s">
        <v>509</v>
      </c>
      <c r="B83" s="68"/>
      <c r="C83" s="68"/>
      <c r="D83" s="68"/>
      <c r="E83" s="68"/>
      <c r="F83" s="68"/>
      <c r="G83" s="68"/>
      <c r="H83" s="69">
        <v>21175.61</v>
      </c>
      <c r="L83" s="67"/>
    </row>
    <row r="84" spans="1:12" x14ac:dyDescent="0.35">
      <c r="A84" t="s">
        <v>185</v>
      </c>
      <c r="B84" t="s">
        <v>270</v>
      </c>
      <c r="C84" t="s">
        <v>277</v>
      </c>
      <c r="D84" t="s">
        <v>457</v>
      </c>
      <c r="E84" t="s">
        <v>171</v>
      </c>
      <c r="F84" t="s">
        <v>171</v>
      </c>
      <c r="G84" t="s">
        <v>488</v>
      </c>
      <c r="H84" s="67">
        <v>50.6</v>
      </c>
      <c r="L84" s="67"/>
    </row>
    <row r="85" spans="1:12" x14ac:dyDescent="0.35">
      <c r="A85" t="s">
        <v>185</v>
      </c>
      <c r="B85" t="s">
        <v>270</v>
      </c>
      <c r="C85" t="s">
        <v>277</v>
      </c>
      <c r="D85" t="s">
        <v>458</v>
      </c>
      <c r="E85" t="s">
        <v>171</v>
      </c>
      <c r="F85" t="s">
        <v>171</v>
      </c>
      <c r="G85" t="s">
        <v>486</v>
      </c>
      <c r="H85" s="67">
        <v>79.12</v>
      </c>
      <c r="L85" s="67"/>
    </row>
    <row r="86" spans="1:12" x14ac:dyDescent="0.35">
      <c r="A86" t="s">
        <v>185</v>
      </c>
      <c r="B86" t="s">
        <v>270</v>
      </c>
      <c r="C86" t="s">
        <v>277</v>
      </c>
      <c r="D86" t="s">
        <v>459</v>
      </c>
      <c r="E86" t="s">
        <v>171</v>
      </c>
      <c r="F86" t="s">
        <v>171</v>
      </c>
      <c r="G86" t="s">
        <v>487</v>
      </c>
      <c r="H86" s="67">
        <v>207.92</v>
      </c>
      <c r="L86" s="67"/>
    </row>
    <row r="87" spans="1:12" x14ac:dyDescent="0.35">
      <c r="A87" t="s">
        <v>185</v>
      </c>
      <c r="B87" t="s">
        <v>232</v>
      </c>
      <c r="C87" t="s">
        <v>277</v>
      </c>
      <c r="D87" t="s">
        <v>460</v>
      </c>
      <c r="E87" t="s">
        <v>171</v>
      </c>
      <c r="F87" t="s">
        <v>171</v>
      </c>
      <c r="G87" t="s">
        <v>489</v>
      </c>
      <c r="H87" s="67">
        <v>248.4</v>
      </c>
      <c r="L87" s="67"/>
    </row>
    <row r="88" spans="1:12" x14ac:dyDescent="0.35">
      <c r="A88" t="s">
        <v>185</v>
      </c>
      <c r="B88" t="s">
        <v>271</v>
      </c>
      <c r="C88" t="s">
        <v>277</v>
      </c>
      <c r="D88" t="s">
        <v>461</v>
      </c>
      <c r="E88" t="s">
        <v>171</v>
      </c>
      <c r="F88" t="s">
        <v>171</v>
      </c>
      <c r="G88" t="s">
        <v>490</v>
      </c>
      <c r="H88" s="67">
        <v>64.400000000000006</v>
      </c>
      <c r="L88" s="67"/>
    </row>
    <row r="89" spans="1:12" x14ac:dyDescent="0.35">
      <c r="A89" t="s">
        <v>185</v>
      </c>
      <c r="B89" t="s">
        <v>205</v>
      </c>
      <c r="C89" t="s">
        <v>277</v>
      </c>
      <c r="D89" t="s">
        <v>462</v>
      </c>
      <c r="E89" t="s">
        <v>171</v>
      </c>
      <c r="F89" t="s">
        <v>171</v>
      </c>
      <c r="G89" t="s">
        <v>487</v>
      </c>
      <c r="H89" s="67">
        <v>207.92</v>
      </c>
      <c r="L89" s="67"/>
    </row>
    <row r="90" spans="1:12" x14ac:dyDescent="0.35">
      <c r="A90" t="s">
        <v>185</v>
      </c>
      <c r="B90" t="s">
        <v>205</v>
      </c>
      <c r="C90" t="s">
        <v>277</v>
      </c>
      <c r="D90" t="s">
        <v>463</v>
      </c>
      <c r="E90" t="s">
        <v>171</v>
      </c>
      <c r="F90" t="s">
        <v>171</v>
      </c>
      <c r="G90" t="s">
        <v>490</v>
      </c>
      <c r="H90" s="67">
        <v>63</v>
      </c>
      <c r="L90" s="67"/>
    </row>
    <row r="91" spans="1:12" x14ac:dyDescent="0.35">
      <c r="A91" t="s">
        <v>185</v>
      </c>
      <c r="B91" t="s">
        <v>205</v>
      </c>
      <c r="C91" t="s">
        <v>277</v>
      </c>
      <c r="D91" t="s">
        <v>464</v>
      </c>
      <c r="E91" t="s">
        <v>171</v>
      </c>
      <c r="F91" t="s">
        <v>171</v>
      </c>
      <c r="G91" t="s">
        <v>489</v>
      </c>
      <c r="H91" s="67">
        <v>248.4</v>
      </c>
      <c r="L91" s="67"/>
    </row>
    <row r="92" spans="1:12" x14ac:dyDescent="0.35">
      <c r="A92" t="s">
        <v>185</v>
      </c>
      <c r="B92" t="s">
        <v>234</v>
      </c>
      <c r="C92" t="s">
        <v>277</v>
      </c>
      <c r="D92" t="s">
        <v>465</v>
      </c>
      <c r="E92" t="s">
        <v>171</v>
      </c>
      <c r="F92" t="s">
        <v>171</v>
      </c>
      <c r="G92" t="s">
        <v>488</v>
      </c>
      <c r="H92" s="67">
        <v>50.6</v>
      </c>
      <c r="L92" s="67"/>
    </row>
    <row r="93" spans="1:12" x14ac:dyDescent="0.35">
      <c r="A93" t="s">
        <v>185</v>
      </c>
      <c r="B93" t="s">
        <v>245</v>
      </c>
      <c r="C93" t="s">
        <v>277</v>
      </c>
      <c r="D93" t="s">
        <v>466</v>
      </c>
      <c r="E93" t="s">
        <v>171</v>
      </c>
      <c r="F93" t="s">
        <v>171</v>
      </c>
      <c r="G93" t="s">
        <v>488</v>
      </c>
      <c r="H93" s="67">
        <v>50.6</v>
      </c>
      <c r="L93" s="67"/>
    </row>
    <row r="94" spans="1:12" x14ac:dyDescent="0.35">
      <c r="A94" t="s">
        <v>185</v>
      </c>
      <c r="B94" t="s">
        <v>245</v>
      </c>
      <c r="C94" t="s">
        <v>277</v>
      </c>
      <c r="D94" t="s">
        <v>467</v>
      </c>
      <c r="E94" t="s">
        <v>171</v>
      </c>
      <c r="F94" t="s">
        <v>171</v>
      </c>
      <c r="G94" t="s">
        <v>490</v>
      </c>
      <c r="H94" s="67">
        <v>64.400000000000006</v>
      </c>
      <c r="L94" s="67"/>
    </row>
    <row r="95" spans="1:12" x14ac:dyDescent="0.35">
      <c r="A95" t="s">
        <v>185</v>
      </c>
      <c r="B95" t="s">
        <v>245</v>
      </c>
      <c r="C95" t="s">
        <v>277</v>
      </c>
      <c r="D95" t="s">
        <v>468</v>
      </c>
      <c r="E95" t="s">
        <v>171</v>
      </c>
      <c r="F95" t="s">
        <v>171</v>
      </c>
      <c r="G95" t="s">
        <v>487</v>
      </c>
      <c r="H95" s="67">
        <v>207.92</v>
      </c>
      <c r="L95" s="67"/>
    </row>
    <row r="96" spans="1:12" x14ac:dyDescent="0.35">
      <c r="A96" t="s">
        <v>185</v>
      </c>
      <c r="B96" t="s">
        <v>272</v>
      </c>
      <c r="C96" t="s">
        <v>277</v>
      </c>
      <c r="D96" t="s">
        <v>469</v>
      </c>
      <c r="E96" t="s">
        <v>171</v>
      </c>
      <c r="F96" t="s">
        <v>171</v>
      </c>
      <c r="G96" t="s">
        <v>487</v>
      </c>
      <c r="H96" s="67">
        <v>207.92</v>
      </c>
      <c r="L96" s="67"/>
    </row>
    <row r="97" spans="1:12" x14ac:dyDescent="0.35">
      <c r="A97" t="s">
        <v>185</v>
      </c>
      <c r="B97" t="s">
        <v>273</v>
      </c>
      <c r="C97" t="s">
        <v>277</v>
      </c>
      <c r="D97" t="s">
        <v>470</v>
      </c>
      <c r="E97" t="s">
        <v>171</v>
      </c>
      <c r="F97" t="s">
        <v>171</v>
      </c>
      <c r="G97" t="s">
        <v>489</v>
      </c>
      <c r="H97" s="67">
        <v>248.4</v>
      </c>
      <c r="L97" s="67"/>
    </row>
    <row r="98" spans="1:12" x14ac:dyDescent="0.35">
      <c r="A98" t="s">
        <v>185</v>
      </c>
      <c r="B98" t="s">
        <v>273</v>
      </c>
      <c r="C98" t="s">
        <v>277</v>
      </c>
      <c r="D98" t="s">
        <v>471</v>
      </c>
      <c r="E98" t="s">
        <v>171</v>
      </c>
      <c r="F98" t="s">
        <v>171</v>
      </c>
      <c r="G98" t="s">
        <v>487</v>
      </c>
      <c r="H98" s="67">
        <v>207.92</v>
      </c>
      <c r="L98" s="67"/>
    </row>
    <row r="99" spans="1:12" x14ac:dyDescent="0.35">
      <c r="A99" t="s">
        <v>185</v>
      </c>
      <c r="B99" t="s">
        <v>242</v>
      </c>
      <c r="C99" t="s">
        <v>277</v>
      </c>
      <c r="D99" t="s">
        <v>472</v>
      </c>
      <c r="E99" t="s">
        <v>171</v>
      </c>
      <c r="F99" t="s">
        <v>171</v>
      </c>
      <c r="G99" t="s">
        <v>489</v>
      </c>
      <c r="H99" s="67">
        <v>248.4</v>
      </c>
      <c r="L99" s="67"/>
    </row>
    <row r="100" spans="1:12" x14ac:dyDescent="0.35">
      <c r="A100" t="s">
        <v>185</v>
      </c>
      <c r="B100" t="s">
        <v>242</v>
      </c>
      <c r="C100" t="s">
        <v>277</v>
      </c>
      <c r="D100" t="s">
        <v>473</v>
      </c>
      <c r="E100" t="s">
        <v>171</v>
      </c>
      <c r="F100" t="s">
        <v>171</v>
      </c>
      <c r="G100" t="s">
        <v>487</v>
      </c>
      <c r="H100" s="67">
        <v>207.92</v>
      </c>
      <c r="L100" s="67"/>
    </row>
    <row r="101" spans="1:12" x14ac:dyDescent="0.35">
      <c r="A101" t="s">
        <v>185</v>
      </c>
      <c r="B101" t="s">
        <v>242</v>
      </c>
      <c r="C101" t="s">
        <v>277</v>
      </c>
      <c r="D101" t="s">
        <v>474</v>
      </c>
      <c r="E101" t="s">
        <v>171</v>
      </c>
      <c r="F101" t="s">
        <v>171</v>
      </c>
      <c r="G101" t="s">
        <v>488</v>
      </c>
      <c r="H101" s="67">
        <v>50.6</v>
      </c>
      <c r="L101" s="67"/>
    </row>
    <row r="102" spans="1:12" x14ac:dyDescent="0.35">
      <c r="A102" t="s">
        <v>185</v>
      </c>
      <c r="B102" t="s">
        <v>242</v>
      </c>
      <c r="C102" t="s">
        <v>277</v>
      </c>
      <c r="D102" t="s">
        <v>475</v>
      </c>
      <c r="E102" t="s">
        <v>171</v>
      </c>
      <c r="F102" t="s">
        <v>171</v>
      </c>
      <c r="G102" t="s">
        <v>490</v>
      </c>
      <c r="H102" s="67">
        <v>64.400000000000006</v>
      </c>
      <c r="L102" s="67"/>
    </row>
    <row r="103" spans="1:12" x14ac:dyDescent="0.35">
      <c r="A103" s="68" t="s">
        <v>510</v>
      </c>
      <c r="B103" s="68"/>
      <c r="C103" s="68"/>
      <c r="D103" s="68"/>
      <c r="E103" s="68"/>
      <c r="F103" s="68"/>
      <c r="G103" s="68"/>
      <c r="H103" s="69">
        <v>2778.8400000000006</v>
      </c>
      <c r="L103" s="67"/>
    </row>
    <row r="104" spans="1:12" x14ac:dyDescent="0.35">
      <c r="A104" t="s">
        <v>186</v>
      </c>
      <c r="B104" t="s">
        <v>223</v>
      </c>
      <c r="C104" t="s">
        <v>276</v>
      </c>
      <c r="D104" t="s">
        <v>476</v>
      </c>
      <c r="E104" t="s">
        <v>171</v>
      </c>
      <c r="F104" t="s">
        <v>171</v>
      </c>
      <c r="G104" t="s">
        <v>171</v>
      </c>
      <c r="H104" s="67">
        <v>150</v>
      </c>
      <c r="L104" s="67"/>
    </row>
    <row r="105" spans="1:12" x14ac:dyDescent="0.35">
      <c r="A105" t="s">
        <v>186</v>
      </c>
      <c r="B105" t="s">
        <v>264</v>
      </c>
      <c r="C105" t="s">
        <v>276</v>
      </c>
      <c r="D105" t="s">
        <v>442</v>
      </c>
      <c r="E105" t="s">
        <v>171</v>
      </c>
      <c r="F105" t="s">
        <v>171</v>
      </c>
      <c r="G105" t="s">
        <v>171</v>
      </c>
      <c r="H105" s="67">
        <v>42</v>
      </c>
      <c r="L105" s="67"/>
    </row>
    <row r="106" spans="1:12" x14ac:dyDescent="0.35">
      <c r="A106" s="68" t="s">
        <v>511</v>
      </c>
      <c r="B106" s="68"/>
      <c r="C106" s="68"/>
      <c r="D106" s="68"/>
      <c r="E106" s="68"/>
      <c r="F106" s="68"/>
      <c r="G106" s="68"/>
      <c r="H106" s="69">
        <v>192</v>
      </c>
      <c r="L106" s="67"/>
    </row>
    <row r="107" spans="1:12" x14ac:dyDescent="0.35">
      <c r="A107" t="s">
        <v>187</v>
      </c>
      <c r="B107" t="s">
        <v>270</v>
      </c>
      <c r="C107" t="s">
        <v>277</v>
      </c>
      <c r="D107" t="s">
        <v>457</v>
      </c>
      <c r="E107" t="s">
        <v>171</v>
      </c>
      <c r="F107" t="s">
        <v>171</v>
      </c>
      <c r="G107" t="s">
        <v>488</v>
      </c>
      <c r="H107" s="67">
        <v>32</v>
      </c>
      <c r="L107" s="67"/>
    </row>
    <row r="108" spans="1:12" x14ac:dyDescent="0.35">
      <c r="A108" t="s">
        <v>187</v>
      </c>
      <c r="B108" t="s">
        <v>270</v>
      </c>
      <c r="C108" t="s">
        <v>277</v>
      </c>
      <c r="D108" t="s">
        <v>458</v>
      </c>
      <c r="E108" t="s">
        <v>171</v>
      </c>
      <c r="F108" t="s">
        <v>171</v>
      </c>
      <c r="G108" t="s">
        <v>486</v>
      </c>
      <c r="H108" s="67">
        <v>32</v>
      </c>
      <c r="L108" s="67"/>
    </row>
    <row r="109" spans="1:12" x14ac:dyDescent="0.35">
      <c r="A109" t="s">
        <v>187</v>
      </c>
      <c r="B109" t="s">
        <v>270</v>
      </c>
      <c r="C109" t="s">
        <v>277</v>
      </c>
      <c r="D109" t="s">
        <v>459</v>
      </c>
      <c r="E109" t="s">
        <v>171</v>
      </c>
      <c r="F109" t="s">
        <v>171</v>
      </c>
      <c r="G109" t="s">
        <v>487</v>
      </c>
      <c r="H109" s="67">
        <v>32</v>
      </c>
      <c r="L109" s="67"/>
    </row>
    <row r="110" spans="1:12" x14ac:dyDescent="0.35">
      <c r="A110" t="s">
        <v>187</v>
      </c>
      <c r="B110" t="s">
        <v>232</v>
      </c>
      <c r="C110" t="s">
        <v>277</v>
      </c>
      <c r="D110" t="s">
        <v>460</v>
      </c>
      <c r="E110" t="s">
        <v>171</v>
      </c>
      <c r="F110" t="s">
        <v>171</v>
      </c>
      <c r="G110" t="s">
        <v>489</v>
      </c>
      <c r="H110" s="67">
        <v>32</v>
      </c>
      <c r="L110" s="67"/>
    </row>
    <row r="111" spans="1:12" x14ac:dyDescent="0.35">
      <c r="A111" t="s">
        <v>187</v>
      </c>
      <c r="B111" t="s">
        <v>271</v>
      </c>
      <c r="C111" t="s">
        <v>277</v>
      </c>
      <c r="D111" t="s">
        <v>461</v>
      </c>
      <c r="E111" t="s">
        <v>171</v>
      </c>
      <c r="F111" t="s">
        <v>171</v>
      </c>
      <c r="G111" t="s">
        <v>490</v>
      </c>
      <c r="H111" s="67">
        <v>32</v>
      </c>
      <c r="L111" s="67"/>
    </row>
    <row r="112" spans="1:12" x14ac:dyDescent="0.35">
      <c r="A112" t="s">
        <v>187</v>
      </c>
      <c r="B112" t="s">
        <v>205</v>
      </c>
      <c r="C112" t="s">
        <v>277</v>
      </c>
      <c r="D112" t="s">
        <v>462</v>
      </c>
      <c r="E112" t="s">
        <v>171</v>
      </c>
      <c r="F112" t="s">
        <v>171</v>
      </c>
      <c r="G112" t="s">
        <v>487</v>
      </c>
      <c r="H112" s="67">
        <v>32</v>
      </c>
      <c r="L112" s="67"/>
    </row>
    <row r="113" spans="1:12" x14ac:dyDescent="0.35">
      <c r="A113" t="s">
        <v>187</v>
      </c>
      <c r="B113" t="s">
        <v>205</v>
      </c>
      <c r="C113" t="s">
        <v>277</v>
      </c>
      <c r="D113" t="s">
        <v>464</v>
      </c>
      <c r="E113" t="s">
        <v>171</v>
      </c>
      <c r="F113" t="s">
        <v>171</v>
      </c>
      <c r="G113" t="s">
        <v>489</v>
      </c>
      <c r="H113" s="67">
        <v>32</v>
      </c>
      <c r="L113" s="67"/>
    </row>
    <row r="114" spans="1:12" x14ac:dyDescent="0.35">
      <c r="A114" t="s">
        <v>187</v>
      </c>
      <c r="B114" t="s">
        <v>234</v>
      </c>
      <c r="C114" t="s">
        <v>277</v>
      </c>
      <c r="D114" t="s">
        <v>465</v>
      </c>
      <c r="E114" t="s">
        <v>171</v>
      </c>
      <c r="F114" t="s">
        <v>171</v>
      </c>
      <c r="G114" t="s">
        <v>488</v>
      </c>
      <c r="H114" s="67">
        <v>32</v>
      </c>
      <c r="L114" s="67"/>
    </row>
    <row r="115" spans="1:12" x14ac:dyDescent="0.35">
      <c r="A115" t="s">
        <v>187</v>
      </c>
      <c r="B115" t="s">
        <v>245</v>
      </c>
      <c r="C115" t="s">
        <v>277</v>
      </c>
      <c r="D115" t="s">
        <v>466</v>
      </c>
      <c r="E115" t="s">
        <v>171</v>
      </c>
      <c r="F115" t="s">
        <v>171</v>
      </c>
      <c r="G115" t="s">
        <v>488</v>
      </c>
      <c r="H115" s="67">
        <v>32</v>
      </c>
      <c r="L115" s="67"/>
    </row>
    <row r="116" spans="1:12" x14ac:dyDescent="0.35">
      <c r="A116" t="s">
        <v>187</v>
      </c>
      <c r="B116" t="s">
        <v>245</v>
      </c>
      <c r="C116" t="s">
        <v>277</v>
      </c>
      <c r="D116" t="s">
        <v>467</v>
      </c>
      <c r="E116" t="s">
        <v>171</v>
      </c>
      <c r="F116" t="s">
        <v>171</v>
      </c>
      <c r="G116" t="s">
        <v>490</v>
      </c>
      <c r="H116" s="67">
        <v>32</v>
      </c>
      <c r="L116" s="67"/>
    </row>
    <row r="117" spans="1:12" x14ac:dyDescent="0.35">
      <c r="A117" t="s">
        <v>187</v>
      </c>
      <c r="B117" t="s">
        <v>245</v>
      </c>
      <c r="C117" t="s">
        <v>277</v>
      </c>
      <c r="D117" t="s">
        <v>468</v>
      </c>
      <c r="E117" t="s">
        <v>171</v>
      </c>
      <c r="F117" t="s">
        <v>171</v>
      </c>
      <c r="G117" t="s">
        <v>487</v>
      </c>
      <c r="H117" s="67">
        <v>32</v>
      </c>
      <c r="L117" s="67"/>
    </row>
    <row r="118" spans="1:12" x14ac:dyDescent="0.35">
      <c r="A118" t="s">
        <v>187</v>
      </c>
      <c r="B118" t="s">
        <v>272</v>
      </c>
      <c r="C118" t="s">
        <v>277</v>
      </c>
      <c r="D118" t="s">
        <v>469</v>
      </c>
      <c r="E118" t="s">
        <v>171</v>
      </c>
      <c r="F118" t="s">
        <v>171</v>
      </c>
      <c r="G118" t="s">
        <v>487</v>
      </c>
      <c r="H118" s="67">
        <v>32</v>
      </c>
      <c r="L118" s="67"/>
    </row>
    <row r="119" spans="1:12" x14ac:dyDescent="0.35">
      <c r="A119" t="s">
        <v>187</v>
      </c>
      <c r="B119" t="s">
        <v>273</v>
      </c>
      <c r="C119" t="s">
        <v>277</v>
      </c>
      <c r="D119" t="s">
        <v>470</v>
      </c>
      <c r="E119" t="s">
        <v>171</v>
      </c>
      <c r="F119" t="s">
        <v>171</v>
      </c>
      <c r="G119" t="s">
        <v>489</v>
      </c>
      <c r="H119" s="67">
        <v>138.82</v>
      </c>
      <c r="L119" s="67"/>
    </row>
    <row r="120" spans="1:12" x14ac:dyDescent="0.35">
      <c r="A120" t="s">
        <v>187</v>
      </c>
      <c r="B120" t="s">
        <v>273</v>
      </c>
      <c r="C120" t="s">
        <v>277</v>
      </c>
      <c r="D120" t="s">
        <v>471</v>
      </c>
      <c r="E120" t="s">
        <v>171</v>
      </c>
      <c r="F120" t="s">
        <v>171</v>
      </c>
      <c r="G120" t="s">
        <v>487</v>
      </c>
      <c r="H120" s="67">
        <v>32</v>
      </c>
      <c r="L120" s="67"/>
    </row>
    <row r="121" spans="1:12" x14ac:dyDescent="0.35">
      <c r="A121" t="s">
        <v>187</v>
      </c>
      <c r="B121" t="s">
        <v>242</v>
      </c>
      <c r="C121" t="s">
        <v>277</v>
      </c>
      <c r="D121" t="s">
        <v>472</v>
      </c>
      <c r="E121" t="s">
        <v>171</v>
      </c>
      <c r="F121" t="s">
        <v>171</v>
      </c>
      <c r="G121" t="s">
        <v>489</v>
      </c>
      <c r="H121" s="67">
        <v>32</v>
      </c>
      <c r="L121" s="67"/>
    </row>
    <row r="122" spans="1:12" x14ac:dyDescent="0.35">
      <c r="A122" t="s">
        <v>187</v>
      </c>
      <c r="B122" t="s">
        <v>242</v>
      </c>
      <c r="C122" t="s">
        <v>277</v>
      </c>
      <c r="D122" t="s">
        <v>473</v>
      </c>
      <c r="E122" t="s">
        <v>171</v>
      </c>
      <c r="F122" t="s">
        <v>171</v>
      </c>
      <c r="G122" t="s">
        <v>487</v>
      </c>
      <c r="H122" s="67">
        <v>32</v>
      </c>
      <c r="L122" s="67"/>
    </row>
    <row r="123" spans="1:12" x14ac:dyDescent="0.35">
      <c r="A123" t="s">
        <v>187</v>
      </c>
      <c r="B123" t="s">
        <v>242</v>
      </c>
      <c r="C123" t="s">
        <v>277</v>
      </c>
      <c r="D123" t="s">
        <v>474</v>
      </c>
      <c r="E123" t="s">
        <v>171</v>
      </c>
      <c r="F123" t="s">
        <v>171</v>
      </c>
      <c r="G123" t="s">
        <v>488</v>
      </c>
      <c r="H123" s="67">
        <v>32</v>
      </c>
      <c r="L123" s="67"/>
    </row>
    <row r="124" spans="1:12" x14ac:dyDescent="0.35">
      <c r="A124" t="s">
        <v>187</v>
      </c>
      <c r="B124" t="s">
        <v>242</v>
      </c>
      <c r="C124" t="s">
        <v>277</v>
      </c>
      <c r="D124" t="s">
        <v>475</v>
      </c>
      <c r="E124" t="s">
        <v>171</v>
      </c>
      <c r="F124" t="s">
        <v>171</v>
      </c>
      <c r="G124" t="s">
        <v>490</v>
      </c>
      <c r="H124" s="67">
        <v>32</v>
      </c>
      <c r="L124" s="67"/>
    </row>
    <row r="125" spans="1:12" x14ac:dyDescent="0.35">
      <c r="A125" s="68" t="s">
        <v>512</v>
      </c>
      <c r="B125" s="68"/>
      <c r="C125" s="68"/>
      <c r="D125" s="68"/>
      <c r="E125" s="68"/>
      <c r="F125" s="68"/>
      <c r="G125" s="68"/>
      <c r="H125" s="69">
        <v>682.81999999999994</v>
      </c>
      <c r="L125" s="67"/>
    </row>
    <row r="126" spans="1:12" x14ac:dyDescent="0.35">
      <c r="A126" t="s">
        <v>188</v>
      </c>
      <c r="B126" t="s">
        <v>203</v>
      </c>
      <c r="C126" t="s">
        <v>276</v>
      </c>
      <c r="D126" t="s">
        <v>477</v>
      </c>
      <c r="E126" t="s">
        <v>171</v>
      </c>
      <c r="F126" t="s">
        <v>171</v>
      </c>
      <c r="G126" t="s">
        <v>171</v>
      </c>
      <c r="H126" s="67">
        <v>179</v>
      </c>
      <c r="L126" s="67"/>
    </row>
    <row r="127" spans="1:12" x14ac:dyDescent="0.35">
      <c r="A127" t="s">
        <v>188</v>
      </c>
      <c r="B127" t="s">
        <v>209</v>
      </c>
      <c r="C127" t="s">
        <v>276</v>
      </c>
      <c r="D127" t="s">
        <v>478</v>
      </c>
      <c r="E127" t="s">
        <v>171</v>
      </c>
      <c r="F127" t="s">
        <v>171</v>
      </c>
      <c r="G127" t="s">
        <v>171</v>
      </c>
      <c r="H127" s="67">
        <v>50</v>
      </c>
      <c r="L127" s="67"/>
    </row>
    <row r="128" spans="1:12" x14ac:dyDescent="0.35">
      <c r="A128" t="s">
        <v>188</v>
      </c>
      <c r="B128" t="s">
        <v>211</v>
      </c>
      <c r="C128" t="s">
        <v>276</v>
      </c>
      <c r="D128" t="s">
        <v>479</v>
      </c>
      <c r="E128" t="s">
        <v>171</v>
      </c>
      <c r="F128" t="s">
        <v>171</v>
      </c>
      <c r="G128" t="s">
        <v>171</v>
      </c>
      <c r="H128" s="67">
        <v>125</v>
      </c>
      <c r="L128" s="67"/>
    </row>
    <row r="129" spans="1:12" x14ac:dyDescent="0.35">
      <c r="A129" s="68" t="s">
        <v>513</v>
      </c>
      <c r="B129" s="68"/>
      <c r="C129" s="68"/>
      <c r="D129" s="68"/>
      <c r="E129" s="68"/>
      <c r="F129" s="68"/>
      <c r="G129" s="68"/>
      <c r="H129" s="69">
        <v>354</v>
      </c>
      <c r="L129" s="67"/>
    </row>
    <row r="130" spans="1:12" x14ac:dyDescent="0.35">
      <c r="A130" t="s">
        <v>16</v>
      </c>
      <c r="H130" s="67">
        <v>46156.220000000008</v>
      </c>
      <c r="L130" s="67"/>
    </row>
    <row r="131" spans="1:12" x14ac:dyDescent="0.35">
      <c r="L131" s="67"/>
    </row>
    <row r="132" spans="1:12" x14ac:dyDescent="0.35">
      <c r="L132" s="67"/>
    </row>
    <row r="133" spans="1:12" x14ac:dyDescent="0.35">
      <c r="L133" s="67"/>
    </row>
    <row r="134" spans="1:12" x14ac:dyDescent="0.35">
      <c r="L134" s="67"/>
    </row>
    <row r="135" spans="1:12" x14ac:dyDescent="0.35">
      <c r="L135" s="67"/>
    </row>
    <row r="136" spans="1:12" x14ac:dyDescent="0.35">
      <c r="L136" s="67"/>
    </row>
    <row r="137" spans="1:12" x14ac:dyDescent="0.35">
      <c r="J137" s="68"/>
      <c r="K137" s="68"/>
      <c r="L137" s="69"/>
    </row>
    <row r="138" spans="1:12" x14ac:dyDescent="0.35">
      <c r="L138" s="6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7EDA3-A5CC-48AC-973D-F0236320939B}">
  <sheetPr>
    <tabColor theme="2" tint="-0.249977111117893"/>
  </sheetPr>
  <dimension ref="A1:X138"/>
  <sheetViews>
    <sheetView topLeftCell="G1" workbookViewId="0">
      <selection activeCell="U31" sqref="U31"/>
    </sheetView>
  </sheetViews>
  <sheetFormatPr defaultRowHeight="14.5" x14ac:dyDescent="0.35"/>
  <cols>
    <col min="1" max="1" width="50.1796875" bestFit="1" customWidth="1"/>
    <col min="2" max="2" width="14.7265625" bestFit="1" customWidth="1"/>
    <col min="4" max="4" width="24.453125" bestFit="1" customWidth="1"/>
    <col min="5" max="5" width="12.7265625" bestFit="1" customWidth="1"/>
    <col min="6" max="7" width="40.7265625" bestFit="1" customWidth="1"/>
    <col min="8" max="8" width="9.1796875" bestFit="1" customWidth="1"/>
    <col min="10" max="10" width="12.7265625" bestFit="1" customWidth="1"/>
    <col min="11" max="11" width="40.7265625" bestFit="1" customWidth="1"/>
    <col min="16" max="16" width="25.1796875" bestFit="1" customWidth="1"/>
    <col min="17" max="17" width="12" style="59" bestFit="1" customWidth="1"/>
    <col min="20" max="20" width="10.54296875" bestFit="1" customWidth="1"/>
  </cols>
  <sheetData>
    <row r="1" spans="1:24" x14ac:dyDescent="0.35">
      <c r="A1" t="s">
        <v>2</v>
      </c>
      <c r="B1" t="s" vm="3">
        <v>125</v>
      </c>
    </row>
    <row r="2" spans="1:24" x14ac:dyDescent="0.35">
      <c r="A2" t="s">
        <v>168</v>
      </c>
      <c r="B2" t="s" vm="14">
        <v>169</v>
      </c>
    </row>
    <row r="3" spans="1:24" x14ac:dyDescent="0.35">
      <c r="A3" t="s">
        <v>3</v>
      </c>
      <c r="B3" t="s" vm="1">
        <v>4</v>
      </c>
    </row>
    <row r="4" spans="1:24" x14ac:dyDescent="0.35">
      <c r="A4" t="s">
        <v>170</v>
      </c>
      <c r="B4" t="s" vm="15">
        <v>155</v>
      </c>
    </row>
    <row r="5" spans="1:24" x14ac:dyDescent="0.35">
      <c r="A5" t="s">
        <v>1</v>
      </c>
      <c r="B5" t="s" vm="9">
        <v>151</v>
      </c>
    </row>
    <row r="6" spans="1:24" x14ac:dyDescent="0.35">
      <c r="A6" t="s">
        <v>172</v>
      </c>
      <c r="B6" t="s" vm="16">
        <v>149</v>
      </c>
    </row>
    <row r="7" spans="1:24" x14ac:dyDescent="0.35">
      <c r="A7" t="s">
        <v>173</v>
      </c>
      <c r="B7" t="s" vm="17">
        <v>56</v>
      </c>
    </row>
    <row r="9" spans="1:24" x14ac:dyDescent="0.35">
      <c r="A9" t="s">
        <v>48</v>
      </c>
    </row>
    <row r="10" spans="1:24" x14ac:dyDescent="0.35">
      <c r="A10" t="s">
        <v>491</v>
      </c>
      <c r="B10" t="s">
        <v>492</v>
      </c>
      <c r="C10" t="s">
        <v>493</v>
      </c>
      <c r="D10" t="s">
        <v>494</v>
      </c>
      <c r="E10" t="s">
        <v>498</v>
      </c>
      <c r="F10" t="s">
        <v>497</v>
      </c>
      <c r="G10" t="s">
        <v>495</v>
      </c>
      <c r="H10" t="s">
        <v>496</v>
      </c>
      <c r="J10" t="s">
        <v>498</v>
      </c>
      <c r="K10" t="s">
        <v>497</v>
      </c>
      <c r="L10" t="s">
        <v>496</v>
      </c>
      <c r="P10" t="s">
        <v>17</v>
      </c>
      <c r="Q10" s="59" t="s">
        <v>521</v>
      </c>
    </row>
    <row r="11" spans="1:24" x14ac:dyDescent="0.35">
      <c r="A11" t="s">
        <v>174</v>
      </c>
      <c r="B11" t="s">
        <v>189</v>
      </c>
      <c r="C11" t="s">
        <v>275</v>
      </c>
      <c r="D11" t="s">
        <v>282</v>
      </c>
      <c r="E11" t="s">
        <v>274</v>
      </c>
      <c r="F11" t="s">
        <v>281</v>
      </c>
      <c r="G11" t="s">
        <v>480</v>
      </c>
      <c r="H11" s="67">
        <v>266.35000000000002</v>
      </c>
      <c r="J11" t="s">
        <v>274</v>
      </c>
      <c r="K11" t="s">
        <v>281</v>
      </c>
      <c r="L11" s="67">
        <v>266.35000000000002</v>
      </c>
      <c r="P11" s="2" t="s">
        <v>274</v>
      </c>
      <c r="Q11" s="59">
        <v>62198.999999999993</v>
      </c>
    </row>
    <row r="12" spans="1:24" x14ac:dyDescent="0.35">
      <c r="A12" t="s">
        <v>174</v>
      </c>
      <c r="B12" t="s">
        <v>189</v>
      </c>
      <c r="C12" t="s">
        <v>275</v>
      </c>
      <c r="D12" t="s">
        <v>283</v>
      </c>
      <c r="E12" t="s">
        <v>274</v>
      </c>
      <c r="F12" t="s">
        <v>281</v>
      </c>
      <c r="G12" t="s">
        <v>480</v>
      </c>
      <c r="H12" s="67">
        <v>213.08</v>
      </c>
      <c r="J12" t="s">
        <v>274</v>
      </c>
      <c r="K12" t="s">
        <v>281</v>
      </c>
      <c r="L12" s="67">
        <v>213.08</v>
      </c>
      <c r="P12" s="66" t="s">
        <v>319</v>
      </c>
      <c r="Q12" s="59">
        <v>6626.9</v>
      </c>
    </row>
    <row r="13" spans="1:24" x14ac:dyDescent="0.35">
      <c r="A13" t="s">
        <v>174</v>
      </c>
      <c r="B13" t="s">
        <v>190</v>
      </c>
      <c r="C13" t="s">
        <v>275</v>
      </c>
      <c r="D13" t="s">
        <v>284</v>
      </c>
      <c r="E13" t="s">
        <v>274</v>
      </c>
      <c r="F13" t="s">
        <v>281</v>
      </c>
      <c r="G13" t="s">
        <v>480</v>
      </c>
      <c r="H13" s="67">
        <v>159.81</v>
      </c>
      <c r="J13" t="s">
        <v>274</v>
      </c>
      <c r="K13" t="s">
        <v>281</v>
      </c>
      <c r="L13" s="67">
        <v>159.81</v>
      </c>
      <c r="P13" s="66" t="s">
        <v>320</v>
      </c>
      <c r="Q13" s="59">
        <v>2810.58</v>
      </c>
    </row>
    <row r="14" spans="1:24" x14ac:dyDescent="0.35">
      <c r="A14" t="s">
        <v>174</v>
      </c>
      <c r="B14" t="s">
        <v>191</v>
      </c>
      <c r="C14" t="s">
        <v>275</v>
      </c>
      <c r="D14" t="s">
        <v>285</v>
      </c>
      <c r="E14" t="s">
        <v>274</v>
      </c>
      <c r="F14" t="s">
        <v>281</v>
      </c>
      <c r="G14" t="s">
        <v>480</v>
      </c>
      <c r="H14" s="67">
        <v>506.07</v>
      </c>
      <c r="J14" t="s">
        <v>274</v>
      </c>
      <c r="K14" t="s">
        <v>281</v>
      </c>
      <c r="L14" s="67">
        <v>506.07</v>
      </c>
      <c r="P14" s="66" t="s">
        <v>321</v>
      </c>
      <c r="Q14" s="59">
        <v>21852.919999999995</v>
      </c>
      <c r="R14" t="s">
        <v>654</v>
      </c>
    </row>
    <row r="15" spans="1:24" x14ac:dyDescent="0.35">
      <c r="A15" t="s">
        <v>174</v>
      </c>
      <c r="B15" t="s">
        <v>192</v>
      </c>
      <c r="C15" t="s">
        <v>275</v>
      </c>
      <c r="D15" t="s">
        <v>286</v>
      </c>
      <c r="E15" t="s">
        <v>274</v>
      </c>
      <c r="F15" t="s">
        <v>281</v>
      </c>
      <c r="G15" t="s">
        <v>480</v>
      </c>
      <c r="H15" s="67">
        <v>665.88</v>
      </c>
      <c r="J15" t="s">
        <v>274</v>
      </c>
      <c r="K15" t="s">
        <v>281</v>
      </c>
      <c r="L15" s="67">
        <v>665.88</v>
      </c>
      <c r="P15" s="66" t="s">
        <v>281</v>
      </c>
      <c r="Q15" s="59">
        <v>15768.01</v>
      </c>
      <c r="R15" t="s">
        <v>652</v>
      </c>
      <c r="T15" s="135">
        <v>15000</v>
      </c>
      <c r="U15" s="135" t="s">
        <v>653</v>
      </c>
      <c r="V15" s="135"/>
      <c r="W15" s="135"/>
      <c r="X15" s="135"/>
    </row>
    <row r="16" spans="1:24" x14ac:dyDescent="0.35">
      <c r="A16" t="s">
        <v>174</v>
      </c>
      <c r="B16" t="s">
        <v>193</v>
      </c>
      <c r="C16" t="s">
        <v>275</v>
      </c>
      <c r="D16" t="s">
        <v>287</v>
      </c>
      <c r="E16" t="s">
        <v>274</v>
      </c>
      <c r="F16" t="s">
        <v>281</v>
      </c>
      <c r="G16" t="s">
        <v>480</v>
      </c>
      <c r="H16" s="67">
        <v>372.89</v>
      </c>
      <c r="J16" t="s">
        <v>274</v>
      </c>
      <c r="K16" t="s">
        <v>281</v>
      </c>
      <c r="L16" s="67">
        <v>372.89</v>
      </c>
      <c r="P16" s="66" t="s">
        <v>337</v>
      </c>
      <c r="Q16" s="59">
        <v>15140.589999999997</v>
      </c>
      <c r="R16" t="s">
        <v>651</v>
      </c>
    </row>
    <row r="17" spans="1:18" x14ac:dyDescent="0.35">
      <c r="A17" t="s">
        <v>174</v>
      </c>
      <c r="B17" t="s">
        <v>194</v>
      </c>
      <c r="C17" t="s">
        <v>275</v>
      </c>
      <c r="D17" t="s">
        <v>288</v>
      </c>
      <c r="E17" t="s">
        <v>274</v>
      </c>
      <c r="F17" t="s">
        <v>281</v>
      </c>
      <c r="G17" t="s">
        <v>480</v>
      </c>
      <c r="H17" s="67">
        <v>1012.13</v>
      </c>
      <c r="J17" t="s">
        <v>274</v>
      </c>
      <c r="K17" t="s">
        <v>281</v>
      </c>
      <c r="L17" s="67">
        <v>1012.13</v>
      </c>
      <c r="P17" s="2" t="s">
        <v>171</v>
      </c>
      <c r="Q17" s="59">
        <v>500</v>
      </c>
    </row>
    <row r="18" spans="1:18" x14ac:dyDescent="0.35">
      <c r="A18" t="s">
        <v>174</v>
      </c>
      <c r="B18" t="s">
        <v>195</v>
      </c>
      <c r="C18" t="s">
        <v>275</v>
      </c>
      <c r="D18" t="s">
        <v>289</v>
      </c>
      <c r="E18" t="s">
        <v>274</v>
      </c>
      <c r="F18" t="s">
        <v>281</v>
      </c>
      <c r="G18" t="s">
        <v>480</v>
      </c>
      <c r="H18" s="67">
        <v>213.08</v>
      </c>
      <c r="J18" t="s">
        <v>274</v>
      </c>
      <c r="K18" t="s">
        <v>281</v>
      </c>
      <c r="L18" s="67">
        <v>213.08</v>
      </c>
      <c r="P18" s="66" t="s">
        <v>171</v>
      </c>
      <c r="Q18" s="59">
        <v>500</v>
      </c>
      <c r="R18" t="s">
        <v>522</v>
      </c>
    </row>
    <row r="19" spans="1:18" x14ac:dyDescent="0.35">
      <c r="A19" t="s">
        <v>174</v>
      </c>
      <c r="B19" t="s">
        <v>196</v>
      </c>
      <c r="C19" t="s">
        <v>275</v>
      </c>
      <c r="D19" t="s">
        <v>290</v>
      </c>
      <c r="E19" t="s">
        <v>274</v>
      </c>
      <c r="F19" t="s">
        <v>281</v>
      </c>
      <c r="G19" t="s">
        <v>480</v>
      </c>
      <c r="H19" s="67">
        <v>452.8</v>
      </c>
      <c r="J19" t="s">
        <v>274</v>
      </c>
      <c r="K19" t="s">
        <v>281</v>
      </c>
      <c r="L19" s="67">
        <v>452.8</v>
      </c>
      <c r="P19" s="2" t="s">
        <v>16</v>
      </c>
      <c r="Q19" s="59">
        <v>62698.999999999993</v>
      </c>
    </row>
    <row r="20" spans="1:18" x14ac:dyDescent="0.35">
      <c r="A20" t="s">
        <v>174</v>
      </c>
      <c r="B20" t="s">
        <v>196</v>
      </c>
      <c r="C20" t="s">
        <v>275</v>
      </c>
      <c r="D20" t="s">
        <v>291</v>
      </c>
      <c r="E20" t="s">
        <v>274</v>
      </c>
      <c r="F20" t="s">
        <v>281</v>
      </c>
      <c r="G20" t="s">
        <v>480</v>
      </c>
      <c r="H20" s="67">
        <v>452.8</v>
      </c>
      <c r="J20" t="s">
        <v>274</v>
      </c>
      <c r="K20" t="s">
        <v>281</v>
      </c>
      <c r="L20" s="67">
        <v>452.8</v>
      </c>
    </row>
    <row r="21" spans="1:18" x14ac:dyDescent="0.35">
      <c r="A21" t="s">
        <v>174</v>
      </c>
      <c r="B21" t="s">
        <v>197</v>
      </c>
      <c r="C21" t="s">
        <v>275</v>
      </c>
      <c r="D21" t="s">
        <v>292</v>
      </c>
      <c r="E21" t="s">
        <v>274</v>
      </c>
      <c r="F21" t="s">
        <v>281</v>
      </c>
      <c r="G21" t="s">
        <v>480</v>
      </c>
      <c r="H21" s="67">
        <v>106.54</v>
      </c>
      <c r="J21" t="s">
        <v>274</v>
      </c>
      <c r="K21" t="s">
        <v>281</v>
      </c>
      <c r="L21" s="67">
        <v>106.54</v>
      </c>
    </row>
    <row r="22" spans="1:18" x14ac:dyDescent="0.35">
      <c r="A22" t="s">
        <v>174</v>
      </c>
      <c r="B22" t="s">
        <v>198</v>
      </c>
      <c r="C22" t="s">
        <v>275</v>
      </c>
      <c r="D22" t="s">
        <v>293</v>
      </c>
      <c r="E22" t="s">
        <v>274</v>
      </c>
      <c r="F22" t="s">
        <v>281</v>
      </c>
      <c r="G22" t="s">
        <v>480</v>
      </c>
      <c r="H22" s="67">
        <v>319.62</v>
      </c>
      <c r="J22" t="s">
        <v>274</v>
      </c>
      <c r="K22" t="s">
        <v>281</v>
      </c>
      <c r="L22" s="67">
        <v>319.62</v>
      </c>
    </row>
    <row r="23" spans="1:18" x14ac:dyDescent="0.35">
      <c r="A23" t="s">
        <v>174</v>
      </c>
      <c r="B23" t="s">
        <v>199</v>
      </c>
      <c r="C23" t="s">
        <v>275</v>
      </c>
      <c r="D23" t="s">
        <v>294</v>
      </c>
      <c r="E23" t="s">
        <v>274</v>
      </c>
      <c r="F23" t="s">
        <v>281</v>
      </c>
      <c r="G23" t="s">
        <v>480</v>
      </c>
      <c r="H23" s="67">
        <v>452.8</v>
      </c>
      <c r="J23" t="s">
        <v>274</v>
      </c>
      <c r="K23" t="s">
        <v>281</v>
      </c>
      <c r="L23" s="67">
        <v>452.8</v>
      </c>
      <c r="P23" t="s">
        <v>655</v>
      </c>
      <c r="Q23" s="59">
        <v>8014</v>
      </c>
      <c r="R23" t="s">
        <v>656</v>
      </c>
    </row>
    <row r="24" spans="1:18" x14ac:dyDescent="0.35">
      <c r="A24" t="s">
        <v>174</v>
      </c>
      <c r="B24" t="s">
        <v>200</v>
      </c>
      <c r="C24" t="s">
        <v>275</v>
      </c>
      <c r="D24" t="s">
        <v>295</v>
      </c>
      <c r="E24" t="s">
        <v>274</v>
      </c>
      <c r="F24" t="s">
        <v>281</v>
      </c>
      <c r="G24" t="s">
        <v>480</v>
      </c>
      <c r="H24" s="67">
        <v>452.8</v>
      </c>
      <c r="J24" t="s">
        <v>274</v>
      </c>
      <c r="K24" t="s">
        <v>281</v>
      </c>
      <c r="L24" s="67">
        <v>452.8</v>
      </c>
    </row>
    <row r="25" spans="1:18" x14ac:dyDescent="0.35">
      <c r="A25" t="s">
        <v>174</v>
      </c>
      <c r="B25" t="s">
        <v>201</v>
      </c>
      <c r="C25" t="s">
        <v>275</v>
      </c>
      <c r="D25" t="s">
        <v>296</v>
      </c>
      <c r="E25" t="s">
        <v>274</v>
      </c>
      <c r="F25" t="s">
        <v>281</v>
      </c>
      <c r="G25" t="s">
        <v>480</v>
      </c>
      <c r="H25" s="67">
        <v>346.26</v>
      </c>
      <c r="J25" t="s">
        <v>274</v>
      </c>
      <c r="K25" t="s">
        <v>281</v>
      </c>
      <c r="L25" s="67">
        <v>346.26</v>
      </c>
    </row>
    <row r="26" spans="1:18" x14ac:dyDescent="0.35">
      <c r="A26" t="s">
        <v>174</v>
      </c>
      <c r="B26" t="s">
        <v>202</v>
      </c>
      <c r="C26" t="s">
        <v>275</v>
      </c>
      <c r="D26" t="s">
        <v>297</v>
      </c>
      <c r="E26" t="s">
        <v>274</v>
      </c>
      <c r="F26" t="s">
        <v>281</v>
      </c>
      <c r="G26" t="s">
        <v>480</v>
      </c>
      <c r="H26" s="67">
        <v>612.61</v>
      </c>
      <c r="J26" t="s">
        <v>274</v>
      </c>
      <c r="K26" t="s">
        <v>281</v>
      </c>
      <c r="L26" s="67">
        <v>612.61</v>
      </c>
    </row>
    <row r="27" spans="1:18" x14ac:dyDescent="0.35">
      <c r="A27" t="s">
        <v>174</v>
      </c>
      <c r="B27" t="s">
        <v>203</v>
      </c>
      <c r="C27" t="s">
        <v>275</v>
      </c>
      <c r="D27" t="s">
        <v>298</v>
      </c>
      <c r="E27" t="s">
        <v>274</v>
      </c>
      <c r="F27" t="s">
        <v>281</v>
      </c>
      <c r="G27" t="s">
        <v>480</v>
      </c>
      <c r="H27" s="67">
        <v>665.88</v>
      </c>
      <c r="J27" t="s">
        <v>274</v>
      </c>
      <c r="K27" t="s">
        <v>281</v>
      </c>
      <c r="L27" s="67">
        <v>665.88</v>
      </c>
      <c r="Q27" s="59">
        <f>+Q23*0.21265</f>
        <v>1704.1771000000001</v>
      </c>
    </row>
    <row r="28" spans="1:18" x14ac:dyDescent="0.35">
      <c r="A28" t="s">
        <v>174</v>
      </c>
      <c r="B28" t="s">
        <v>204</v>
      </c>
      <c r="C28" t="s">
        <v>275</v>
      </c>
      <c r="D28" t="s">
        <v>299</v>
      </c>
      <c r="E28" t="s">
        <v>274</v>
      </c>
      <c r="F28" t="s">
        <v>281</v>
      </c>
      <c r="G28" t="s">
        <v>480</v>
      </c>
      <c r="H28" s="67">
        <v>559.34</v>
      </c>
      <c r="J28" t="s">
        <v>274</v>
      </c>
      <c r="K28" t="s">
        <v>281</v>
      </c>
      <c r="L28" s="67">
        <v>559.34</v>
      </c>
    </row>
    <row r="29" spans="1:18" x14ac:dyDescent="0.35">
      <c r="A29" t="s">
        <v>174</v>
      </c>
      <c r="B29" t="s">
        <v>205</v>
      </c>
      <c r="C29" t="s">
        <v>275</v>
      </c>
      <c r="D29" t="s">
        <v>300</v>
      </c>
      <c r="E29" t="s">
        <v>274</v>
      </c>
      <c r="F29" t="s">
        <v>281</v>
      </c>
      <c r="G29" t="s">
        <v>480</v>
      </c>
      <c r="H29" s="67">
        <v>319.62</v>
      </c>
      <c r="J29" t="s">
        <v>274</v>
      </c>
      <c r="K29" t="s">
        <v>281</v>
      </c>
      <c r="L29" s="67">
        <v>319.62</v>
      </c>
    </row>
    <row r="30" spans="1:18" x14ac:dyDescent="0.35">
      <c r="A30" t="s">
        <v>174</v>
      </c>
      <c r="B30" t="s">
        <v>206</v>
      </c>
      <c r="C30" t="s">
        <v>275</v>
      </c>
      <c r="D30" t="s">
        <v>301</v>
      </c>
      <c r="E30" t="s">
        <v>274</v>
      </c>
      <c r="F30" t="s">
        <v>281</v>
      </c>
      <c r="G30" t="s">
        <v>480</v>
      </c>
      <c r="H30" s="67">
        <v>532.70000000000005</v>
      </c>
      <c r="J30" t="s">
        <v>274</v>
      </c>
      <c r="K30" t="s">
        <v>281</v>
      </c>
      <c r="L30" s="67">
        <v>532.70000000000005</v>
      </c>
    </row>
    <row r="31" spans="1:18" x14ac:dyDescent="0.35">
      <c r="A31" t="s">
        <v>174</v>
      </c>
      <c r="B31" t="s">
        <v>207</v>
      </c>
      <c r="C31" t="s">
        <v>275</v>
      </c>
      <c r="D31" t="s">
        <v>302</v>
      </c>
      <c r="E31" t="s">
        <v>274</v>
      </c>
      <c r="F31" t="s">
        <v>281</v>
      </c>
      <c r="G31" t="s">
        <v>480</v>
      </c>
      <c r="H31" s="67">
        <v>665.88</v>
      </c>
      <c r="J31" t="s">
        <v>274</v>
      </c>
      <c r="K31" t="s">
        <v>281</v>
      </c>
      <c r="L31" s="67">
        <v>665.88</v>
      </c>
    </row>
    <row r="32" spans="1:18" x14ac:dyDescent="0.35">
      <c r="A32" t="s">
        <v>174</v>
      </c>
      <c r="B32" t="s">
        <v>208</v>
      </c>
      <c r="C32" t="s">
        <v>275</v>
      </c>
      <c r="D32" t="s">
        <v>303</v>
      </c>
      <c r="E32" t="s">
        <v>274</v>
      </c>
      <c r="F32" t="s">
        <v>281</v>
      </c>
      <c r="G32" t="s">
        <v>480</v>
      </c>
      <c r="H32" s="67">
        <v>426.16</v>
      </c>
      <c r="J32" t="s">
        <v>274</v>
      </c>
      <c r="K32" t="s">
        <v>281</v>
      </c>
      <c r="L32" s="67">
        <v>426.16</v>
      </c>
    </row>
    <row r="33" spans="1:12" x14ac:dyDescent="0.35">
      <c r="A33" t="s">
        <v>174</v>
      </c>
      <c r="B33" t="s">
        <v>208</v>
      </c>
      <c r="C33" t="s">
        <v>275</v>
      </c>
      <c r="D33" t="s">
        <v>304</v>
      </c>
      <c r="E33" t="s">
        <v>274</v>
      </c>
      <c r="F33" t="s">
        <v>281</v>
      </c>
      <c r="G33" t="s">
        <v>480</v>
      </c>
      <c r="H33" s="67">
        <v>506.07</v>
      </c>
      <c r="J33" t="s">
        <v>274</v>
      </c>
      <c r="K33" t="s">
        <v>281</v>
      </c>
      <c r="L33" s="67">
        <v>506.07</v>
      </c>
    </row>
    <row r="34" spans="1:12" x14ac:dyDescent="0.35">
      <c r="A34" t="s">
        <v>174</v>
      </c>
      <c r="B34" t="s">
        <v>208</v>
      </c>
      <c r="C34" t="s">
        <v>275</v>
      </c>
      <c r="D34" t="s">
        <v>305</v>
      </c>
      <c r="E34" t="s">
        <v>274</v>
      </c>
      <c r="F34" t="s">
        <v>281</v>
      </c>
      <c r="G34" t="s">
        <v>480</v>
      </c>
      <c r="H34" s="67">
        <v>479.43</v>
      </c>
      <c r="J34" t="s">
        <v>274</v>
      </c>
      <c r="K34" t="s">
        <v>281</v>
      </c>
      <c r="L34" s="67">
        <v>479.43</v>
      </c>
    </row>
    <row r="35" spans="1:12" x14ac:dyDescent="0.35">
      <c r="A35" t="s">
        <v>174</v>
      </c>
      <c r="B35" t="s">
        <v>208</v>
      </c>
      <c r="C35" t="s">
        <v>275</v>
      </c>
      <c r="D35" t="s">
        <v>306</v>
      </c>
      <c r="E35" t="s">
        <v>274</v>
      </c>
      <c r="F35" t="s">
        <v>281</v>
      </c>
      <c r="G35" t="s">
        <v>480</v>
      </c>
      <c r="H35" s="67">
        <v>372.89</v>
      </c>
      <c r="J35" t="s">
        <v>274</v>
      </c>
      <c r="K35" t="s">
        <v>281</v>
      </c>
      <c r="L35" s="67">
        <v>372.89</v>
      </c>
    </row>
    <row r="36" spans="1:12" x14ac:dyDescent="0.35">
      <c r="A36" t="s">
        <v>174</v>
      </c>
      <c r="B36" t="s">
        <v>209</v>
      </c>
      <c r="C36" t="s">
        <v>275</v>
      </c>
      <c r="D36" t="s">
        <v>307</v>
      </c>
      <c r="E36" t="s">
        <v>274</v>
      </c>
      <c r="F36" t="s">
        <v>281</v>
      </c>
      <c r="G36" t="s">
        <v>480</v>
      </c>
      <c r="H36" s="67">
        <v>346.26</v>
      </c>
      <c r="J36" t="s">
        <v>274</v>
      </c>
      <c r="K36" t="s">
        <v>281</v>
      </c>
      <c r="L36" s="67">
        <v>346.26</v>
      </c>
    </row>
    <row r="37" spans="1:12" x14ac:dyDescent="0.35">
      <c r="A37" t="s">
        <v>174</v>
      </c>
      <c r="B37" t="s">
        <v>210</v>
      </c>
      <c r="C37" t="s">
        <v>275</v>
      </c>
      <c r="D37" t="s">
        <v>308</v>
      </c>
      <c r="E37" t="s">
        <v>274</v>
      </c>
      <c r="F37" t="s">
        <v>281</v>
      </c>
      <c r="G37" t="s">
        <v>480</v>
      </c>
      <c r="H37" s="67">
        <v>559.34</v>
      </c>
      <c r="J37" t="s">
        <v>274</v>
      </c>
      <c r="K37" t="s">
        <v>281</v>
      </c>
      <c r="L37" s="67">
        <v>559.34</v>
      </c>
    </row>
    <row r="38" spans="1:12" x14ac:dyDescent="0.35">
      <c r="A38" t="s">
        <v>174</v>
      </c>
      <c r="B38" t="s">
        <v>210</v>
      </c>
      <c r="C38" t="s">
        <v>275</v>
      </c>
      <c r="D38" t="s">
        <v>309</v>
      </c>
      <c r="E38" t="s">
        <v>274</v>
      </c>
      <c r="F38" t="s">
        <v>281</v>
      </c>
      <c r="G38" t="s">
        <v>480</v>
      </c>
      <c r="H38" s="67">
        <v>479.43</v>
      </c>
      <c r="J38" t="s">
        <v>274</v>
      </c>
      <c r="K38" t="s">
        <v>281</v>
      </c>
      <c r="L38" s="67">
        <v>479.43</v>
      </c>
    </row>
    <row r="39" spans="1:12" x14ac:dyDescent="0.35">
      <c r="A39" t="s">
        <v>174</v>
      </c>
      <c r="B39" t="s">
        <v>211</v>
      </c>
      <c r="C39" t="s">
        <v>275</v>
      </c>
      <c r="D39" t="s">
        <v>310</v>
      </c>
      <c r="E39" t="s">
        <v>274</v>
      </c>
      <c r="F39" t="s">
        <v>281</v>
      </c>
      <c r="G39" t="s">
        <v>480</v>
      </c>
      <c r="H39" s="67">
        <v>639.24</v>
      </c>
      <c r="J39" t="s">
        <v>274</v>
      </c>
      <c r="K39" t="s">
        <v>281</v>
      </c>
      <c r="L39" s="67">
        <v>639.24</v>
      </c>
    </row>
    <row r="40" spans="1:12" x14ac:dyDescent="0.35">
      <c r="A40" t="s">
        <v>174</v>
      </c>
      <c r="B40" t="s">
        <v>211</v>
      </c>
      <c r="C40" t="s">
        <v>275</v>
      </c>
      <c r="D40" t="s">
        <v>311</v>
      </c>
      <c r="E40" t="s">
        <v>274</v>
      </c>
      <c r="F40" t="s">
        <v>281</v>
      </c>
      <c r="G40" t="s">
        <v>480</v>
      </c>
      <c r="H40" s="67">
        <v>159.81</v>
      </c>
      <c r="J40" t="s">
        <v>274</v>
      </c>
      <c r="K40" t="s">
        <v>281</v>
      </c>
      <c r="L40" s="67">
        <v>159.81</v>
      </c>
    </row>
    <row r="41" spans="1:12" x14ac:dyDescent="0.35">
      <c r="A41" t="s">
        <v>174</v>
      </c>
      <c r="B41" t="s">
        <v>212</v>
      </c>
      <c r="C41" t="s">
        <v>275</v>
      </c>
      <c r="D41" t="s">
        <v>312</v>
      </c>
      <c r="E41" t="s">
        <v>274</v>
      </c>
      <c r="F41" t="s">
        <v>281</v>
      </c>
      <c r="G41" t="s">
        <v>480</v>
      </c>
      <c r="H41" s="67">
        <v>292.99</v>
      </c>
      <c r="J41" t="s">
        <v>274</v>
      </c>
      <c r="K41" t="s">
        <v>281</v>
      </c>
      <c r="L41" s="67">
        <v>292.99</v>
      </c>
    </row>
    <row r="42" spans="1:12" x14ac:dyDescent="0.35">
      <c r="A42" t="s">
        <v>174</v>
      </c>
      <c r="B42" t="s">
        <v>212</v>
      </c>
      <c r="C42" t="s">
        <v>275</v>
      </c>
      <c r="D42" t="s">
        <v>313</v>
      </c>
      <c r="E42" t="s">
        <v>274</v>
      </c>
      <c r="F42" t="s">
        <v>281</v>
      </c>
      <c r="G42" t="s">
        <v>480</v>
      </c>
      <c r="H42" s="67">
        <v>399.53</v>
      </c>
      <c r="J42" t="s">
        <v>274</v>
      </c>
      <c r="K42" t="s">
        <v>281</v>
      </c>
      <c r="L42" s="67">
        <v>399.53</v>
      </c>
    </row>
    <row r="43" spans="1:12" x14ac:dyDescent="0.35">
      <c r="A43" t="s">
        <v>174</v>
      </c>
      <c r="B43" t="s">
        <v>213</v>
      </c>
      <c r="C43" t="s">
        <v>275</v>
      </c>
      <c r="D43" t="s">
        <v>314</v>
      </c>
      <c r="E43" t="s">
        <v>274</v>
      </c>
      <c r="F43" t="s">
        <v>281</v>
      </c>
      <c r="G43" t="s">
        <v>480</v>
      </c>
      <c r="H43" s="67">
        <v>266.35000000000002</v>
      </c>
      <c r="J43" t="s">
        <v>274</v>
      </c>
      <c r="K43" t="s">
        <v>281</v>
      </c>
      <c r="L43" s="67">
        <v>266.35000000000002</v>
      </c>
    </row>
    <row r="44" spans="1:12" x14ac:dyDescent="0.35">
      <c r="A44" t="s">
        <v>174</v>
      </c>
      <c r="B44" t="s">
        <v>213</v>
      </c>
      <c r="C44" t="s">
        <v>275</v>
      </c>
      <c r="D44" t="s">
        <v>315</v>
      </c>
      <c r="E44" t="s">
        <v>274</v>
      </c>
      <c r="F44" t="s">
        <v>281</v>
      </c>
      <c r="G44" t="s">
        <v>480</v>
      </c>
      <c r="H44" s="67">
        <v>213.08</v>
      </c>
      <c r="J44" t="s">
        <v>274</v>
      </c>
      <c r="K44" t="s">
        <v>281</v>
      </c>
      <c r="L44" s="67">
        <v>213.08</v>
      </c>
    </row>
    <row r="45" spans="1:12" x14ac:dyDescent="0.35">
      <c r="A45" t="s">
        <v>174</v>
      </c>
      <c r="B45" t="s">
        <v>214</v>
      </c>
      <c r="C45" t="s">
        <v>275</v>
      </c>
      <c r="D45" t="s">
        <v>316</v>
      </c>
      <c r="E45" t="s">
        <v>274</v>
      </c>
      <c r="F45" t="s">
        <v>281</v>
      </c>
      <c r="G45" t="s">
        <v>480</v>
      </c>
      <c r="H45" s="67">
        <v>452.8</v>
      </c>
      <c r="J45" t="s">
        <v>274</v>
      </c>
      <c r="K45" t="s">
        <v>281</v>
      </c>
      <c r="L45" s="67">
        <v>452.8</v>
      </c>
    </row>
    <row r="46" spans="1:12" x14ac:dyDescent="0.35">
      <c r="A46" t="s">
        <v>174</v>
      </c>
      <c r="B46" t="s">
        <v>215</v>
      </c>
      <c r="C46" t="s">
        <v>275</v>
      </c>
      <c r="D46" t="s">
        <v>317</v>
      </c>
      <c r="E46" t="s">
        <v>274</v>
      </c>
      <c r="F46" t="s">
        <v>281</v>
      </c>
      <c r="G46" t="s">
        <v>480</v>
      </c>
      <c r="H46" s="67">
        <v>479.43</v>
      </c>
      <c r="J46" t="s">
        <v>274</v>
      </c>
      <c r="K46" t="s">
        <v>281</v>
      </c>
      <c r="L46" s="67">
        <v>479.43</v>
      </c>
    </row>
    <row r="47" spans="1:12" x14ac:dyDescent="0.35">
      <c r="A47" t="s">
        <v>174</v>
      </c>
      <c r="B47" t="s">
        <v>216</v>
      </c>
      <c r="C47" t="s">
        <v>275</v>
      </c>
      <c r="D47" t="s">
        <v>318</v>
      </c>
      <c r="E47" t="s">
        <v>274</v>
      </c>
      <c r="F47" t="s">
        <v>281</v>
      </c>
      <c r="G47" t="s">
        <v>480</v>
      </c>
      <c r="H47" s="67">
        <v>346.26</v>
      </c>
      <c r="J47" t="s">
        <v>274</v>
      </c>
      <c r="K47" t="s">
        <v>281</v>
      </c>
      <c r="L47" s="67">
        <v>346.26</v>
      </c>
    </row>
    <row r="48" spans="1:12" x14ac:dyDescent="0.35">
      <c r="A48" s="68" t="s">
        <v>499</v>
      </c>
      <c r="B48" s="68"/>
      <c r="C48" s="68"/>
      <c r="D48" s="68"/>
      <c r="E48" s="68"/>
      <c r="F48" s="68"/>
      <c r="G48" s="68"/>
      <c r="H48" s="69">
        <v>15768.01</v>
      </c>
      <c r="J48" s="68"/>
      <c r="K48" s="68"/>
      <c r="L48" s="69"/>
    </row>
    <row r="49" spans="1:12" x14ac:dyDescent="0.35">
      <c r="A49" t="s">
        <v>175</v>
      </c>
      <c r="B49" t="s">
        <v>217</v>
      </c>
      <c r="C49" t="s">
        <v>275</v>
      </c>
      <c r="D49" t="s">
        <v>322</v>
      </c>
      <c r="E49" t="s">
        <v>274</v>
      </c>
      <c r="F49" t="s">
        <v>321</v>
      </c>
      <c r="G49" t="s">
        <v>480</v>
      </c>
      <c r="H49" s="67">
        <v>199.32</v>
      </c>
      <c r="J49" t="s">
        <v>274</v>
      </c>
      <c r="K49" t="s">
        <v>321</v>
      </c>
      <c r="L49" s="67">
        <v>199.32</v>
      </c>
    </row>
    <row r="50" spans="1:12" x14ac:dyDescent="0.35">
      <c r="A50" t="s">
        <v>175</v>
      </c>
      <c r="B50" t="s">
        <v>217</v>
      </c>
      <c r="C50" t="s">
        <v>275</v>
      </c>
      <c r="D50" t="s">
        <v>323</v>
      </c>
      <c r="E50" t="s">
        <v>274</v>
      </c>
      <c r="F50" t="s">
        <v>321</v>
      </c>
      <c r="G50" t="s">
        <v>480</v>
      </c>
      <c r="H50" s="67">
        <v>443.94</v>
      </c>
      <c r="J50" t="s">
        <v>274</v>
      </c>
      <c r="K50" t="s">
        <v>321</v>
      </c>
      <c r="L50" s="67">
        <v>443.94</v>
      </c>
    </row>
    <row r="51" spans="1:12" x14ac:dyDescent="0.35">
      <c r="A51" t="s">
        <v>175</v>
      </c>
      <c r="B51" t="s">
        <v>189</v>
      </c>
      <c r="C51" t="s">
        <v>275</v>
      </c>
      <c r="D51" t="s">
        <v>324</v>
      </c>
      <c r="E51" t="s">
        <v>274</v>
      </c>
      <c r="F51" t="s">
        <v>320</v>
      </c>
      <c r="G51" t="s">
        <v>480</v>
      </c>
      <c r="H51" s="67">
        <v>350.17</v>
      </c>
      <c r="J51" t="s">
        <v>274</v>
      </c>
      <c r="K51" t="s">
        <v>320</v>
      </c>
      <c r="L51" s="67">
        <v>350.17</v>
      </c>
    </row>
    <row r="52" spans="1:12" x14ac:dyDescent="0.35">
      <c r="A52" t="s">
        <v>175</v>
      </c>
      <c r="B52" t="s">
        <v>189</v>
      </c>
      <c r="C52" t="s">
        <v>275</v>
      </c>
      <c r="D52" t="s">
        <v>325</v>
      </c>
      <c r="E52" t="s">
        <v>274</v>
      </c>
      <c r="F52" t="s">
        <v>319</v>
      </c>
      <c r="G52" t="s">
        <v>481</v>
      </c>
      <c r="H52" s="67">
        <v>552.24</v>
      </c>
      <c r="J52" t="s">
        <v>274</v>
      </c>
      <c r="K52" t="s">
        <v>319</v>
      </c>
      <c r="L52" s="67">
        <v>552.24</v>
      </c>
    </row>
    <row r="53" spans="1:12" x14ac:dyDescent="0.35">
      <c r="A53" t="s">
        <v>175</v>
      </c>
      <c r="B53" t="s">
        <v>189</v>
      </c>
      <c r="C53" t="s">
        <v>275</v>
      </c>
      <c r="D53" t="s">
        <v>326</v>
      </c>
      <c r="E53" t="s">
        <v>274</v>
      </c>
      <c r="F53" t="s">
        <v>320</v>
      </c>
      <c r="G53" t="s">
        <v>480</v>
      </c>
      <c r="H53" s="67">
        <v>460.75</v>
      </c>
      <c r="J53" t="s">
        <v>274</v>
      </c>
      <c r="K53" t="s">
        <v>320</v>
      </c>
      <c r="L53" s="67">
        <v>460.75</v>
      </c>
    </row>
    <row r="54" spans="1:12" x14ac:dyDescent="0.35">
      <c r="A54" t="s">
        <v>175</v>
      </c>
      <c r="B54" t="s">
        <v>189</v>
      </c>
      <c r="C54" t="s">
        <v>275</v>
      </c>
      <c r="D54" t="s">
        <v>327</v>
      </c>
      <c r="E54" t="s">
        <v>274</v>
      </c>
      <c r="F54" t="s">
        <v>319</v>
      </c>
      <c r="G54" t="s">
        <v>481</v>
      </c>
      <c r="H54" s="67">
        <v>563.75</v>
      </c>
      <c r="J54" t="s">
        <v>274</v>
      </c>
      <c r="K54" t="s">
        <v>319</v>
      </c>
      <c r="L54" s="67">
        <v>563.75</v>
      </c>
    </row>
    <row r="55" spans="1:12" x14ac:dyDescent="0.35">
      <c r="A55" t="s">
        <v>175</v>
      </c>
      <c r="B55" t="s">
        <v>218</v>
      </c>
      <c r="C55" t="s">
        <v>275</v>
      </c>
      <c r="D55" t="s">
        <v>328</v>
      </c>
      <c r="E55" t="s">
        <v>274</v>
      </c>
      <c r="F55" t="s">
        <v>321</v>
      </c>
      <c r="G55" t="s">
        <v>480</v>
      </c>
      <c r="H55" s="67">
        <v>996.6</v>
      </c>
      <c r="J55" t="s">
        <v>274</v>
      </c>
      <c r="K55" t="s">
        <v>321</v>
      </c>
      <c r="L55" s="67">
        <v>996.6</v>
      </c>
    </row>
    <row r="56" spans="1:12" x14ac:dyDescent="0.35">
      <c r="A56" t="s">
        <v>175</v>
      </c>
      <c r="B56" t="s">
        <v>219</v>
      </c>
      <c r="C56" t="s">
        <v>275</v>
      </c>
      <c r="D56" t="s">
        <v>329</v>
      </c>
      <c r="E56" t="s">
        <v>274</v>
      </c>
      <c r="F56" t="s">
        <v>321</v>
      </c>
      <c r="G56" t="s">
        <v>480</v>
      </c>
      <c r="H56" s="67">
        <v>362.4</v>
      </c>
      <c r="J56" t="s">
        <v>274</v>
      </c>
      <c r="K56" t="s">
        <v>321</v>
      </c>
      <c r="L56" s="67">
        <v>362.4</v>
      </c>
    </row>
    <row r="57" spans="1:12" x14ac:dyDescent="0.35">
      <c r="A57" t="s">
        <v>175</v>
      </c>
      <c r="B57" t="s">
        <v>190</v>
      </c>
      <c r="C57" t="s">
        <v>275</v>
      </c>
      <c r="D57" t="s">
        <v>330</v>
      </c>
      <c r="E57" t="s">
        <v>274</v>
      </c>
      <c r="F57" t="s">
        <v>320</v>
      </c>
      <c r="G57" t="s">
        <v>480</v>
      </c>
      <c r="H57" s="67">
        <v>460.75</v>
      </c>
      <c r="J57" t="s">
        <v>274</v>
      </c>
      <c r="K57" t="s">
        <v>320</v>
      </c>
      <c r="L57" s="67">
        <v>460.75</v>
      </c>
    </row>
    <row r="58" spans="1:12" x14ac:dyDescent="0.35">
      <c r="A58" t="s">
        <v>175</v>
      </c>
      <c r="B58" t="s">
        <v>220</v>
      </c>
      <c r="C58" t="s">
        <v>275</v>
      </c>
      <c r="D58" t="s">
        <v>331</v>
      </c>
      <c r="E58" t="s">
        <v>274</v>
      </c>
      <c r="F58" t="s">
        <v>319</v>
      </c>
      <c r="G58" t="s">
        <v>481</v>
      </c>
      <c r="H58" s="67">
        <v>552.24</v>
      </c>
      <c r="J58" t="s">
        <v>274</v>
      </c>
      <c r="K58" t="s">
        <v>319</v>
      </c>
      <c r="L58" s="67">
        <v>552.24</v>
      </c>
    </row>
    <row r="59" spans="1:12" x14ac:dyDescent="0.35">
      <c r="A59" t="s">
        <v>175</v>
      </c>
      <c r="B59" t="s">
        <v>191</v>
      </c>
      <c r="C59" t="s">
        <v>275</v>
      </c>
      <c r="D59" t="s">
        <v>332</v>
      </c>
      <c r="E59" t="s">
        <v>274</v>
      </c>
      <c r="F59" t="s">
        <v>320</v>
      </c>
      <c r="G59" t="s">
        <v>480</v>
      </c>
      <c r="H59" s="67">
        <v>276.45</v>
      </c>
      <c r="J59" t="s">
        <v>274</v>
      </c>
      <c r="K59" t="s">
        <v>320</v>
      </c>
      <c r="L59" s="67">
        <v>276.45</v>
      </c>
    </row>
    <row r="60" spans="1:12" x14ac:dyDescent="0.35">
      <c r="A60" t="s">
        <v>175</v>
      </c>
      <c r="B60" t="s">
        <v>191</v>
      </c>
      <c r="C60" t="s">
        <v>275</v>
      </c>
      <c r="D60" t="s">
        <v>333</v>
      </c>
      <c r="E60" t="s">
        <v>274</v>
      </c>
      <c r="F60" t="s">
        <v>319</v>
      </c>
      <c r="G60" t="s">
        <v>481</v>
      </c>
      <c r="H60" s="67">
        <v>552.24</v>
      </c>
      <c r="J60" t="s">
        <v>274</v>
      </c>
      <c r="K60" t="s">
        <v>319</v>
      </c>
      <c r="L60" s="67">
        <v>552.24</v>
      </c>
    </row>
    <row r="61" spans="1:12" x14ac:dyDescent="0.35">
      <c r="A61" t="s">
        <v>175</v>
      </c>
      <c r="B61" t="s">
        <v>191</v>
      </c>
      <c r="C61" t="s">
        <v>275</v>
      </c>
      <c r="D61" t="s">
        <v>334</v>
      </c>
      <c r="E61" t="s">
        <v>274</v>
      </c>
      <c r="F61" t="s">
        <v>320</v>
      </c>
      <c r="G61" t="s">
        <v>480</v>
      </c>
      <c r="H61" s="67">
        <v>110.58</v>
      </c>
      <c r="J61" t="s">
        <v>274</v>
      </c>
      <c r="K61" t="s">
        <v>320</v>
      </c>
      <c r="L61" s="67">
        <v>110.58</v>
      </c>
    </row>
    <row r="62" spans="1:12" x14ac:dyDescent="0.35">
      <c r="A62" t="s">
        <v>175</v>
      </c>
      <c r="B62" t="s">
        <v>191</v>
      </c>
      <c r="C62" t="s">
        <v>275</v>
      </c>
      <c r="D62" t="s">
        <v>335</v>
      </c>
      <c r="E62" t="s">
        <v>274</v>
      </c>
      <c r="F62" t="s">
        <v>319</v>
      </c>
      <c r="G62" t="s">
        <v>481</v>
      </c>
      <c r="H62" s="67">
        <v>494.72</v>
      </c>
      <c r="J62" t="s">
        <v>274</v>
      </c>
      <c r="K62" t="s">
        <v>319</v>
      </c>
      <c r="L62" s="67">
        <v>494.72</v>
      </c>
    </row>
    <row r="63" spans="1:12" x14ac:dyDescent="0.35">
      <c r="A63" t="s">
        <v>175</v>
      </c>
      <c r="B63" t="s">
        <v>195</v>
      </c>
      <c r="C63" t="s">
        <v>275</v>
      </c>
      <c r="D63" t="s">
        <v>336</v>
      </c>
      <c r="E63" t="s">
        <v>274</v>
      </c>
      <c r="F63" t="s">
        <v>319</v>
      </c>
      <c r="G63" t="s">
        <v>481</v>
      </c>
      <c r="H63" s="67">
        <v>552.24</v>
      </c>
      <c r="J63" t="s">
        <v>274</v>
      </c>
      <c r="K63" t="s">
        <v>319</v>
      </c>
      <c r="L63" s="67">
        <v>552.24</v>
      </c>
    </row>
    <row r="64" spans="1:12" x14ac:dyDescent="0.35">
      <c r="A64" t="s">
        <v>175</v>
      </c>
      <c r="B64" t="s">
        <v>221</v>
      </c>
      <c r="C64" t="s">
        <v>275</v>
      </c>
      <c r="D64" t="s">
        <v>338</v>
      </c>
      <c r="E64" t="s">
        <v>274</v>
      </c>
      <c r="F64" t="s">
        <v>321</v>
      </c>
      <c r="G64" t="s">
        <v>480</v>
      </c>
      <c r="H64" s="67">
        <v>543.6</v>
      </c>
      <c r="J64" t="s">
        <v>274</v>
      </c>
      <c r="K64" t="s">
        <v>321</v>
      </c>
      <c r="L64" s="67">
        <v>543.6</v>
      </c>
    </row>
    <row r="65" spans="1:12" x14ac:dyDescent="0.35">
      <c r="A65" t="s">
        <v>175</v>
      </c>
      <c r="B65" t="s">
        <v>222</v>
      </c>
      <c r="C65" t="s">
        <v>275</v>
      </c>
      <c r="D65" t="s">
        <v>339</v>
      </c>
      <c r="E65" t="s">
        <v>274</v>
      </c>
      <c r="F65" t="s">
        <v>321</v>
      </c>
      <c r="G65" t="s">
        <v>480</v>
      </c>
      <c r="H65" s="67">
        <v>616.07999999999993</v>
      </c>
      <c r="J65" t="s">
        <v>274</v>
      </c>
      <c r="K65" t="s">
        <v>321</v>
      </c>
      <c r="L65" s="67">
        <v>616.07999999999993</v>
      </c>
    </row>
    <row r="66" spans="1:12" x14ac:dyDescent="0.35">
      <c r="A66" t="s">
        <v>175</v>
      </c>
      <c r="B66" t="s">
        <v>222</v>
      </c>
      <c r="C66" t="s">
        <v>275</v>
      </c>
      <c r="D66" t="s">
        <v>340</v>
      </c>
      <c r="E66" t="s">
        <v>274</v>
      </c>
      <c r="F66" t="s">
        <v>321</v>
      </c>
      <c r="G66" t="s">
        <v>480</v>
      </c>
      <c r="H66" s="67">
        <v>543.6</v>
      </c>
      <c r="J66" t="s">
        <v>274</v>
      </c>
      <c r="K66" t="s">
        <v>321</v>
      </c>
      <c r="L66" s="67">
        <v>543.6</v>
      </c>
    </row>
    <row r="67" spans="1:12" x14ac:dyDescent="0.35">
      <c r="A67" t="s">
        <v>175</v>
      </c>
      <c r="B67" t="s">
        <v>222</v>
      </c>
      <c r="C67" t="s">
        <v>275</v>
      </c>
      <c r="D67" t="s">
        <v>341</v>
      </c>
      <c r="E67" t="s">
        <v>274</v>
      </c>
      <c r="F67" t="s">
        <v>321</v>
      </c>
      <c r="G67" t="s">
        <v>480</v>
      </c>
      <c r="H67" s="67">
        <v>543.6</v>
      </c>
      <c r="J67" t="s">
        <v>274</v>
      </c>
      <c r="K67" t="s">
        <v>321</v>
      </c>
      <c r="L67" s="67">
        <v>543.6</v>
      </c>
    </row>
    <row r="68" spans="1:12" x14ac:dyDescent="0.35">
      <c r="A68" t="s">
        <v>175</v>
      </c>
      <c r="B68" t="s">
        <v>222</v>
      </c>
      <c r="C68" t="s">
        <v>275</v>
      </c>
      <c r="D68" t="s">
        <v>342</v>
      </c>
      <c r="E68" t="s">
        <v>274</v>
      </c>
      <c r="F68" t="s">
        <v>321</v>
      </c>
      <c r="G68" t="s">
        <v>480</v>
      </c>
      <c r="H68" s="67">
        <v>543.6</v>
      </c>
      <c r="J68" t="s">
        <v>274</v>
      </c>
      <c r="K68" t="s">
        <v>321</v>
      </c>
      <c r="L68" s="67">
        <v>543.6</v>
      </c>
    </row>
    <row r="69" spans="1:12" x14ac:dyDescent="0.35">
      <c r="A69" t="s">
        <v>175</v>
      </c>
      <c r="B69" t="s">
        <v>223</v>
      </c>
      <c r="C69" t="s">
        <v>275</v>
      </c>
      <c r="D69" t="s">
        <v>343</v>
      </c>
      <c r="E69" t="s">
        <v>274</v>
      </c>
      <c r="F69" t="s">
        <v>319</v>
      </c>
      <c r="G69" t="s">
        <v>481</v>
      </c>
      <c r="H69" s="67">
        <v>540.74</v>
      </c>
      <c r="J69" t="s">
        <v>274</v>
      </c>
      <c r="K69" t="s">
        <v>319</v>
      </c>
      <c r="L69" s="67">
        <v>540.74</v>
      </c>
    </row>
    <row r="70" spans="1:12" x14ac:dyDescent="0.35">
      <c r="A70" t="s">
        <v>175</v>
      </c>
      <c r="B70" t="s">
        <v>223</v>
      </c>
      <c r="C70" t="s">
        <v>275</v>
      </c>
      <c r="D70" t="s">
        <v>344</v>
      </c>
      <c r="E70" t="s">
        <v>274</v>
      </c>
      <c r="F70" t="s">
        <v>319</v>
      </c>
      <c r="G70" t="s">
        <v>481</v>
      </c>
      <c r="H70" s="67">
        <v>276.12</v>
      </c>
      <c r="J70" t="s">
        <v>274</v>
      </c>
      <c r="K70" t="s">
        <v>319</v>
      </c>
      <c r="L70" s="67">
        <v>276.12</v>
      </c>
    </row>
    <row r="71" spans="1:12" x14ac:dyDescent="0.35">
      <c r="A71" t="s">
        <v>175</v>
      </c>
      <c r="B71" t="s">
        <v>224</v>
      </c>
      <c r="C71" t="s">
        <v>275</v>
      </c>
      <c r="D71" t="s">
        <v>345</v>
      </c>
      <c r="E71" t="s">
        <v>274</v>
      </c>
      <c r="F71" t="s">
        <v>321</v>
      </c>
      <c r="G71" t="s">
        <v>480</v>
      </c>
      <c r="H71" s="67">
        <v>335.22</v>
      </c>
      <c r="J71" t="s">
        <v>274</v>
      </c>
      <c r="K71" t="s">
        <v>321</v>
      </c>
      <c r="L71" s="67">
        <v>335.22</v>
      </c>
    </row>
    <row r="72" spans="1:12" x14ac:dyDescent="0.35">
      <c r="A72" t="s">
        <v>175</v>
      </c>
      <c r="B72" t="s">
        <v>224</v>
      </c>
      <c r="C72" t="s">
        <v>275</v>
      </c>
      <c r="D72" t="s">
        <v>346</v>
      </c>
      <c r="E72" t="s">
        <v>274</v>
      </c>
      <c r="F72" t="s">
        <v>321</v>
      </c>
      <c r="G72" t="s">
        <v>480</v>
      </c>
      <c r="H72" s="67">
        <v>507.36</v>
      </c>
      <c r="J72" t="s">
        <v>274</v>
      </c>
      <c r="K72" t="s">
        <v>321</v>
      </c>
      <c r="L72" s="67">
        <v>507.36</v>
      </c>
    </row>
    <row r="73" spans="1:12" x14ac:dyDescent="0.35">
      <c r="A73" t="s">
        <v>175</v>
      </c>
      <c r="B73" t="s">
        <v>224</v>
      </c>
      <c r="C73" t="s">
        <v>275</v>
      </c>
      <c r="D73" t="s">
        <v>347</v>
      </c>
      <c r="E73" t="s">
        <v>274</v>
      </c>
      <c r="F73" t="s">
        <v>321</v>
      </c>
      <c r="G73" t="s">
        <v>480</v>
      </c>
      <c r="H73" s="67">
        <v>398.64</v>
      </c>
      <c r="J73" t="s">
        <v>274</v>
      </c>
      <c r="K73" t="s">
        <v>321</v>
      </c>
      <c r="L73" s="67">
        <v>398.64</v>
      </c>
    </row>
    <row r="74" spans="1:12" x14ac:dyDescent="0.35">
      <c r="A74" t="s">
        <v>175</v>
      </c>
      <c r="B74" t="s">
        <v>225</v>
      </c>
      <c r="C74" t="s">
        <v>275</v>
      </c>
      <c r="D74" t="s">
        <v>348</v>
      </c>
      <c r="E74" t="s">
        <v>274</v>
      </c>
      <c r="F74" t="s">
        <v>321</v>
      </c>
      <c r="G74" t="s">
        <v>480</v>
      </c>
      <c r="H74" s="67">
        <v>362.4</v>
      </c>
      <c r="J74" t="s">
        <v>274</v>
      </c>
      <c r="K74" t="s">
        <v>321</v>
      </c>
      <c r="L74" s="67">
        <v>362.4</v>
      </c>
    </row>
    <row r="75" spans="1:12" x14ac:dyDescent="0.35">
      <c r="A75" t="s">
        <v>175</v>
      </c>
      <c r="B75" t="s">
        <v>226</v>
      </c>
      <c r="C75" t="s">
        <v>275</v>
      </c>
      <c r="D75" t="s">
        <v>349</v>
      </c>
      <c r="E75" t="s">
        <v>274</v>
      </c>
      <c r="F75" t="s">
        <v>321</v>
      </c>
      <c r="G75" t="s">
        <v>480</v>
      </c>
      <c r="H75" s="67">
        <v>398.64</v>
      </c>
      <c r="J75" t="s">
        <v>274</v>
      </c>
      <c r="K75" t="s">
        <v>321</v>
      </c>
      <c r="L75" s="67">
        <v>398.64</v>
      </c>
    </row>
    <row r="76" spans="1:12" x14ac:dyDescent="0.35">
      <c r="A76" t="s">
        <v>175</v>
      </c>
      <c r="B76" t="s">
        <v>226</v>
      </c>
      <c r="C76" t="s">
        <v>275</v>
      </c>
      <c r="D76" t="s">
        <v>350</v>
      </c>
      <c r="E76" t="s">
        <v>274</v>
      </c>
      <c r="F76" t="s">
        <v>320</v>
      </c>
      <c r="G76" t="s">
        <v>480</v>
      </c>
      <c r="H76" s="67">
        <v>359.39</v>
      </c>
      <c r="J76" t="s">
        <v>274</v>
      </c>
      <c r="K76" t="s">
        <v>320</v>
      </c>
      <c r="L76" s="67">
        <v>359.39</v>
      </c>
    </row>
    <row r="77" spans="1:12" x14ac:dyDescent="0.35">
      <c r="A77" t="s">
        <v>175</v>
      </c>
      <c r="B77" t="s">
        <v>197</v>
      </c>
      <c r="C77" t="s">
        <v>275</v>
      </c>
      <c r="D77" t="s">
        <v>351</v>
      </c>
      <c r="E77" t="s">
        <v>274</v>
      </c>
      <c r="F77" t="s">
        <v>320</v>
      </c>
      <c r="G77" t="s">
        <v>480</v>
      </c>
      <c r="H77" s="67">
        <v>460.75</v>
      </c>
      <c r="J77" t="s">
        <v>274</v>
      </c>
      <c r="K77" t="s">
        <v>320</v>
      </c>
      <c r="L77" s="67">
        <v>460.75</v>
      </c>
    </row>
    <row r="78" spans="1:12" x14ac:dyDescent="0.35">
      <c r="A78" t="s">
        <v>175</v>
      </c>
      <c r="B78" t="s">
        <v>197</v>
      </c>
      <c r="C78" t="s">
        <v>275</v>
      </c>
      <c r="D78" t="s">
        <v>352</v>
      </c>
      <c r="E78" t="s">
        <v>274</v>
      </c>
      <c r="F78" t="s">
        <v>319</v>
      </c>
      <c r="G78" t="s">
        <v>481</v>
      </c>
      <c r="H78" s="67">
        <v>552.24</v>
      </c>
      <c r="J78" t="s">
        <v>274</v>
      </c>
      <c r="K78" t="s">
        <v>319</v>
      </c>
      <c r="L78" s="67">
        <v>552.24</v>
      </c>
    </row>
    <row r="79" spans="1:12" x14ac:dyDescent="0.35">
      <c r="A79" t="s">
        <v>175</v>
      </c>
      <c r="B79" t="s">
        <v>227</v>
      </c>
      <c r="C79" t="s">
        <v>275</v>
      </c>
      <c r="D79" t="s">
        <v>353</v>
      </c>
      <c r="E79" t="s">
        <v>274</v>
      </c>
      <c r="F79" t="s">
        <v>321</v>
      </c>
      <c r="G79" t="s">
        <v>480</v>
      </c>
      <c r="H79" s="67">
        <v>453</v>
      </c>
      <c r="J79" t="s">
        <v>274</v>
      </c>
      <c r="K79" t="s">
        <v>321</v>
      </c>
      <c r="L79" s="67">
        <v>453</v>
      </c>
    </row>
    <row r="80" spans="1:12" x14ac:dyDescent="0.35">
      <c r="A80" t="s">
        <v>175</v>
      </c>
      <c r="B80" t="s">
        <v>198</v>
      </c>
      <c r="C80" t="s">
        <v>275</v>
      </c>
      <c r="D80" t="s">
        <v>354</v>
      </c>
      <c r="E80" t="s">
        <v>274</v>
      </c>
      <c r="F80" t="s">
        <v>320</v>
      </c>
      <c r="G80" t="s">
        <v>480</v>
      </c>
      <c r="H80" s="67">
        <v>331.74</v>
      </c>
      <c r="J80" t="s">
        <v>274</v>
      </c>
      <c r="K80" t="s">
        <v>320</v>
      </c>
      <c r="L80" s="67">
        <v>331.74</v>
      </c>
    </row>
    <row r="81" spans="1:12" x14ac:dyDescent="0.35">
      <c r="A81" t="s">
        <v>175</v>
      </c>
      <c r="B81" t="s">
        <v>199</v>
      </c>
      <c r="C81" t="s">
        <v>275</v>
      </c>
      <c r="D81" t="s">
        <v>355</v>
      </c>
      <c r="E81" t="s">
        <v>274</v>
      </c>
      <c r="F81" t="s">
        <v>319</v>
      </c>
      <c r="G81" t="s">
        <v>481</v>
      </c>
      <c r="H81" s="67">
        <v>552.24</v>
      </c>
      <c r="J81" t="s">
        <v>274</v>
      </c>
      <c r="K81" t="s">
        <v>319</v>
      </c>
      <c r="L81" s="67">
        <v>552.24</v>
      </c>
    </row>
    <row r="82" spans="1:12" x14ac:dyDescent="0.35">
      <c r="A82" t="s">
        <v>175</v>
      </c>
      <c r="B82" t="s">
        <v>199</v>
      </c>
      <c r="C82" t="s">
        <v>275</v>
      </c>
      <c r="D82" t="s">
        <v>356</v>
      </c>
      <c r="E82" t="s">
        <v>274</v>
      </c>
      <c r="F82" t="s">
        <v>319</v>
      </c>
      <c r="G82" t="s">
        <v>481</v>
      </c>
      <c r="H82" s="67">
        <v>552.24</v>
      </c>
      <c r="J82" t="s">
        <v>274</v>
      </c>
      <c r="K82" t="s">
        <v>319</v>
      </c>
      <c r="L82" s="67">
        <v>552.24</v>
      </c>
    </row>
    <row r="83" spans="1:12" x14ac:dyDescent="0.35">
      <c r="A83" t="s">
        <v>175</v>
      </c>
      <c r="B83" t="s">
        <v>228</v>
      </c>
      <c r="C83" t="s">
        <v>275</v>
      </c>
      <c r="D83" t="s">
        <v>357</v>
      </c>
      <c r="E83" t="s">
        <v>274</v>
      </c>
      <c r="F83" t="s">
        <v>319</v>
      </c>
      <c r="G83" t="s">
        <v>481</v>
      </c>
      <c r="H83" s="67">
        <v>529.23</v>
      </c>
      <c r="J83" t="s">
        <v>274</v>
      </c>
      <c r="K83" t="s">
        <v>319</v>
      </c>
      <c r="L83" s="67">
        <v>529.23</v>
      </c>
    </row>
    <row r="84" spans="1:12" x14ac:dyDescent="0.35">
      <c r="A84" t="s">
        <v>175</v>
      </c>
      <c r="B84" t="s">
        <v>229</v>
      </c>
      <c r="C84" t="s">
        <v>275</v>
      </c>
      <c r="D84" t="s">
        <v>358</v>
      </c>
      <c r="E84" t="s">
        <v>274</v>
      </c>
      <c r="F84" t="s">
        <v>321</v>
      </c>
      <c r="G84" t="s">
        <v>480</v>
      </c>
      <c r="H84" s="67">
        <v>434.88</v>
      </c>
      <c r="J84" t="s">
        <v>274</v>
      </c>
      <c r="K84" t="s">
        <v>321</v>
      </c>
      <c r="L84" s="67">
        <v>434.88</v>
      </c>
    </row>
    <row r="85" spans="1:12" x14ac:dyDescent="0.35">
      <c r="A85" t="s">
        <v>175</v>
      </c>
      <c r="B85" t="s">
        <v>230</v>
      </c>
      <c r="C85" t="s">
        <v>275</v>
      </c>
      <c r="D85" t="s">
        <v>359</v>
      </c>
      <c r="E85" t="s">
        <v>274</v>
      </c>
      <c r="F85" t="s">
        <v>321</v>
      </c>
      <c r="G85" t="s">
        <v>480</v>
      </c>
      <c r="H85" s="67">
        <v>434.88</v>
      </c>
      <c r="J85" t="s">
        <v>274</v>
      </c>
      <c r="K85" t="s">
        <v>321</v>
      </c>
      <c r="L85" s="67">
        <v>434.88</v>
      </c>
    </row>
    <row r="86" spans="1:12" x14ac:dyDescent="0.35">
      <c r="A86" t="s">
        <v>175</v>
      </c>
      <c r="B86" t="s">
        <v>230</v>
      </c>
      <c r="C86" t="s">
        <v>275</v>
      </c>
      <c r="D86" t="s">
        <v>360</v>
      </c>
      <c r="E86" t="s">
        <v>274</v>
      </c>
      <c r="F86" t="s">
        <v>319</v>
      </c>
      <c r="G86" t="s">
        <v>481</v>
      </c>
      <c r="H86" s="67">
        <v>356.66</v>
      </c>
      <c r="J86" t="s">
        <v>274</v>
      </c>
      <c r="K86" t="s">
        <v>319</v>
      </c>
      <c r="L86" s="67">
        <v>356.66</v>
      </c>
    </row>
    <row r="87" spans="1:12" x14ac:dyDescent="0.35">
      <c r="A87" t="s">
        <v>175</v>
      </c>
      <c r="B87" t="s">
        <v>202</v>
      </c>
      <c r="C87" t="s">
        <v>275</v>
      </c>
      <c r="D87" t="s">
        <v>361</v>
      </c>
      <c r="E87" t="s">
        <v>274</v>
      </c>
      <c r="F87" t="s">
        <v>337</v>
      </c>
      <c r="G87" t="s">
        <v>481</v>
      </c>
      <c r="H87" s="67">
        <v>552.24</v>
      </c>
      <c r="J87" t="s">
        <v>274</v>
      </c>
      <c r="K87" t="s">
        <v>337</v>
      </c>
      <c r="L87" s="67">
        <v>552.24</v>
      </c>
    </row>
    <row r="88" spans="1:12" x14ac:dyDescent="0.35">
      <c r="A88" t="s">
        <v>175</v>
      </c>
      <c r="B88" t="s">
        <v>202</v>
      </c>
      <c r="C88" t="s">
        <v>275</v>
      </c>
      <c r="D88" t="s">
        <v>362</v>
      </c>
      <c r="E88" t="s">
        <v>274</v>
      </c>
      <c r="F88" t="s">
        <v>337</v>
      </c>
      <c r="G88" t="s">
        <v>481</v>
      </c>
      <c r="H88" s="67">
        <v>552.24</v>
      </c>
      <c r="J88" t="s">
        <v>274</v>
      </c>
      <c r="K88" t="s">
        <v>337</v>
      </c>
      <c r="L88" s="67">
        <v>552.24</v>
      </c>
    </row>
    <row r="89" spans="1:12" x14ac:dyDescent="0.35">
      <c r="A89" t="s">
        <v>175</v>
      </c>
      <c r="B89" t="s">
        <v>231</v>
      </c>
      <c r="C89" t="s">
        <v>275</v>
      </c>
      <c r="D89" t="s">
        <v>363</v>
      </c>
      <c r="E89" t="s">
        <v>274</v>
      </c>
      <c r="F89" t="s">
        <v>321</v>
      </c>
      <c r="G89" t="s">
        <v>480</v>
      </c>
      <c r="H89" s="67">
        <v>434.88</v>
      </c>
      <c r="J89" t="s">
        <v>274</v>
      </c>
      <c r="K89" t="s">
        <v>321</v>
      </c>
      <c r="L89" s="67">
        <v>434.88</v>
      </c>
    </row>
    <row r="90" spans="1:12" x14ac:dyDescent="0.35">
      <c r="A90" t="s">
        <v>175</v>
      </c>
      <c r="B90" t="s">
        <v>232</v>
      </c>
      <c r="C90" t="s">
        <v>275</v>
      </c>
      <c r="D90" t="s">
        <v>364</v>
      </c>
      <c r="E90" t="s">
        <v>274</v>
      </c>
      <c r="F90" t="s">
        <v>337</v>
      </c>
      <c r="G90" t="s">
        <v>481</v>
      </c>
      <c r="H90" s="67">
        <v>506.22</v>
      </c>
      <c r="J90" t="s">
        <v>274</v>
      </c>
      <c r="K90" t="s">
        <v>337</v>
      </c>
      <c r="L90" s="67">
        <v>506.22</v>
      </c>
    </row>
    <row r="91" spans="1:12" x14ac:dyDescent="0.35">
      <c r="A91" t="s">
        <v>175</v>
      </c>
      <c r="B91" t="s">
        <v>232</v>
      </c>
      <c r="C91" t="s">
        <v>275</v>
      </c>
      <c r="D91" t="s">
        <v>365</v>
      </c>
      <c r="E91" t="s">
        <v>274</v>
      </c>
      <c r="F91" t="s">
        <v>337</v>
      </c>
      <c r="G91" t="s">
        <v>481</v>
      </c>
      <c r="H91" s="67">
        <v>552.24</v>
      </c>
      <c r="J91" t="s">
        <v>274</v>
      </c>
      <c r="K91" t="s">
        <v>337</v>
      </c>
      <c r="L91" s="67">
        <v>552.24</v>
      </c>
    </row>
    <row r="92" spans="1:12" x14ac:dyDescent="0.35">
      <c r="A92" t="s">
        <v>175</v>
      </c>
      <c r="B92" t="s">
        <v>203</v>
      </c>
      <c r="C92" t="s">
        <v>275</v>
      </c>
      <c r="D92" t="s">
        <v>366</v>
      </c>
      <c r="E92" t="s">
        <v>274</v>
      </c>
      <c r="F92" t="s">
        <v>337</v>
      </c>
      <c r="G92" t="s">
        <v>481</v>
      </c>
      <c r="H92" s="67">
        <v>368.16</v>
      </c>
      <c r="J92" t="s">
        <v>274</v>
      </c>
      <c r="K92" t="s">
        <v>337</v>
      </c>
      <c r="L92" s="67">
        <v>368.16</v>
      </c>
    </row>
    <row r="93" spans="1:12" x14ac:dyDescent="0.35">
      <c r="A93" t="s">
        <v>175</v>
      </c>
      <c r="B93" t="s">
        <v>233</v>
      </c>
      <c r="C93" t="s">
        <v>275</v>
      </c>
      <c r="D93" t="s">
        <v>367</v>
      </c>
      <c r="E93" t="s">
        <v>274</v>
      </c>
      <c r="F93" t="s">
        <v>337</v>
      </c>
      <c r="G93" t="s">
        <v>481</v>
      </c>
      <c r="H93" s="67">
        <v>483.21</v>
      </c>
      <c r="J93" t="s">
        <v>274</v>
      </c>
      <c r="K93" t="s">
        <v>337</v>
      </c>
      <c r="L93" s="67">
        <v>483.21</v>
      </c>
    </row>
    <row r="94" spans="1:12" x14ac:dyDescent="0.35">
      <c r="A94" t="s">
        <v>175</v>
      </c>
      <c r="B94" t="s">
        <v>204</v>
      </c>
      <c r="C94" t="s">
        <v>275</v>
      </c>
      <c r="D94" t="s">
        <v>368</v>
      </c>
      <c r="E94" t="s">
        <v>274</v>
      </c>
      <c r="F94" t="s">
        <v>337</v>
      </c>
      <c r="G94" t="s">
        <v>481</v>
      </c>
      <c r="H94" s="67">
        <v>184.08</v>
      </c>
      <c r="J94" t="s">
        <v>274</v>
      </c>
      <c r="K94" t="s">
        <v>337</v>
      </c>
      <c r="L94" s="67">
        <v>184.08</v>
      </c>
    </row>
    <row r="95" spans="1:12" x14ac:dyDescent="0.35">
      <c r="A95" t="s">
        <v>175</v>
      </c>
      <c r="B95" t="s">
        <v>205</v>
      </c>
      <c r="C95" t="s">
        <v>275</v>
      </c>
      <c r="D95" t="s">
        <v>369</v>
      </c>
      <c r="E95" t="s">
        <v>274</v>
      </c>
      <c r="F95" t="s">
        <v>337</v>
      </c>
      <c r="G95" t="s">
        <v>481</v>
      </c>
      <c r="H95" s="67">
        <v>161.07</v>
      </c>
      <c r="J95" t="s">
        <v>274</v>
      </c>
      <c r="K95" t="s">
        <v>337</v>
      </c>
      <c r="L95" s="67">
        <v>161.07</v>
      </c>
    </row>
    <row r="96" spans="1:12" x14ac:dyDescent="0.35">
      <c r="A96" t="s">
        <v>175</v>
      </c>
      <c r="B96" t="s">
        <v>205</v>
      </c>
      <c r="C96" t="s">
        <v>275</v>
      </c>
      <c r="D96" t="s">
        <v>370</v>
      </c>
      <c r="E96" t="s">
        <v>274</v>
      </c>
      <c r="F96" t="s">
        <v>337</v>
      </c>
      <c r="G96" t="s">
        <v>481</v>
      </c>
      <c r="H96" s="67">
        <v>494.72</v>
      </c>
      <c r="J96" t="s">
        <v>274</v>
      </c>
      <c r="K96" t="s">
        <v>337</v>
      </c>
      <c r="L96" s="67">
        <v>494.72</v>
      </c>
    </row>
    <row r="97" spans="1:12" x14ac:dyDescent="0.35">
      <c r="A97" t="s">
        <v>175</v>
      </c>
      <c r="B97" t="s">
        <v>234</v>
      </c>
      <c r="C97" t="s">
        <v>275</v>
      </c>
      <c r="D97" t="s">
        <v>371</v>
      </c>
      <c r="E97" t="s">
        <v>274</v>
      </c>
      <c r="F97" t="s">
        <v>321</v>
      </c>
      <c r="G97" t="s">
        <v>480</v>
      </c>
      <c r="H97" s="67">
        <v>652.52</v>
      </c>
      <c r="J97" t="s">
        <v>274</v>
      </c>
      <c r="K97" t="s">
        <v>321</v>
      </c>
      <c r="L97" s="67">
        <v>652.52</v>
      </c>
    </row>
    <row r="98" spans="1:12" x14ac:dyDescent="0.35">
      <c r="A98" t="s">
        <v>175</v>
      </c>
      <c r="B98" t="s">
        <v>206</v>
      </c>
      <c r="C98" t="s">
        <v>275</v>
      </c>
      <c r="D98" t="s">
        <v>372</v>
      </c>
      <c r="E98" t="s">
        <v>274</v>
      </c>
      <c r="F98" t="s">
        <v>321</v>
      </c>
      <c r="G98" t="s">
        <v>480</v>
      </c>
      <c r="H98" s="67">
        <v>579.84</v>
      </c>
      <c r="J98" t="s">
        <v>274</v>
      </c>
      <c r="K98" t="s">
        <v>321</v>
      </c>
      <c r="L98" s="67">
        <v>579.84</v>
      </c>
    </row>
    <row r="99" spans="1:12" x14ac:dyDescent="0.35">
      <c r="A99" t="s">
        <v>175</v>
      </c>
      <c r="B99" t="s">
        <v>208</v>
      </c>
      <c r="C99" t="s">
        <v>275</v>
      </c>
      <c r="D99" t="s">
        <v>373</v>
      </c>
      <c r="E99" t="s">
        <v>274</v>
      </c>
      <c r="F99" t="s">
        <v>337</v>
      </c>
      <c r="G99" t="s">
        <v>481</v>
      </c>
      <c r="H99" s="67">
        <v>437.19</v>
      </c>
      <c r="J99" t="s">
        <v>274</v>
      </c>
      <c r="K99" t="s">
        <v>337</v>
      </c>
      <c r="L99" s="67">
        <v>437.19</v>
      </c>
    </row>
    <row r="100" spans="1:12" x14ac:dyDescent="0.35">
      <c r="A100" t="s">
        <v>175</v>
      </c>
      <c r="B100" t="s">
        <v>208</v>
      </c>
      <c r="C100" t="s">
        <v>275</v>
      </c>
      <c r="D100" t="s">
        <v>374</v>
      </c>
      <c r="E100" t="s">
        <v>274</v>
      </c>
      <c r="F100" t="s">
        <v>337</v>
      </c>
      <c r="G100" t="s">
        <v>481</v>
      </c>
      <c r="H100" s="67">
        <v>552.24</v>
      </c>
      <c r="J100" t="s">
        <v>274</v>
      </c>
      <c r="K100" t="s">
        <v>337</v>
      </c>
      <c r="L100" s="67">
        <v>552.24</v>
      </c>
    </row>
    <row r="101" spans="1:12" x14ac:dyDescent="0.35">
      <c r="A101" t="s">
        <v>175</v>
      </c>
      <c r="B101" t="s">
        <v>208</v>
      </c>
      <c r="C101" t="s">
        <v>275</v>
      </c>
      <c r="D101" t="s">
        <v>375</v>
      </c>
      <c r="E101" t="s">
        <v>274</v>
      </c>
      <c r="F101" t="s">
        <v>337</v>
      </c>
      <c r="G101" t="s">
        <v>481</v>
      </c>
      <c r="H101" s="67">
        <v>368.16</v>
      </c>
      <c r="J101" t="s">
        <v>274</v>
      </c>
      <c r="K101" t="s">
        <v>337</v>
      </c>
      <c r="L101" s="67">
        <v>368.16</v>
      </c>
    </row>
    <row r="102" spans="1:12" x14ac:dyDescent="0.35">
      <c r="A102" t="s">
        <v>175</v>
      </c>
      <c r="B102" t="s">
        <v>235</v>
      </c>
      <c r="C102" t="s">
        <v>275</v>
      </c>
      <c r="D102" t="s">
        <v>376</v>
      </c>
      <c r="E102" t="s">
        <v>274</v>
      </c>
      <c r="F102" t="s">
        <v>321</v>
      </c>
      <c r="G102" t="s">
        <v>480</v>
      </c>
      <c r="H102" s="67">
        <v>724.8</v>
      </c>
      <c r="J102" t="s">
        <v>274</v>
      </c>
      <c r="K102" t="s">
        <v>321</v>
      </c>
      <c r="L102" s="67">
        <v>724.8</v>
      </c>
    </row>
    <row r="103" spans="1:12" x14ac:dyDescent="0.35">
      <c r="A103" t="s">
        <v>175</v>
      </c>
      <c r="B103" t="s">
        <v>235</v>
      </c>
      <c r="C103" t="s">
        <v>275</v>
      </c>
      <c r="D103" t="s">
        <v>377</v>
      </c>
      <c r="E103" t="s">
        <v>274</v>
      </c>
      <c r="F103" t="s">
        <v>321</v>
      </c>
      <c r="G103" t="s">
        <v>480</v>
      </c>
      <c r="H103" s="67">
        <v>688.56</v>
      </c>
      <c r="J103" t="s">
        <v>274</v>
      </c>
      <c r="K103" t="s">
        <v>321</v>
      </c>
      <c r="L103" s="67">
        <v>688.56</v>
      </c>
    </row>
    <row r="104" spans="1:12" x14ac:dyDescent="0.35">
      <c r="A104" t="s">
        <v>175</v>
      </c>
      <c r="B104" t="s">
        <v>235</v>
      </c>
      <c r="C104" t="s">
        <v>275</v>
      </c>
      <c r="D104" t="s">
        <v>378</v>
      </c>
      <c r="E104" t="s">
        <v>274</v>
      </c>
      <c r="F104" t="s">
        <v>321</v>
      </c>
      <c r="G104" t="s">
        <v>480</v>
      </c>
      <c r="H104" s="67">
        <v>724.8</v>
      </c>
      <c r="J104" t="s">
        <v>274</v>
      </c>
      <c r="K104" t="s">
        <v>321</v>
      </c>
      <c r="L104" s="67">
        <v>724.8</v>
      </c>
    </row>
    <row r="105" spans="1:12" x14ac:dyDescent="0.35">
      <c r="A105" t="s">
        <v>175</v>
      </c>
      <c r="B105" t="s">
        <v>235</v>
      </c>
      <c r="C105" t="s">
        <v>275</v>
      </c>
      <c r="D105" t="s">
        <v>379</v>
      </c>
      <c r="E105" t="s">
        <v>274</v>
      </c>
      <c r="F105" t="s">
        <v>321</v>
      </c>
      <c r="G105" t="s">
        <v>480</v>
      </c>
      <c r="H105" s="67">
        <v>579.84</v>
      </c>
      <c r="J105" t="s">
        <v>274</v>
      </c>
      <c r="K105" t="s">
        <v>321</v>
      </c>
      <c r="L105" s="67">
        <v>579.84</v>
      </c>
    </row>
    <row r="106" spans="1:12" x14ac:dyDescent="0.35">
      <c r="A106" t="s">
        <v>175</v>
      </c>
      <c r="B106" t="s">
        <v>209</v>
      </c>
      <c r="C106" t="s">
        <v>275</v>
      </c>
      <c r="D106" t="s">
        <v>380</v>
      </c>
      <c r="E106" t="s">
        <v>274</v>
      </c>
      <c r="F106" t="s">
        <v>337</v>
      </c>
      <c r="G106" t="s">
        <v>481</v>
      </c>
      <c r="H106" s="67">
        <v>552.24</v>
      </c>
      <c r="J106" t="s">
        <v>274</v>
      </c>
      <c r="K106" t="s">
        <v>337</v>
      </c>
      <c r="L106" s="67">
        <v>552.24</v>
      </c>
    </row>
    <row r="107" spans="1:12" x14ac:dyDescent="0.35">
      <c r="A107" t="s">
        <v>175</v>
      </c>
      <c r="B107" t="s">
        <v>210</v>
      </c>
      <c r="C107" t="s">
        <v>275</v>
      </c>
      <c r="D107" t="s">
        <v>381</v>
      </c>
      <c r="E107" t="s">
        <v>274</v>
      </c>
      <c r="F107" t="s">
        <v>337</v>
      </c>
      <c r="G107" t="s">
        <v>481</v>
      </c>
      <c r="H107" s="67">
        <v>483.21</v>
      </c>
      <c r="J107" t="s">
        <v>274</v>
      </c>
      <c r="K107" t="s">
        <v>337</v>
      </c>
      <c r="L107" s="67">
        <v>483.21</v>
      </c>
    </row>
    <row r="108" spans="1:12" x14ac:dyDescent="0.35">
      <c r="A108" t="s">
        <v>175</v>
      </c>
      <c r="B108" t="s">
        <v>210</v>
      </c>
      <c r="C108" t="s">
        <v>275</v>
      </c>
      <c r="D108" t="s">
        <v>382</v>
      </c>
      <c r="E108" t="s">
        <v>274</v>
      </c>
      <c r="F108" t="s">
        <v>337</v>
      </c>
      <c r="G108" t="s">
        <v>481</v>
      </c>
      <c r="H108" s="67">
        <v>460.2</v>
      </c>
      <c r="J108" t="s">
        <v>274</v>
      </c>
      <c r="K108" t="s">
        <v>337</v>
      </c>
      <c r="L108" s="67">
        <v>460.2</v>
      </c>
    </row>
    <row r="109" spans="1:12" x14ac:dyDescent="0.35">
      <c r="A109" t="s">
        <v>175</v>
      </c>
      <c r="B109" t="s">
        <v>236</v>
      </c>
      <c r="C109" t="s">
        <v>275</v>
      </c>
      <c r="D109" t="s">
        <v>383</v>
      </c>
      <c r="E109" t="s">
        <v>274</v>
      </c>
      <c r="F109" t="s">
        <v>321</v>
      </c>
      <c r="G109" t="s">
        <v>480</v>
      </c>
      <c r="H109" s="67">
        <v>579.84</v>
      </c>
      <c r="J109" t="s">
        <v>274</v>
      </c>
      <c r="K109" t="s">
        <v>321</v>
      </c>
      <c r="L109" s="67">
        <v>579.84</v>
      </c>
    </row>
    <row r="110" spans="1:12" x14ac:dyDescent="0.35">
      <c r="A110" t="s">
        <v>175</v>
      </c>
      <c r="B110" t="s">
        <v>236</v>
      </c>
      <c r="C110" t="s">
        <v>275</v>
      </c>
      <c r="D110" t="s">
        <v>384</v>
      </c>
      <c r="E110" t="s">
        <v>274</v>
      </c>
      <c r="F110" t="s">
        <v>321</v>
      </c>
      <c r="G110" t="s">
        <v>480</v>
      </c>
      <c r="H110" s="67">
        <v>1195.92</v>
      </c>
      <c r="J110" t="s">
        <v>274</v>
      </c>
      <c r="K110" t="s">
        <v>321</v>
      </c>
      <c r="L110" s="67">
        <v>1195.92</v>
      </c>
    </row>
    <row r="111" spans="1:12" x14ac:dyDescent="0.35">
      <c r="A111" t="s">
        <v>175</v>
      </c>
      <c r="B111" t="s">
        <v>211</v>
      </c>
      <c r="C111" t="s">
        <v>275</v>
      </c>
      <c r="D111" t="s">
        <v>385</v>
      </c>
      <c r="E111" t="s">
        <v>274</v>
      </c>
      <c r="F111" t="s">
        <v>337</v>
      </c>
      <c r="G111" t="s">
        <v>481</v>
      </c>
      <c r="H111" s="67">
        <v>368.16</v>
      </c>
      <c r="J111" t="s">
        <v>274</v>
      </c>
      <c r="K111" t="s">
        <v>337</v>
      </c>
      <c r="L111" s="67">
        <v>368.16</v>
      </c>
    </row>
    <row r="112" spans="1:12" x14ac:dyDescent="0.35">
      <c r="A112" t="s">
        <v>175</v>
      </c>
      <c r="B112" t="s">
        <v>211</v>
      </c>
      <c r="C112" t="s">
        <v>275</v>
      </c>
      <c r="D112" t="s">
        <v>386</v>
      </c>
      <c r="E112" t="s">
        <v>274</v>
      </c>
      <c r="F112" t="s">
        <v>337</v>
      </c>
      <c r="G112" t="s">
        <v>481</v>
      </c>
      <c r="H112" s="67">
        <v>563.75</v>
      </c>
      <c r="J112" t="s">
        <v>274</v>
      </c>
      <c r="K112" t="s">
        <v>337</v>
      </c>
      <c r="L112" s="67">
        <v>563.75</v>
      </c>
    </row>
    <row r="113" spans="1:12" x14ac:dyDescent="0.35">
      <c r="A113" t="s">
        <v>175</v>
      </c>
      <c r="B113" t="s">
        <v>237</v>
      </c>
      <c r="C113" t="s">
        <v>275</v>
      </c>
      <c r="D113" t="s">
        <v>387</v>
      </c>
      <c r="E113" t="s">
        <v>274</v>
      </c>
      <c r="F113" t="s">
        <v>337</v>
      </c>
      <c r="G113" t="s">
        <v>481</v>
      </c>
      <c r="H113" s="67">
        <v>529.23</v>
      </c>
      <c r="J113" t="s">
        <v>274</v>
      </c>
      <c r="K113" t="s">
        <v>337</v>
      </c>
      <c r="L113" s="67">
        <v>529.23</v>
      </c>
    </row>
    <row r="114" spans="1:12" x14ac:dyDescent="0.35">
      <c r="A114" t="s">
        <v>175</v>
      </c>
      <c r="B114" t="s">
        <v>212</v>
      </c>
      <c r="C114" t="s">
        <v>275</v>
      </c>
      <c r="D114" t="s">
        <v>388</v>
      </c>
      <c r="E114" t="s">
        <v>274</v>
      </c>
      <c r="F114" t="s">
        <v>337</v>
      </c>
      <c r="G114" t="s">
        <v>481</v>
      </c>
      <c r="H114" s="67">
        <v>552.24</v>
      </c>
      <c r="J114" t="s">
        <v>274</v>
      </c>
      <c r="K114" t="s">
        <v>337</v>
      </c>
      <c r="L114" s="67">
        <v>552.24</v>
      </c>
    </row>
    <row r="115" spans="1:12" x14ac:dyDescent="0.35">
      <c r="A115" t="s">
        <v>175</v>
      </c>
      <c r="B115" t="s">
        <v>212</v>
      </c>
      <c r="C115" t="s">
        <v>275</v>
      </c>
      <c r="D115" t="s">
        <v>389</v>
      </c>
      <c r="E115" t="s">
        <v>274</v>
      </c>
      <c r="F115" t="s">
        <v>337</v>
      </c>
      <c r="G115" t="s">
        <v>481</v>
      </c>
      <c r="H115" s="67">
        <v>529.23</v>
      </c>
      <c r="J115" t="s">
        <v>274</v>
      </c>
      <c r="K115" t="s">
        <v>337</v>
      </c>
      <c r="L115" s="67">
        <v>529.23</v>
      </c>
    </row>
    <row r="116" spans="1:12" x14ac:dyDescent="0.35">
      <c r="A116" t="s">
        <v>175</v>
      </c>
      <c r="B116" t="s">
        <v>212</v>
      </c>
      <c r="C116" t="s">
        <v>275</v>
      </c>
      <c r="D116" t="s">
        <v>390</v>
      </c>
      <c r="E116" t="s">
        <v>274</v>
      </c>
      <c r="F116" t="s">
        <v>337</v>
      </c>
      <c r="G116" t="s">
        <v>481</v>
      </c>
      <c r="H116" s="67">
        <v>552.24</v>
      </c>
      <c r="J116" t="s">
        <v>274</v>
      </c>
      <c r="K116" t="s">
        <v>337</v>
      </c>
      <c r="L116" s="67">
        <v>552.24</v>
      </c>
    </row>
    <row r="117" spans="1:12" x14ac:dyDescent="0.35">
      <c r="A117" t="s">
        <v>175</v>
      </c>
      <c r="B117" t="s">
        <v>212</v>
      </c>
      <c r="C117" t="s">
        <v>275</v>
      </c>
      <c r="D117" t="s">
        <v>391</v>
      </c>
      <c r="E117" t="s">
        <v>274</v>
      </c>
      <c r="F117" t="s">
        <v>337</v>
      </c>
      <c r="G117" t="s">
        <v>481</v>
      </c>
      <c r="H117" s="67">
        <v>437.19</v>
      </c>
      <c r="J117" t="s">
        <v>274</v>
      </c>
      <c r="K117" t="s">
        <v>337</v>
      </c>
      <c r="L117" s="67">
        <v>437.19</v>
      </c>
    </row>
    <row r="118" spans="1:12" x14ac:dyDescent="0.35">
      <c r="A118" t="s">
        <v>175</v>
      </c>
      <c r="B118" t="s">
        <v>212</v>
      </c>
      <c r="C118" t="s">
        <v>275</v>
      </c>
      <c r="D118" t="s">
        <v>392</v>
      </c>
      <c r="E118" t="s">
        <v>274</v>
      </c>
      <c r="F118" t="s">
        <v>337</v>
      </c>
      <c r="G118" t="s">
        <v>481</v>
      </c>
      <c r="H118" s="67">
        <v>368.16</v>
      </c>
      <c r="J118" t="s">
        <v>274</v>
      </c>
      <c r="K118" t="s">
        <v>337</v>
      </c>
      <c r="L118" s="67">
        <v>368.16</v>
      </c>
    </row>
    <row r="119" spans="1:12" x14ac:dyDescent="0.35">
      <c r="A119" t="s">
        <v>175</v>
      </c>
      <c r="B119" t="s">
        <v>238</v>
      </c>
      <c r="C119" t="s">
        <v>275</v>
      </c>
      <c r="D119" t="s">
        <v>393</v>
      </c>
      <c r="E119" t="s">
        <v>274</v>
      </c>
      <c r="F119" t="s">
        <v>321</v>
      </c>
      <c r="G119" t="s">
        <v>480</v>
      </c>
      <c r="H119" s="67">
        <v>1014.72</v>
      </c>
      <c r="J119" t="s">
        <v>274</v>
      </c>
      <c r="K119" t="s">
        <v>321</v>
      </c>
      <c r="L119" s="67">
        <v>1014.72</v>
      </c>
    </row>
    <row r="120" spans="1:12" x14ac:dyDescent="0.35">
      <c r="A120" t="s">
        <v>175</v>
      </c>
      <c r="B120" t="s">
        <v>239</v>
      </c>
      <c r="C120" t="s">
        <v>275</v>
      </c>
      <c r="D120" t="s">
        <v>394</v>
      </c>
      <c r="E120" t="s">
        <v>274</v>
      </c>
      <c r="F120" t="s">
        <v>337</v>
      </c>
      <c r="G120" t="s">
        <v>481</v>
      </c>
      <c r="H120" s="67">
        <v>552.24</v>
      </c>
      <c r="J120" t="s">
        <v>274</v>
      </c>
      <c r="K120" t="s">
        <v>337</v>
      </c>
      <c r="L120" s="67">
        <v>552.24</v>
      </c>
    </row>
    <row r="121" spans="1:12" x14ac:dyDescent="0.35">
      <c r="A121" t="s">
        <v>175</v>
      </c>
      <c r="B121" t="s">
        <v>214</v>
      </c>
      <c r="C121" t="s">
        <v>275</v>
      </c>
      <c r="D121" t="s">
        <v>395</v>
      </c>
      <c r="E121" t="s">
        <v>274</v>
      </c>
      <c r="F121" t="s">
        <v>337</v>
      </c>
      <c r="G121" t="s">
        <v>481</v>
      </c>
      <c r="H121" s="67">
        <v>483.21</v>
      </c>
      <c r="J121" t="s">
        <v>274</v>
      </c>
      <c r="K121" t="s">
        <v>337</v>
      </c>
      <c r="L121" s="67">
        <v>483.21</v>
      </c>
    </row>
    <row r="122" spans="1:12" x14ac:dyDescent="0.35">
      <c r="A122" t="s">
        <v>175</v>
      </c>
      <c r="B122" t="s">
        <v>240</v>
      </c>
      <c r="C122" t="s">
        <v>276</v>
      </c>
      <c r="D122" t="s">
        <v>396</v>
      </c>
      <c r="E122" t="s">
        <v>171</v>
      </c>
      <c r="F122" t="s">
        <v>171</v>
      </c>
      <c r="G122" t="s">
        <v>171</v>
      </c>
      <c r="H122" s="67">
        <v>500</v>
      </c>
      <c r="J122" t="s">
        <v>171</v>
      </c>
      <c r="K122" t="s">
        <v>171</v>
      </c>
      <c r="L122" s="67">
        <v>500</v>
      </c>
    </row>
    <row r="123" spans="1:12" x14ac:dyDescent="0.35">
      <c r="A123" t="s">
        <v>175</v>
      </c>
      <c r="B123" t="s">
        <v>241</v>
      </c>
      <c r="C123" t="s">
        <v>275</v>
      </c>
      <c r="D123" t="s">
        <v>397</v>
      </c>
      <c r="E123" t="s">
        <v>274</v>
      </c>
      <c r="F123" t="s">
        <v>337</v>
      </c>
      <c r="G123" t="s">
        <v>481</v>
      </c>
      <c r="H123" s="67">
        <v>552.24</v>
      </c>
      <c r="J123" t="s">
        <v>274</v>
      </c>
      <c r="K123" t="s">
        <v>337</v>
      </c>
      <c r="L123" s="67">
        <v>552.24</v>
      </c>
    </row>
    <row r="124" spans="1:12" x14ac:dyDescent="0.35">
      <c r="A124" t="s">
        <v>175</v>
      </c>
      <c r="B124" t="s">
        <v>241</v>
      </c>
      <c r="C124" t="s">
        <v>275</v>
      </c>
      <c r="D124" t="s">
        <v>398</v>
      </c>
      <c r="E124" t="s">
        <v>274</v>
      </c>
      <c r="F124" t="s">
        <v>321</v>
      </c>
      <c r="G124" t="s">
        <v>480</v>
      </c>
      <c r="H124" s="67">
        <v>1304.6400000000001</v>
      </c>
      <c r="J124" t="s">
        <v>274</v>
      </c>
      <c r="K124" t="s">
        <v>321</v>
      </c>
      <c r="L124" s="67">
        <v>1304.6400000000001</v>
      </c>
    </row>
    <row r="125" spans="1:12" x14ac:dyDescent="0.35">
      <c r="A125" t="s">
        <v>175</v>
      </c>
      <c r="B125" t="s">
        <v>242</v>
      </c>
      <c r="C125" t="s">
        <v>275</v>
      </c>
      <c r="D125" t="s">
        <v>399</v>
      </c>
      <c r="E125" t="s">
        <v>274</v>
      </c>
      <c r="F125" t="s">
        <v>321</v>
      </c>
      <c r="G125" t="s">
        <v>480</v>
      </c>
      <c r="H125" s="67">
        <v>1449.6</v>
      </c>
      <c r="J125" t="s">
        <v>274</v>
      </c>
      <c r="K125" t="s">
        <v>321</v>
      </c>
      <c r="L125" s="67">
        <v>1449.6</v>
      </c>
    </row>
    <row r="126" spans="1:12" x14ac:dyDescent="0.35">
      <c r="A126" t="s">
        <v>175</v>
      </c>
      <c r="B126" t="s">
        <v>215</v>
      </c>
      <c r="C126" t="s">
        <v>275</v>
      </c>
      <c r="D126" t="s">
        <v>400</v>
      </c>
      <c r="E126" t="s">
        <v>274</v>
      </c>
      <c r="F126" t="s">
        <v>337</v>
      </c>
      <c r="G126" t="s">
        <v>481</v>
      </c>
      <c r="H126" s="67">
        <v>368.16</v>
      </c>
      <c r="J126" t="s">
        <v>274</v>
      </c>
      <c r="K126" t="s">
        <v>337</v>
      </c>
      <c r="L126" s="67">
        <v>368.16</v>
      </c>
    </row>
    <row r="127" spans="1:12" x14ac:dyDescent="0.35">
      <c r="A127" t="s">
        <v>175</v>
      </c>
      <c r="B127" t="s">
        <v>215</v>
      </c>
      <c r="C127" t="s">
        <v>275</v>
      </c>
      <c r="D127" t="s">
        <v>401</v>
      </c>
      <c r="E127" t="s">
        <v>274</v>
      </c>
      <c r="F127" t="s">
        <v>337</v>
      </c>
      <c r="G127" t="s">
        <v>481</v>
      </c>
      <c r="H127" s="67">
        <v>552.24</v>
      </c>
      <c r="J127" t="s">
        <v>274</v>
      </c>
      <c r="K127" t="s">
        <v>337</v>
      </c>
      <c r="L127" s="67">
        <v>552.24</v>
      </c>
    </row>
    <row r="128" spans="1:12" x14ac:dyDescent="0.35">
      <c r="A128" t="s">
        <v>175</v>
      </c>
      <c r="B128" t="s">
        <v>215</v>
      </c>
      <c r="C128" t="s">
        <v>275</v>
      </c>
      <c r="D128" t="s">
        <v>402</v>
      </c>
      <c r="E128" t="s">
        <v>274</v>
      </c>
      <c r="F128" t="s">
        <v>321</v>
      </c>
      <c r="G128" t="s">
        <v>480</v>
      </c>
      <c r="H128" s="67">
        <v>1449.6</v>
      </c>
      <c r="J128" t="s">
        <v>274</v>
      </c>
      <c r="K128" t="s">
        <v>321</v>
      </c>
      <c r="L128" s="67">
        <v>1449.6</v>
      </c>
    </row>
    <row r="129" spans="1:12" x14ac:dyDescent="0.35">
      <c r="A129" t="s">
        <v>175</v>
      </c>
      <c r="B129" t="s">
        <v>215</v>
      </c>
      <c r="C129" t="s">
        <v>275</v>
      </c>
      <c r="D129" t="s">
        <v>403</v>
      </c>
      <c r="E129" t="s">
        <v>274</v>
      </c>
      <c r="F129" t="s">
        <v>337</v>
      </c>
      <c r="G129" t="s">
        <v>481</v>
      </c>
      <c r="H129" s="67">
        <v>552.24</v>
      </c>
      <c r="J129" t="s">
        <v>274</v>
      </c>
      <c r="K129" t="s">
        <v>337</v>
      </c>
      <c r="L129" s="67">
        <v>552.24</v>
      </c>
    </row>
    <row r="130" spans="1:12" x14ac:dyDescent="0.35">
      <c r="A130" t="s">
        <v>175</v>
      </c>
      <c r="B130" t="s">
        <v>215</v>
      </c>
      <c r="C130" t="s">
        <v>275</v>
      </c>
      <c r="D130" t="s">
        <v>404</v>
      </c>
      <c r="E130" t="s">
        <v>274</v>
      </c>
      <c r="F130" t="s">
        <v>321</v>
      </c>
      <c r="G130" t="s">
        <v>480</v>
      </c>
      <c r="H130" s="67">
        <v>724.8</v>
      </c>
      <c r="J130" t="s">
        <v>274</v>
      </c>
      <c r="K130" t="s">
        <v>321</v>
      </c>
      <c r="L130" s="67">
        <v>724.8</v>
      </c>
    </row>
    <row r="131" spans="1:12" x14ac:dyDescent="0.35">
      <c r="A131" t="s">
        <v>175</v>
      </c>
      <c r="B131" t="s">
        <v>216</v>
      </c>
      <c r="C131" t="s">
        <v>275</v>
      </c>
      <c r="D131" t="s">
        <v>405</v>
      </c>
      <c r="E131" t="s">
        <v>274</v>
      </c>
      <c r="F131" t="s">
        <v>337</v>
      </c>
      <c r="G131" t="s">
        <v>481</v>
      </c>
      <c r="H131" s="67">
        <v>552.24</v>
      </c>
      <c r="J131" t="s">
        <v>274</v>
      </c>
      <c r="K131" t="s">
        <v>337</v>
      </c>
      <c r="L131" s="67">
        <v>552.24</v>
      </c>
    </row>
    <row r="132" spans="1:12" x14ac:dyDescent="0.35">
      <c r="A132" t="s">
        <v>175</v>
      </c>
      <c r="B132" t="s">
        <v>216</v>
      </c>
      <c r="C132" t="s">
        <v>275</v>
      </c>
      <c r="D132" t="s">
        <v>406</v>
      </c>
      <c r="E132" t="s">
        <v>274</v>
      </c>
      <c r="F132" t="s">
        <v>337</v>
      </c>
      <c r="G132" t="s">
        <v>481</v>
      </c>
      <c r="H132" s="67">
        <v>552.24</v>
      </c>
      <c r="J132" t="s">
        <v>274</v>
      </c>
      <c r="K132" t="s">
        <v>337</v>
      </c>
      <c r="L132" s="67">
        <v>552.24</v>
      </c>
    </row>
    <row r="133" spans="1:12" x14ac:dyDescent="0.35">
      <c r="A133" t="s">
        <v>175</v>
      </c>
      <c r="B133" t="s">
        <v>243</v>
      </c>
      <c r="C133" t="s">
        <v>275</v>
      </c>
      <c r="D133" t="s">
        <v>407</v>
      </c>
      <c r="E133" t="s">
        <v>274</v>
      </c>
      <c r="F133" t="s">
        <v>321</v>
      </c>
      <c r="G133" t="s">
        <v>480</v>
      </c>
      <c r="H133" s="67">
        <v>434.88</v>
      </c>
      <c r="J133" t="s">
        <v>274</v>
      </c>
      <c r="K133" t="s">
        <v>321</v>
      </c>
      <c r="L133" s="67">
        <v>434.88</v>
      </c>
    </row>
    <row r="134" spans="1:12" x14ac:dyDescent="0.35">
      <c r="A134" t="s">
        <v>175</v>
      </c>
      <c r="B134" t="s">
        <v>243</v>
      </c>
      <c r="C134" t="s">
        <v>275</v>
      </c>
      <c r="D134" t="s">
        <v>408</v>
      </c>
      <c r="E134" t="s">
        <v>274</v>
      </c>
      <c r="F134" t="s">
        <v>337</v>
      </c>
      <c r="G134" t="s">
        <v>481</v>
      </c>
      <c r="H134" s="67">
        <v>368.16</v>
      </c>
      <c r="J134" t="s">
        <v>274</v>
      </c>
      <c r="K134" t="s">
        <v>337</v>
      </c>
      <c r="L134" s="67">
        <v>368.16</v>
      </c>
    </row>
    <row r="135" spans="1:12" x14ac:dyDescent="0.35">
      <c r="A135" t="s">
        <v>175</v>
      </c>
      <c r="B135" t="s">
        <v>244</v>
      </c>
      <c r="C135" t="s">
        <v>275</v>
      </c>
      <c r="D135" t="s">
        <v>409</v>
      </c>
      <c r="E135" t="s">
        <v>274</v>
      </c>
      <c r="F135" t="s">
        <v>321</v>
      </c>
      <c r="G135" t="s">
        <v>480</v>
      </c>
      <c r="H135" s="67">
        <v>670.44</v>
      </c>
      <c r="J135" t="s">
        <v>274</v>
      </c>
      <c r="K135" t="s">
        <v>321</v>
      </c>
      <c r="L135" s="67">
        <v>670.44</v>
      </c>
    </row>
    <row r="136" spans="1:12" x14ac:dyDescent="0.35">
      <c r="A136" t="s">
        <v>175</v>
      </c>
      <c r="B136" t="s">
        <v>244</v>
      </c>
      <c r="C136" t="s">
        <v>275</v>
      </c>
      <c r="D136" t="s">
        <v>410</v>
      </c>
      <c r="E136" t="s">
        <v>274</v>
      </c>
      <c r="F136" t="s">
        <v>321</v>
      </c>
      <c r="G136" t="s">
        <v>480</v>
      </c>
      <c r="H136" s="67">
        <v>525.48</v>
      </c>
      <c r="J136" t="s">
        <v>274</v>
      </c>
      <c r="K136" t="s">
        <v>321</v>
      </c>
      <c r="L136" s="67">
        <v>525.48</v>
      </c>
    </row>
    <row r="137" spans="1:12" x14ac:dyDescent="0.35">
      <c r="A137" s="68" t="s">
        <v>500</v>
      </c>
      <c r="B137" s="68"/>
      <c r="C137" s="68"/>
      <c r="D137" s="68"/>
      <c r="E137" s="68"/>
      <c r="F137" s="68"/>
      <c r="G137" s="68"/>
      <c r="H137" s="69">
        <v>46930.989999999991</v>
      </c>
      <c r="J137" s="68"/>
      <c r="K137" s="68"/>
      <c r="L137" s="69"/>
    </row>
    <row r="138" spans="1:12" x14ac:dyDescent="0.35">
      <c r="A138" t="s">
        <v>16</v>
      </c>
      <c r="H138" s="67">
        <v>62698.999999999993</v>
      </c>
      <c r="L138" s="67"/>
    </row>
  </sheetData>
  <autoFilter ref="J10:L10" xr:uid="{3594F221-91F4-44C4-BDDB-1C7BEEFC5FBC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D0861-A046-4229-93F5-C95E121288B9}">
  <sheetPr>
    <tabColor theme="2" tint="-0.249977111117893"/>
    <pageSetUpPr fitToPage="1"/>
  </sheetPr>
  <dimension ref="A1:V69"/>
  <sheetViews>
    <sheetView zoomScale="70" zoomScaleNormal="70" workbookViewId="0">
      <pane xSplit="2" ySplit="5" topLeftCell="C6" activePane="bottomRight" state="frozen"/>
      <selection pane="topRight"/>
      <selection pane="bottomLeft"/>
      <selection pane="bottomRight" activeCell="T25" sqref="T25"/>
    </sheetView>
  </sheetViews>
  <sheetFormatPr defaultColWidth="9.1796875" defaultRowHeight="14.5" x14ac:dyDescent="0.35"/>
  <cols>
    <col min="1" max="1" width="15" style="9" bestFit="1" customWidth="1"/>
    <col min="2" max="2" width="36.54296875" style="13" bestFit="1" customWidth="1"/>
    <col min="3" max="4" width="3.54296875" style="47" customWidth="1"/>
    <col min="5" max="15" width="15.453125" style="11" bestFit="1" customWidth="1"/>
    <col min="16" max="20" width="15.453125" style="11" customWidth="1"/>
    <col min="21" max="21" width="2.54296875" style="58" bestFit="1" customWidth="1"/>
    <col min="22" max="22" width="3.54296875" style="58" customWidth="1"/>
    <col min="23" max="16384" width="9.1796875" style="10"/>
  </cols>
  <sheetData>
    <row r="1" spans="1:22" ht="21" x14ac:dyDescent="0.5"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60"/>
      <c r="R1" s="60"/>
      <c r="S1" s="60"/>
      <c r="T1" s="60"/>
      <c r="U1" s="51"/>
      <c r="V1" s="51"/>
    </row>
    <row r="2" spans="1:22" ht="21" x14ac:dyDescent="0.5"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60"/>
      <c r="R2" s="60"/>
      <c r="S2" s="60"/>
      <c r="T2" s="60"/>
      <c r="U2" s="51"/>
      <c r="V2" s="51"/>
    </row>
    <row r="3" spans="1:22" s="42" customFormat="1" x14ac:dyDescent="0.35">
      <c r="A3" s="39"/>
      <c r="B3" s="40"/>
      <c r="C3" s="48"/>
      <c r="D3" s="48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52"/>
      <c r="V3" s="52"/>
    </row>
    <row r="4" spans="1:22" s="19" customFormat="1" ht="15.5" x14ac:dyDescent="0.35">
      <c r="A4" s="15"/>
      <c r="B4" s="16"/>
      <c r="C4" s="49"/>
      <c r="D4" s="49"/>
      <c r="E4" s="201" t="s">
        <v>111</v>
      </c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53"/>
      <c r="V4" s="53"/>
    </row>
    <row r="5" spans="1:22" s="22" customFormat="1" ht="15.5" x14ac:dyDescent="0.35">
      <c r="A5" s="43"/>
      <c r="B5" s="20"/>
      <c r="C5" s="50"/>
      <c r="D5" s="50"/>
      <c r="E5" s="21">
        <v>2008</v>
      </c>
      <c r="F5" s="21">
        <v>2009</v>
      </c>
      <c r="G5" s="21">
        <v>2010</v>
      </c>
      <c r="H5" s="21">
        <v>2011</v>
      </c>
      <c r="I5" s="21">
        <v>2012</v>
      </c>
      <c r="J5" s="21">
        <v>2013</v>
      </c>
      <c r="K5" s="21">
        <v>2014</v>
      </c>
      <c r="L5" s="21">
        <v>2015</v>
      </c>
      <c r="M5" s="21">
        <v>2016</v>
      </c>
      <c r="N5" s="21">
        <v>2017</v>
      </c>
      <c r="O5" s="44">
        <v>2018</v>
      </c>
      <c r="P5" s="44">
        <v>2019</v>
      </c>
      <c r="Q5" s="44">
        <v>2020</v>
      </c>
      <c r="R5" s="44">
        <v>2021</v>
      </c>
      <c r="S5" s="44">
        <v>2022</v>
      </c>
      <c r="T5" s="44">
        <v>2023</v>
      </c>
      <c r="U5" s="54"/>
      <c r="V5" s="54"/>
    </row>
    <row r="6" spans="1:22" s="18" customFormat="1" ht="15.5" x14ac:dyDescent="0.35">
      <c r="A6" s="14"/>
      <c r="B6" s="45" t="s">
        <v>49</v>
      </c>
      <c r="C6" s="37"/>
      <c r="D6" s="37"/>
      <c r="E6" s="46">
        <v>673224.92</v>
      </c>
      <c r="F6" s="46">
        <f t="shared" ref="F6:R6" si="0">E69</f>
        <v>821279.05999999982</v>
      </c>
      <c r="G6" s="46">
        <f t="shared" si="0"/>
        <v>971785.57999999914</v>
      </c>
      <c r="H6" s="46">
        <f t="shared" si="0"/>
        <v>1231982.8199999994</v>
      </c>
      <c r="I6" s="46">
        <f t="shared" si="0"/>
        <v>1119458.7899999996</v>
      </c>
      <c r="J6" s="46">
        <f t="shared" si="0"/>
        <v>957879.33999999915</v>
      </c>
      <c r="K6" s="46">
        <f t="shared" si="0"/>
        <v>1274930.0199999991</v>
      </c>
      <c r="L6" s="46">
        <f t="shared" si="0"/>
        <v>1384757.7399999993</v>
      </c>
      <c r="M6" s="46">
        <f t="shared" si="0"/>
        <v>1598681.1799999985</v>
      </c>
      <c r="N6" s="46">
        <f t="shared" si="0"/>
        <v>1227036.649999998</v>
      </c>
      <c r="O6" s="46">
        <f t="shared" si="0"/>
        <v>1031207.5099999988</v>
      </c>
      <c r="P6" s="46">
        <f t="shared" si="0"/>
        <v>1445067.0199999991</v>
      </c>
      <c r="Q6" s="46">
        <f t="shared" si="0"/>
        <v>1625992.6899999995</v>
      </c>
      <c r="R6" s="46">
        <f t="shared" si="0"/>
        <v>1755844.2299999988</v>
      </c>
      <c r="S6" s="46">
        <f>R69</f>
        <v>1927321.9999999986</v>
      </c>
      <c r="T6" s="46">
        <f>S69</f>
        <v>2082379.1399999983</v>
      </c>
      <c r="U6" s="55"/>
      <c r="V6" s="55"/>
    </row>
    <row r="7" spans="1:22" s="19" customFormat="1" ht="15.5" x14ac:dyDescent="0.35">
      <c r="A7" s="15"/>
      <c r="B7" s="16"/>
      <c r="C7" s="49"/>
      <c r="D7" s="49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53"/>
      <c r="V7" s="53"/>
    </row>
    <row r="8" spans="1:22" s="19" customFormat="1" ht="15.5" x14ac:dyDescent="0.35">
      <c r="A8" s="7" t="s">
        <v>0</v>
      </c>
      <c r="B8" s="16"/>
      <c r="C8" s="49"/>
      <c r="D8" s="49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56"/>
      <c r="V8" s="56"/>
    </row>
    <row r="9" spans="1:22" s="19" customFormat="1" ht="15.5" x14ac:dyDescent="0.35">
      <c r="A9" s="23" t="s">
        <v>115</v>
      </c>
      <c r="B9" s="16" t="s">
        <v>116</v>
      </c>
      <c r="C9" s="49"/>
      <c r="D9" s="49"/>
      <c r="E9" s="26">
        <f>-IFERROR(GETPIVOTDATA("[Measures].[Jrnl Posting Am]",'Historical Summary Cube'!$A$5,"[Accounting Period].[Fisc Yr]","[Accounting Period].[Fisc Yr].&amp;[2008]","[Revenue].[Rev Src]","[Revenue].[Rev Src].&amp;[1407]","[Revenue].[Rev Src Nm]","[Revenue].[Rev Src Nm].&amp;[REG INSECT &amp; FUNGICIDES]"),0)</f>
        <v>1301565</v>
      </c>
      <c r="F9" s="26">
        <f>-IFERROR(GETPIVOTDATA("[Measures].[Jrnl Posting Am]",'Historical Summary Cube'!$A$5,"[Accounting Period].[Fisc Yr]","[Accounting Period].[Fisc Yr].&amp;[2009]","[Revenue].[Rev Src]","[Revenue].[Rev Src].&amp;[1407]","[Revenue].[Rev Src Nm]","[Revenue].[Rev Src Nm].&amp;[REG INSECT &amp; FUNGICIDES]"),0)</f>
        <v>1329960</v>
      </c>
      <c r="G9" s="26">
        <f>-IFERROR(GETPIVOTDATA("[Measures].[Jrnl Posting Am]",'Historical Summary Cube'!$A$5,"[Accounting Period].[Fisc Yr]","[Accounting Period].[Fisc Yr].&amp;[2010]","[Revenue].[Rev Src]","[Revenue].[Rev Src].&amp;[1407]","[Revenue].[Rev Src Nm]","[Revenue].[Rev Src Nm].&amp;[REG INSECT &amp; FUNGICIDES]"),0)</f>
        <v>1551750</v>
      </c>
      <c r="H9" s="26">
        <f>-IFERROR(GETPIVOTDATA("[Measures].[Jrnl Posting Am]",'Historical Summary Cube'!$A$5,"[Accounting Period].[Fisc Yr]","[Accounting Period].[Fisc Yr].&amp;[2011]","[Revenue].[Rev Src]","[Revenue].[Rev Src].&amp;[1407]","[Revenue].[Rev Src Nm]","[Revenue].[Rev Src Nm].&amp;[REG INSECT &amp; FUNGICIDES]"),0)</f>
        <v>1620850</v>
      </c>
      <c r="I9" s="26">
        <f>-IFERROR(GETPIVOTDATA("[Measures].[Jrnl Posting Am]",'Historical Summary Cube'!$A$5,"[Accounting Period].[Fisc Yr]","[Accounting Period].[Fisc Yr].&amp;[2012]","[Revenue].[Rev Src]","[Revenue].[Rev Src].&amp;[1407]","[Revenue].[Rev Src Nm]","[Revenue].[Rev Src Nm].&amp;[REG INSECT &amp; FUNGICIDES]"),0)</f>
        <v>1696524.48</v>
      </c>
      <c r="J9" s="26">
        <f>-IFERROR(GETPIVOTDATA("[Measures].[Jrnl Posting Am]",'Historical Summary Cube'!$A$5,"[Accounting Period].[Fisc Yr]","[Accounting Period].[Fisc Yr].&amp;[2013]","[Revenue].[Rev Src]","[Revenue].[Rev Src].&amp;[1407]","[Revenue].[Rev Src Nm]","[Revenue].[Rev Src Nm].&amp;[REG INSECT &amp; FUNGICIDES]"),0)</f>
        <v>1724850</v>
      </c>
      <c r="K9" s="26">
        <f>-IFERROR(GETPIVOTDATA("[Measures].[Jrnl Posting Am]",'Historical Summary Cube'!$A$5,"[Accounting Period].[Fisc Yr]","[Accounting Period].[Fisc Yr].&amp;[2014]","[Revenue].[Rev Src]","[Revenue].[Rev Src].&amp;[1407]","[Revenue].[Rev Src Nm]","[Revenue].[Rev Src Nm].&amp;[REG INSECT &amp; FUNGICIDES]"),0)</f>
        <v>1817000</v>
      </c>
      <c r="L9" s="26">
        <f>-IFERROR(GETPIVOTDATA("[Measures].[Jrnl Posting Am]",'Historical Summary Cube'!$A$5,"[Accounting Period].[Fisc Yr]","[Accounting Period].[Fisc Yr].&amp;[2015]","[Revenue].[Rev Src]","[Revenue].[Rev Src].&amp;[1407]","[Revenue].[Rev Src Nm]","[Revenue].[Rev Src Nm].&amp;[REG INSECT &amp; FUNGICIDES]"),0)</f>
        <v>1922800</v>
      </c>
      <c r="M9" s="26">
        <f>-IFERROR(GETPIVOTDATA("[Measures].[Jrnl Posting Am]",'Historical Summary Cube'!$A$5,"[Accounting Period].[Fisc Yr]","[Accounting Period].[Fisc Yr].&amp;[2016]","[Revenue].[Rev Src]","[Revenue].[Rev Src].&amp;[1407]","[Revenue].[Rev Src Nm]","[Revenue].[Rev Src Nm].&amp;[REG INSECT &amp; FUNGICIDES]"),0)</f>
        <v>1956560</v>
      </c>
      <c r="N9" s="26">
        <f>-IFERROR(GETPIVOTDATA("[Measures].[Jrnl Posting Am]",'Historical Summary Cube'!$A$5,"[Accounting Period].[Fisc Yr]","[Accounting Period].[Fisc Yr].&amp;[2017]","[Revenue].[Rev Src]","[Revenue].[Rev Src].&amp;[1407]","[Revenue].[Rev Src Nm]","[Revenue].[Rev Src Nm].&amp;[REG INSECT &amp; FUNGICIDES]"),0)</f>
        <v>2027670</v>
      </c>
      <c r="O9" s="26">
        <f>-IFERROR(GETPIVOTDATA("[Measures].[Jrnl Posting Am]",'Historical Summary Cube'!$A$5,"[Accounting Period].[Fisc Yr]","[Accounting Period].[Fisc Yr].&amp;[2018]","[Revenue].[Rev Src]","[Revenue].[Rev Src].&amp;[1407]","[Revenue].[Rev Src Nm]","[Revenue].[Rev Src Nm].&amp;[REG INSECT &amp; FUNGICIDES]"),0)</f>
        <v>2036908</v>
      </c>
      <c r="P9" s="26">
        <f>-IFERROR(GETPIVOTDATA("[Measures].[Jrnl Posting Am]",'Historical Summary Cube'!$A$5,"[Accounting Period].[Fisc Yr]","[Accounting Period].[Fisc Yr].&amp;[2019]","[Revenue].[Rev Src]","[Revenue].[Rev Src].&amp;[1407]","[Revenue].[Rev Src Nm]","[Revenue].[Rev Src Nm].&amp;[REG INSECT &amp; FUNGICIDES]"),0)</f>
        <v>1995040</v>
      </c>
      <c r="Q9" s="26">
        <f>-IFERROR(GETPIVOTDATA("[Measures].[Jrnl Posting Am]",'Historical Summary Cube'!$A$5,"[Accounting Period].[Fisc Yr]","[Accounting Period].[Fisc Yr].&amp;[2020]","[Revenue].[Rev Src]","[Revenue].[Rev Src].&amp;[1407]","[Revenue].[Rev Src Nm]","[Revenue].[Rev Src Nm].&amp;[REG INSECT &amp; FUNGICIDES]"),0)</f>
        <v>2071680</v>
      </c>
      <c r="R9" s="26">
        <f>-IFERROR(GETPIVOTDATA("[Measures].[Jrnl Posting Am]",'Historical Summary Cube'!$A$5,"[Accounting Period].[Fisc Yr]","[Accounting Period].[Fisc Yr].&amp;[2021]","[Revenue].[Rev Src]","[Revenue].[Rev Src].&amp;[1407]","[Revenue].[Rev Src Nm]","[Revenue].[Rev Src Nm].&amp;[REG INSECT &amp; FUNGICIDES]"),0)</f>
        <v>2039041</v>
      </c>
      <c r="S9" s="26">
        <f>-IFERROR(GETPIVOTDATA("[Measures].[Jrnl Posting Am]",'Historical Summary Cube'!$A$5,"[Accounting Period].[Fisc Yr]","[Accounting Period].[Fisc Yr].&amp;[2022]","[Revenue].[Rev Src]","[Revenue].[Rev Src].&amp;[1407]","[Revenue].[Rev Src Nm]","[Revenue].[Rev Src Nm].&amp;[REG INSECT &amp; FUNGICIDES]"),0)</f>
        <v>2145120</v>
      </c>
      <c r="T9" s="26">
        <f>-IFERROR(GETPIVOTDATA("[Measures].[Jrnl Posting Am]",'Historical Summary Cube'!$A$5,"[Accounting Period].[Fisc Yr]","[Accounting Period].[Fisc Yr].&amp;[2023]","[Revenue].[Rev Src]","[Revenue].[Rev Src].&amp;[1407]","[Revenue].[Rev Src Nm]","[Revenue].[Rev Src Nm].&amp;[REG INSECT &amp; FUNGICIDES]"),0)</f>
        <v>1692800</v>
      </c>
      <c r="U9" s="55"/>
      <c r="V9" s="55"/>
    </row>
    <row r="10" spans="1:22" s="19" customFormat="1" ht="15.5" x14ac:dyDescent="0.35">
      <c r="A10" s="27" t="s">
        <v>18</v>
      </c>
      <c r="B10" s="16" t="s">
        <v>32</v>
      </c>
      <c r="C10" s="49"/>
      <c r="D10" s="49"/>
      <c r="E10" s="26">
        <f>-IFERROR(GETPIVOTDATA("[Measures].[Jrnl Posting Am]",'Historical Summary Cube'!$A$5,"[Accounting Period].[Fisc Yr]","[Accounting Period].[Fisc Yr].&amp;[2008]","[Revenue].[Rev Src]","[Revenue].[Rev Src].&amp;[1448]","[Revenue].[Rev Src Nm]","[Revenue].[Rev Src Nm].&amp;[SPECIAL LICENSES &amp; LEASES]"),0)</f>
        <v>106515</v>
      </c>
      <c r="F10" s="26">
        <f>-IFERROR(GETPIVOTDATA("[Measures].[Jrnl Posting Am]",'Historical Summary Cube'!$A$5,"[Accounting Period].[Fisc Yr]","[Accounting Period].[Fisc Yr].&amp;[2009]","[Revenue].[Rev Src]","[Revenue].[Rev Src].&amp;[1448]","[Revenue].[Rev Src Nm]","[Revenue].[Rev Src Nm].&amp;[SPECIAL LICENSES &amp; LEASES]"),0)</f>
        <v>102435</v>
      </c>
      <c r="G10" s="26">
        <f>-IFERROR(GETPIVOTDATA("[Measures].[Jrnl Posting Am]",'Historical Summary Cube'!$A$5,"[Accounting Period].[Fisc Yr]","[Accounting Period].[Fisc Yr].&amp;[2010]","[Revenue].[Rev Src]","[Revenue].[Rev Src].&amp;[1448]","[Revenue].[Rev Src Nm]","[Revenue].[Rev Src Nm].&amp;[SPECIAL LICENSES &amp; LEASES]"),0)</f>
        <v>114100</v>
      </c>
      <c r="H10" s="26">
        <f>-IFERROR(GETPIVOTDATA("[Measures].[Jrnl Posting Am]",'Historical Summary Cube'!$A$5,"[Accounting Period].[Fisc Yr]","[Accounting Period].[Fisc Yr].&amp;[2011]","[Revenue].[Rev Src]","[Revenue].[Rev Src].&amp;[1448]","[Revenue].[Rev Src Nm]","[Revenue].[Rev Src Nm].&amp;[SPECIAL LICENSES &amp; LEASES]"),0)</f>
        <v>108778</v>
      </c>
      <c r="I10" s="26">
        <f>-IFERROR(GETPIVOTDATA("[Measures].[Jrnl Posting Am]",'Historical Summary Cube'!$A$5,"[Accounting Period].[Fisc Yr]","[Accounting Period].[Fisc Yr].&amp;[2012]","[Revenue].[Rev Src]","[Revenue].[Rev Src].&amp;[1448]","[Revenue].[Rev Src Nm]","[Revenue].[Rev Src Nm].&amp;[SPECIAL LICENSES &amp; LEASES]"),0)</f>
        <v>117930</v>
      </c>
      <c r="J10" s="26">
        <f>-IFERROR(GETPIVOTDATA("[Measures].[Jrnl Posting Am]",'Historical Summary Cube'!$A$5,"[Accounting Period].[Fisc Yr]","[Accounting Period].[Fisc Yr].&amp;[2013]","[Revenue].[Rev Src]","[Revenue].[Rev Src].&amp;[1448]","[Revenue].[Rev Src Nm]","[Revenue].[Rev Src Nm].&amp;[SPECIAL LICENSES &amp; LEASES]"),0)</f>
        <v>114280</v>
      </c>
      <c r="K10" s="26">
        <f>-IFERROR(GETPIVOTDATA("[Measures].[Jrnl Posting Am]",'Historical Summary Cube'!$A$5,"[Accounting Period].[Fisc Yr]","[Accounting Period].[Fisc Yr].&amp;[2014]","[Revenue].[Rev Src]","[Revenue].[Rev Src].&amp;[1448]","[Revenue].[Rev Src Nm]","[Revenue].[Rev Src Nm].&amp;[SPECIAL LICENSES &amp; LEASES]"),0)</f>
        <v>124360</v>
      </c>
      <c r="L10" s="26">
        <f>-IFERROR(GETPIVOTDATA("[Measures].[Jrnl Posting Am]",'Historical Summary Cube'!$A$5,"[Accounting Period].[Fisc Yr]","[Accounting Period].[Fisc Yr].&amp;[2015]","[Revenue].[Rev Src]","[Revenue].[Rev Src].&amp;[1448]","[Revenue].[Rev Src Nm]","[Revenue].[Rev Src Nm].&amp;[SPECIAL LICENSES &amp; LEASES]"),0)</f>
        <v>132676</v>
      </c>
      <c r="M10" s="26">
        <f>-IFERROR(GETPIVOTDATA("[Measures].[Jrnl Posting Am]",'Historical Summary Cube'!$A$5,"[Accounting Period].[Fisc Yr]","[Accounting Period].[Fisc Yr].&amp;[2016]","[Revenue].[Rev Src]","[Revenue].[Rev Src].&amp;[1448]","[Revenue].[Rev Src Nm]","[Revenue].[Rev Src Nm].&amp;[SPECIAL LICENSES &amp; LEASES]"),0)</f>
        <v>135345</v>
      </c>
      <c r="N10" s="26">
        <f>-IFERROR(GETPIVOTDATA("[Measures].[Jrnl Posting Am]",'Historical Summary Cube'!$A$5,"[Accounting Period].[Fisc Yr]","[Accounting Period].[Fisc Yr].&amp;[2017]","[Revenue].[Rev Src]","[Revenue].[Rev Src].&amp;[1448]","[Revenue].[Rev Src Nm]","[Revenue].[Rev Src Nm].&amp;[SPECIAL LICENSES &amp; LEASES]"),0)</f>
        <v>166620</v>
      </c>
      <c r="O10" s="26">
        <f>-IFERROR(GETPIVOTDATA("[Measures].[Jrnl Posting Am]",'Historical Summary Cube'!$A$5,"[Accounting Period].[Fisc Yr]","[Accounting Period].[Fisc Yr].&amp;[2018]","[Revenue].[Rev Src]","[Revenue].[Rev Src].&amp;[1448]","[Revenue].[Rev Src Nm]","[Revenue].[Rev Src Nm].&amp;[SPECIAL LICENSES &amp; LEASES]"),0)</f>
        <v>176977.1</v>
      </c>
      <c r="P10" s="26">
        <f>-IFERROR(GETPIVOTDATA("[Measures].[Jrnl Posting Am]",'Historical Summary Cube'!$A$5,"[Accounting Period].[Fisc Yr]","[Accounting Period].[Fisc Yr].&amp;[2019]","[Revenue].[Rev Src]","[Revenue].[Rev Src].&amp;[1448]","[Revenue].[Rev Src Nm]","[Revenue].[Rev Src Nm].&amp;[SPECIAL LICENSES &amp; LEASES]"),0)</f>
        <v>87985</v>
      </c>
      <c r="Q10" s="26">
        <f>-IFERROR(GETPIVOTDATA("[Measures].[Jrnl Posting Am]",'Historical Summary Cube'!$A$5,"[Accounting Period].[Fisc Yr]","[Accounting Period].[Fisc Yr].&amp;[2020]","[Revenue].[Rev Src]","[Revenue].[Rev Src].&amp;[1448]","[Revenue].[Rev Src Nm]","[Revenue].[Rev Src Nm].&amp;[SPECIAL LICENSES &amp; LEASES]"),0)</f>
        <v>144232.01</v>
      </c>
      <c r="R10" s="26">
        <f>-IFERROR(GETPIVOTDATA("[Measures].[Jrnl Posting Am]",'Historical Summary Cube'!$A$5,"[Accounting Period].[Fisc Yr]","[Accounting Period].[Fisc Yr].&amp;[2021]","[Revenue].[Rev Src]","[Revenue].[Rev Src].&amp;[1448]","[Revenue].[Rev Src Nm]","[Revenue].[Rev Src Nm].&amp;[SPECIAL LICENSES &amp; LEASES]"),0)</f>
        <v>166465</v>
      </c>
      <c r="S10" s="26">
        <f>-IFERROR(GETPIVOTDATA("[Measures].[Jrnl Posting Am]",'Historical Summary Cube'!$A$5,"[Accounting Period].[Fisc Yr]","[Accounting Period].[Fisc Yr].&amp;[2022]","[Revenue].[Rev Src]","[Revenue].[Rev Src].&amp;[1448]","[Revenue].[Rev Src Nm]","[Revenue].[Rev Src Nm].&amp;[SPECIAL LICENSES &amp; LEASES]"),0)</f>
        <v>123645.35</v>
      </c>
      <c r="T10" s="26">
        <f>-IFERROR(GETPIVOTDATA("[Measures].[Jrnl Posting Am]",'Historical Summary Cube'!$A$5,"[Accounting Period].[Fisc Yr]","[Accounting Period].[Fisc Yr].&amp;[2023]","[Revenue].[Rev Src]","[Revenue].[Rev Src].&amp;[1448]","[Revenue].[Rev Src Nm]","[Revenue].[Rev Src Nm].&amp;[SPECIAL LICENSES &amp; LEASES]"),0)</f>
        <v>144740.03000000003</v>
      </c>
      <c r="U10" s="55"/>
      <c r="V10" s="55"/>
    </row>
    <row r="11" spans="1:22" s="19" customFormat="1" ht="15.5" x14ac:dyDescent="0.35">
      <c r="A11" s="27">
        <v>1959</v>
      </c>
      <c r="B11" s="16" t="s">
        <v>147</v>
      </c>
      <c r="C11" s="49"/>
      <c r="D11" s="49"/>
      <c r="E11" s="26">
        <f>-IFERROR(GETPIVOTDATA("[Measures].[Jrnl Posting Am]",'Historical Summary Cube'!$A$5,"[Accounting Period].[Fisc Yr]","[Accounting Period].[Fisc Yr].&amp;[2008]","[Revenue].[Rev Src]","[Revenue].[Rev Src].&amp;[1959]","[Revenue].[Rev Src Nm]","[Revenue].[Rev Src Nm].&amp;[REGISTRATION FEE]"),0)</f>
        <v>0</v>
      </c>
      <c r="F11" s="26">
        <f>-IFERROR(GETPIVOTDATA("[Measures].[Jrnl Posting Am]",'Historical Summary Cube'!$A$5,"[Accounting Period].[Fisc Yr]","[Accounting Period].[Fisc Yr].&amp;[2009]","[Revenue].[Rev Src]","[Revenue].[Rev Src].&amp;[1959]","[Revenue].[Rev Src Nm]","[Revenue].[Rev Src Nm].&amp;[REGISTRATION FEE]"),0)</f>
        <v>0</v>
      </c>
      <c r="G11" s="26">
        <f>-IFERROR(GETPIVOTDATA("[Measures].[Jrnl Posting Am]",'Historical Summary Cube'!$A$5,"[Accounting Period].[Fisc Yr]","[Accounting Period].[Fisc Yr].&amp;[2010]","[Revenue].[Rev Src]","[Revenue].[Rev Src].&amp;[1959]","[Revenue].[Rev Src Nm]","[Revenue].[Rev Src Nm].&amp;[REGISTRATION FEE]"),0)</f>
        <v>0</v>
      </c>
      <c r="H11" s="26">
        <f>-IFERROR(GETPIVOTDATA("[Measures].[Jrnl Posting Am]",'Historical Summary Cube'!$A$5,"[Accounting Period].[Fisc Yr]","[Accounting Period].[Fisc Yr].&amp;[2011]","[Revenue].[Rev Src]","[Revenue].[Rev Src].&amp;[1959]","[Revenue].[Rev Src Nm]","[Revenue].[Rev Src Nm].&amp;[REGISTRATION FEE]"),0)</f>
        <v>0</v>
      </c>
      <c r="I11" s="26">
        <f>-IFERROR(GETPIVOTDATA("[Measures].[Jrnl Posting Am]",'Historical Summary Cube'!$A$5,"[Accounting Period].[Fisc Yr]","[Accounting Period].[Fisc Yr].&amp;[2012]","[Revenue].[Rev Src]","[Revenue].[Rev Src].&amp;[1959]","[Revenue].[Rev Src Nm]","[Revenue].[Rev Src Nm].&amp;[REGISTRATION FEE]"),0)</f>
        <v>0</v>
      </c>
      <c r="J11" s="26">
        <f>-IFERROR(GETPIVOTDATA("[Measures].[Jrnl Posting Am]",'Historical Summary Cube'!$A$5,"[Accounting Period].[Fisc Yr]","[Accounting Period].[Fisc Yr].&amp;[2013]","[Revenue].[Rev Src]","[Revenue].[Rev Src].&amp;[1959]","[Revenue].[Rev Src Nm]","[Revenue].[Rev Src Nm].&amp;[REGISTRATION FEE]"),0)</f>
        <v>0</v>
      </c>
      <c r="K11" s="26">
        <f>-IFERROR(GETPIVOTDATA("[Measures].[Jrnl Posting Am]",'Historical Summary Cube'!$A$5,"[Accounting Period].[Fisc Yr]","[Accounting Period].[Fisc Yr].&amp;[2014]","[Revenue].[Rev Src]","[Revenue].[Rev Src].&amp;[1959]","[Revenue].[Rev Src Nm]","[Revenue].[Rev Src Nm].&amp;[REGISTRATION FEE]"),0)</f>
        <v>0</v>
      </c>
      <c r="L11" s="26">
        <f>-IFERROR(GETPIVOTDATA("[Measures].[Jrnl Posting Am]",'Historical Summary Cube'!$A$5,"[Accounting Period].[Fisc Yr]","[Accounting Period].[Fisc Yr].&amp;[2015]","[Revenue].[Rev Src]","[Revenue].[Rev Src].&amp;[1959]","[Revenue].[Rev Src Nm]","[Revenue].[Rev Src Nm].&amp;[REGISTRATION FEE]"),0)</f>
        <v>0</v>
      </c>
      <c r="M11" s="26">
        <f>-IFERROR(GETPIVOTDATA("[Measures].[Jrnl Posting Am]",'Historical Summary Cube'!$A$5,"[Accounting Period].[Fisc Yr]","[Accounting Period].[Fisc Yr].&amp;[2016]","[Revenue].[Rev Src]","[Revenue].[Rev Src].&amp;[1959]","[Revenue].[Rev Src Nm]","[Revenue].[Rev Src Nm].&amp;[REGISTRATION FEE]"),0)</f>
        <v>0</v>
      </c>
      <c r="N11" s="26">
        <f>-IFERROR(GETPIVOTDATA("[Measures].[Jrnl Posting Am]",'Historical Summary Cube'!$A$5,"[Accounting Period].[Fisc Yr]","[Accounting Period].[Fisc Yr].&amp;[2017]","[Revenue].[Rev Src]","[Revenue].[Rev Src].&amp;[1959]","[Revenue].[Rev Src Nm]","[Revenue].[Rev Src Nm].&amp;[REGISTRATION FEE]"),0)</f>
        <v>0</v>
      </c>
      <c r="O11" s="26">
        <f>-IFERROR(GETPIVOTDATA("[Measures].[Jrnl Posting Am]",'Historical Summary Cube'!$A$5,"[Accounting Period].[Fisc Yr]","[Accounting Period].[Fisc Yr].&amp;[2018]","[Revenue].[Rev Src]","[Revenue].[Rev Src].&amp;[1959]","[Revenue].[Rev Src Nm]","[Revenue].[Rev Src Nm].&amp;[REGISTRATION FEE]"),0)</f>
        <v>0</v>
      </c>
      <c r="P11" s="26">
        <f>-IFERROR(GETPIVOTDATA("[Measures].[Jrnl Posting Am]",'Historical Summary Cube'!$A$5,"[Accounting Period].[Fisc Yr]","[Accounting Period].[Fisc Yr].&amp;[2019]","[Revenue].[Rev Src]","[Revenue].[Rev Src].&amp;[1959]","[Revenue].[Rev Src Nm]","[Revenue].[Rev Src Nm].&amp;[REGISTRATION FEE]"),0)</f>
        <v>0</v>
      </c>
      <c r="Q11" s="26">
        <f>-IFERROR(GETPIVOTDATA("[Measures].[Jrnl Posting Am]",'Historical Summary Cube'!$A$5,"[Accounting Period].[Fisc Yr]","[Accounting Period].[Fisc Yr].&amp;[2020]","[Revenue].[Rev Src]","[Revenue].[Rev Src].&amp;[1959]","[Revenue].[Rev Src Nm]","[Revenue].[Rev Src Nm].&amp;[REGISTRATION FEE]"),0)</f>
        <v>150</v>
      </c>
      <c r="R11" s="26">
        <f>-IFERROR(GETPIVOTDATA("[Measures].[Jrnl Posting Am]",'Historical Summary Cube'!$A$5,"[Accounting Period].[Fisc Yr]","[Accounting Period].[Fisc Yr].&amp;[2021]","[Revenue].[Rev Src]","[Revenue].[Rev Src].&amp;[1959]","[Revenue].[Rev Src Nm]","[Revenue].[Rev Src Nm].&amp;[REGISTRATION FEE]"),0)</f>
        <v>0</v>
      </c>
      <c r="S11" s="26">
        <f>-IFERROR(GETPIVOTDATA("[Measures].[Jrnl Posting Am]",'Historical Summary Cube'!$A$5,"[Accounting Period].[Fisc Yr]","[Accounting Period].[Fisc Yr].&amp;[2022]","[Revenue].[Rev Src]","[Revenue].[Rev Src].&amp;[1959]","[Revenue].[Rev Src Nm]","[Revenue].[Rev Src Nm].&amp;[REGISTRATION FEE]"),0)</f>
        <v>0</v>
      </c>
      <c r="T11" s="26">
        <f>-IFERROR(GETPIVOTDATA("[Measures].[Jrnl Posting Am]",'Historical Summary Cube'!$A$5,"[Accounting Period].[Fisc Yr]","[Accounting Period].[Fisc Yr].&amp;[2023]","[Revenue].[Rev Src]","[Revenue].[Rev Src].&amp;[1959]","[Revenue].[Rev Src Nm]","[Revenue].[Rev Src Nm].&amp;[REGISTRATION FEE]"),0)</f>
        <v>0</v>
      </c>
      <c r="U11" s="55"/>
      <c r="V11" s="55"/>
    </row>
    <row r="12" spans="1:22" s="19" customFormat="1" ht="15.5" x14ac:dyDescent="0.35">
      <c r="A12" s="27">
        <v>2206</v>
      </c>
      <c r="B12" s="16" t="s">
        <v>141</v>
      </c>
      <c r="C12" s="49"/>
      <c r="D12" s="49"/>
      <c r="E12" s="26">
        <f>-IFERROR(GETPIVOTDATA("[Measures].[Jrnl Posting Am]",'Historical Summary Cube'!$A$5,"[Accounting Period].[Fisc Yr]","[Accounting Period].[Fisc Yr].&amp;[2008]","[Revenue].[Rev Src]","[Revenue].[Rev Src].&amp;[2206]","[Revenue].[Rev Src Nm]","[Revenue].[Rev Src Nm].&amp;[FED GRANTS FOR PUB HEALTH]"),0)</f>
        <v>0</v>
      </c>
      <c r="F12" s="26">
        <f>-IFERROR(GETPIVOTDATA("[Measures].[Jrnl Posting Am]",'Historical Summary Cube'!$A$5,"[Accounting Period].[Fisc Yr]","[Accounting Period].[Fisc Yr].&amp;[2009]","[Revenue].[Rev Src]","[Revenue].[Rev Src].&amp;[2206]","[Revenue].[Rev Src Nm]","[Revenue].[Rev Src Nm].&amp;[FED GRANTS FOR PUB HEALTH]"),0)</f>
        <v>0</v>
      </c>
      <c r="G12" s="26">
        <f>-IFERROR(GETPIVOTDATA("[Measures].[Jrnl Posting Am]",'Historical Summary Cube'!$A$5,"[Accounting Period].[Fisc Yr]","[Accounting Period].[Fisc Yr].&amp;[2010]","[Revenue].[Rev Src]","[Revenue].[Rev Src].&amp;[2206]","[Revenue].[Rev Src Nm]","[Revenue].[Rev Src Nm].&amp;[FED GRANTS FOR PUB HEALTH]"),0)</f>
        <v>0</v>
      </c>
      <c r="H12" s="26">
        <f>-IFERROR(GETPIVOTDATA("[Measures].[Jrnl Posting Am]",'Historical Summary Cube'!$A$5,"[Accounting Period].[Fisc Yr]","[Accounting Period].[Fisc Yr].&amp;[2011]","[Revenue].[Rev Src]","[Revenue].[Rev Src].&amp;[2206]","[Revenue].[Rev Src Nm]","[Revenue].[Rev Src Nm].&amp;[FED GRANTS FOR PUB HEALTH]"),0)</f>
        <v>0</v>
      </c>
      <c r="I12" s="26">
        <f>-IFERROR(GETPIVOTDATA("[Measures].[Jrnl Posting Am]",'Historical Summary Cube'!$A$5,"[Accounting Period].[Fisc Yr]","[Accounting Period].[Fisc Yr].&amp;[2012]","[Revenue].[Rev Src]","[Revenue].[Rev Src].&amp;[2206]","[Revenue].[Rev Src Nm]","[Revenue].[Rev Src Nm].&amp;[FED GRANTS FOR PUB HEALTH]"),0)</f>
        <v>0</v>
      </c>
      <c r="J12" s="26">
        <f>-IFERROR(GETPIVOTDATA("[Measures].[Jrnl Posting Am]",'Historical Summary Cube'!$A$5,"[Accounting Period].[Fisc Yr]","[Accounting Period].[Fisc Yr].&amp;[2013]","[Revenue].[Rev Src]","[Revenue].[Rev Src].&amp;[2206]","[Revenue].[Rev Src Nm]","[Revenue].[Rev Src Nm].&amp;[FED GRANTS FOR PUB HEALTH]"),0)</f>
        <v>0</v>
      </c>
      <c r="K12" s="26">
        <f>-IFERROR(GETPIVOTDATA("[Measures].[Jrnl Posting Am]",'Historical Summary Cube'!$A$5,"[Accounting Period].[Fisc Yr]","[Accounting Period].[Fisc Yr].&amp;[2014]","[Revenue].[Rev Src]","[Revenue].[Rev Src].&amp;[2206]","[Revenue].[Rev Src Nm]","[Revenue].[Rev Src Nm].&amp;[FED GRANTS FOR PUB HEALTH]"),0)</f>
        <v>0</v>
      </c>
      <c r="L12" s="26">
        <f>-IFERROR(GETPIVOTDATA("[Measures].[Jrnl Posting Am]",'Historical Summary Cube'!$A$5,"[Accounting Period].[Fisc Yr]","[Accounting Period].[Fisc Yr].&amp;[2015]","[Revenue].[Rev Src]","[Revenue].[Rev Src].&amp;[2206]","[Revenue].[Rev Src Nm]","[Revenue].[Rev Src Nm].&amp;[FED GRANTS FOR PUB HEALTH]"),0)</f>
        <v>0</v>
      </c>
      <c r="M12" s="26">
        <f>-IFERROR(GETPIVOTDATA("[Measures].[Jrnl Posting Am]",'Historical Summary Cube'!$A$5,"[Accounting Period].[Fisc Yr]","[Accounting Period].[Fisc Yr].&amp;[2016]","[Revenue].[Rev Src]","[Revenue].[Rev Src].&amp;[2206]","[Revenue].[Rev Src Nm]","[Revenue].[Rev Src Nm].&amp;[FED GRANTS FOR PUB HEALTH]"),0)</f>
        <v>0</v>
      </c>
      <c r="N12" s="26">
        <f>-IFERROR(GETPIVOTDATA("[Measures].[Jrnl Posting Am]",'Historical Summary Cube'!$A$5,"[Accounting Period].[Fisc Yr]","[Accounting Period].[Fisc Yr].&amp;[2017]","[Revenue].[Rev Src]","[Revenue].[Rev Src].&amp;[2206]","[Revenue].[Rev Src Nm]","[Revenue].[Rev Src Nm].&amp;[FED GRANTS FOR PUB HEALTH]"),0)</f>
        <v>0</v>
      </c>
      <c r="O12" s="26">
        <f>-IFERROR(GETPIVOTDATA("[Measures].[Jrnl Posting Am]",'Historical Summary Cube'!$A$5,"[Accounting Period].[Fisc Yr]","[Accounting Period].[Fisc Yr].&amp;[2018]","[Revenue].[Rev Src]","[Revenue].[Rev Src].&amp;[2206]","[Revenue].[Rev Src Nm]","[Revenue].[Rev Src Nm].&amp;[FED GRANTS FOR PUB HEALTH]"),0)</f>
        <v>4057.32</v>
      </c>
      <c r="P12" s="26">
        <f>-IFERROR(GETPIVOTDATA("[Measures].[Jrnl Posting Am]",'Historical Summary Cube'!$A$5,"[Accounting Period].[Fisc Yr]","[Accounting Period].[Fisc Yr].&amp;[2019]","[Revenue].[Rev Src]","[Revenue].[Rev Src].&amp;[2206]","[Revenue].[Rev Src Nm]","[Revenue].[Rev Src Nm].&amp;[FED GRANTS FOR PUB HEALTH]"),0)</f>
        <v>0</v>
      </c>
      <c r="Q12" s="26">
        <f>-IFERROR(GETPIVOTDATA("[Measures].[Jrnl Posting Am]",'Historical Summary Cube'!$A$5,"[Accounting Period].[Fisc Yr]","[Accounting Period].[Fisc Yr].&amp;[2020]","[Revenue].[Rev Src]","[Revenue].[Rev Src].&amp;[2206]","[Revenue].[Rev Src Nm]","[Revenue].[Rev Src Nm].&amp;[FED GRANTS FOR PUB HEALTH]"),0)</f>
        <v>0</v>
      </c>
      <c r="R12" s="26">
        <f>-IFERROR(GETPIVOTDATA("[Measures].[Jrnl Posting Am]",'Historical Summary Cube'!$A$5,"[Accounting Period].[Fisc Yr]","[Accounting Period].[Fisc Yr].&amp;[2021]","[Revenue].[Rev Src]","[Revenue].[Rev Src].&amp;[2206]","[Revenue].[Rev Src Nm]","[Revenue].[Rev Src Nm].&amp;[FED GRANTS FOR PUB HEALTH]"),0)</f>
        <v>0</v>
      </c>
      <c r="S12" s="26">
        <f>-IFERROR(GETPIVOTDATA("[Measures].[Jrnl Posting Am]",'Historical Summary Cube'!$A$5,"[Accounting Period].[Fisc Yr]","[Accounting Period].[Fisc Yr].&amp;[2022]","[Revenue].[Rev Src]","[Revenue].[Rev Src].&amp;[2206]","[Revenue].[Rev Src Nm]","[Revenue].[Rev Src Nm].&amp;[FED GRANTS FOR PUB HEALTH]"),0)</f>
        <v>0</v>
      </c>
      <c r="T12" s="26">
        <f>-IFERROR(GETPIVOTDATA("[Measures].[Jrnl Posting Am]",'Historical Summary Cube'!$A$5,"[Accounting Period].[Fisc Yr]","[Accounting Period].[Fisc Yr].&amp;[2023]","[Revenue].[Rev Src]","[Revenue].[Rev Src].&amp;[2206]","[Revenue].[Rev Src Nm]","[Revenue].[Rev Src Nm].&amp;[FED GRANTS FOR PUB HEALTH]"),0)</f>
        <v>0</v>
      </c>
      <c r="U12" s="55"/>
      <c r="V12" s="55"/>
    </row>
    <row r="13" spans="1:22" s="19" customFormat="1" ht="15.5" x14ac:dyDescent="0.35">
      <c r="A13" s="27">
        <v>2631</v>
      </c>
      <c r="B13" s="16" t="s">
        <v>33</v>
      </c>
      <c r="C13" s="49"/>
      <c r="D13" s="49"/>
      <c r="E13" s="26">
        <f>-IFERROR(GETPIVOTDATA("[Measures].[Jrnl Posting Am]",'Historical Summary Cube'!$A$5,"[Accounting Period].[Fisc Yr]","[Accounting Period].[Fisc Yr].&amp;[2008]","[Revenue].[Rev Src]","[Revenue].[Rev Src].&amp;[2631]","[Revenue].[Rev Src Nm]","[Revenue].[Rev Src Nm].&amp;[REGISTRATION FEES]"),0)</f>
        <v>340</v>
      </c>
      <c r="F13" s="26">
        <f>-IFERROR(GETPIVOTDATA("[Measures].[Jrnl Posting Am]",'Historical Summary Cube'!$A$5,"[Accounting Period].[Fisc Yr]","[Accounting Period].[Fisc Yr].&amp;[2009]","[Revenue].[Rev Src]","[Revenue].[Rev Src].&amp;[2631]","[Revenue].[Rev Src Nm]","[Revenue].[Rev Src Nm].&amp;[REGISTRATION FEES]"),0)</f>
        <v>360</v>
      </c>
      <c r="G13" s="26">
        <f>-IFERROR(GETPIVOTDATA("[Measures].[Jrnl Posting Am]",'Historical Summary Cube'!$A$5,"[Accounting Period].[Fisc Yr]","[Accounting Period].[Fisc Yr].&amp;[2010]","[Revenue].[Rev Src]","[Revenue].[Rev Src].&amp;[2631]","[Revenue].[Rev Src Nm]","[Revenue].[Rev Src Nm].&amp;[REGISTRATION FEES]"),0)</f>
        <v>360</v>
      </c>
      <c r="H13" s="26">
        <f>-IFERROR(GETPIVOTDATA("[Measures].[Jrnl Posting Am]",'Historical Summary Cube'!$A$5,"[Accounting Period].[Fisc Yr]","[Accounting Period].[Fisc Yr].&amp;[2011]","[Revenue].[Rev Src]","[Revenue].[Rev Src].&amp;[2631]","[Revenue].[Rev Src Nm]","[Revenue].[Rev Src Nm].&amp;[REGISTRATION FEES]"),0)</f>
        <v>300</v>
      </c>
      <c r="I13" s="26">
        <f>-IFERROR(GETPIVOTDATA("[Measures].[Jrnl Posting Am]",'Historical Summary Cube'!$A$5,"[Accounting Period].[Fisc Yr]","[Accounting Period].[Fisc Yr].&amp;[2012]","[Revenue].[Rev Src]","[Revenue].[Rev Src].&amp;[2631]","[Revenue].[Rev Src Nm]","[Revenue].[Rev Src Nm].&amp;[REGISTRATION FEES]"),0)</f>
        <v>360</v>
      </c>
      <c r="J13" s="26">
        <f>-IFERROR(GETPIVOTDATA("[Measures].[Jrnl Posting Am]",'Historical Summary Cube'!$A$5,"[Accounting Period].[Fisc Yr]","[Accounting Period].[Fisc Yr].&amp;[2013]","[Revenue].[Rev Src]","[Revenue].[Rev Src].&amp;[2631]","[Revenue].[Rev Src Nm]","[Revenue].[Rev Src Nm].&amp;[REGISTRATION FEES]"),0)</f>
        <v>400</v>
      </c>
      <c r="K13" s="26">
        <f>-IFERROR(GETPIVOTDATA("[Measures].[Jrnl Posting Am]",'Historical Summary Cube'!$A$5,"[Accounting Period].[Fisc Yr]","[Accounting Period].[Fisc Yr].&amp;[2014]","[Revenue].[Rev Src]","[Revenue].[Rev Src].&amp;[2631]","[Revenue].[Rev Src Nm]","[Revenue].[Rev Src Nm].&amp;[REGISTRATION FEES]"),0)</f>
        <v>380</v>
      </c>
      <c r="L13" s="26">
        <f>-IFERROR(GETPIVOTDATA("[Measures].[Jrnl Posting Am]",'Historical Summary Cube'!$A$5,"[Accounting Period].[Fisc Yr]","[Accounting Period].[Fisc Yr].&amp;[2015]","[Revenue].[Rev Src]","[Revenue].[Rev Src].&amp;[2631]","[Revenue].[Rev Src Nm]","[Revenue].[Rev Src Nm].&amp;[REGISTRATION FEES]"),0)</f>
        <v>460</v>
      </c>
      <c r="M13" s="26">
        <f>-IFERROR(GETPIVOTDATA("[Measures].[Jrnl Posting Am]",'Historical Summary Cube'!$A$5,"[Accounting Period].[Fisc Yr]","[Accounting Period].[Fisc Yr].&amp;[2016]","[Revenue].[Rev Src]","[Revenue].[Rev Src].&amp;[2631]","[Revenue].[Rev Src Nm]","[Revenue].[Rev Src Nm].&amp;[REGISTRATION FEES]"),0)</f>
        <v>540</v>
      </c>
      <c r="N13" s="26">
        <f>-IFERROR(GETPIVOTDATA("[Measures].[Jrnl Posting Am]",'Historical Summary Cube'!$A$5,"[Accounting Period].[Fisc Yr]","[Accounting Period].[Fisc Yr].&amp;[2017]","[Revenue].[Rev Src]","[Revenue].[Rev Src].&amp;[2631]","[Revenue].[Rev Src Nm]","[Revenue].[Rev Src Nm].&amp;[REGISTRATION FEES]"),0)</f>
        <v>580</v>
      </c>
      <c r="O13" s="26">
        <f>-IFERROR(GETPIVOTDATA("[Measures].[Jrnl Posting Am]",'Historical Summary Cube'!$A$5,"[Accounting Period].[Fisc Yr]","[Accounting Period].[Fisc Yr].&amp;[2018]","[Revenue].[Rev Src]","[Revenue].[Rev Src].&amp;[2631]","[Revenue].[Rev Src Nm]","[Revenue].[Rev Src Nm].&amp;[REGISTRATION FEES]"),0)</f>
        <v>963.3</v>
      </c>
      <c r="P13" s="26">
        <f>-IFERROR(GETPIVOTDATA("[Measures].[Jrnl Posting Am]",'Historical Summary Cube'!$A$5,"[Accounting Period].[Fisc Yr]","[Accounting Period].[Fisc Yr].&amp;[2019]","[Revenue].[Rev Src]","[Revenue].[Rev Src].&amp;[2631]","[Revenue].[Rev Src Nm]","[Revenue].[Rev Src Nm].&amp;[REGISTRATION FEES]"),0)</f>
        <v>560</v>
      </c>
      <c r="Q13" s="26">
        <f>-IFERROR(GETPIVOTDATA("[Measures].[Jrnl Posting Am]",'Historical Summary Cube'!$A$5,"[Accounting Period].[Fisc Yr]","[Accounting Period].[Fisc Yr].&amp;[2020]","[Revenue].[Rev Src]","[Revenue].[Rev Src].&amp;[2631]","[Revenue].[Rev Src Nm]","[Revenue].[Rev Src Nm].&amp;[REGISTRATION FEES]"),0)</f>
        <v>3291</v>
      </c>
      <c r="R13" s="26">
        <f>-IFERROR(GETPIVOTDATA("[Measures].[Jrnl Posting Am]",'Historical Summary Cube'!$A$5,"[Accounting Period].[Fisc Yr]","[Accounting Period].[Fisc Yr].&amp;[2021]","[Revenue].[Rev Src]","[Revenue].[Rev Src].&amp;[2631]","[Revenue].[Rev Src Nm]","[Revenue].[Rev Src Nm].&amp;[REGISTRATION FEES]"),0)</f>
        <v>0</v>
      </c>
      <c r="S13" s="26">
        <f>-IFERROR(GETPIVOTDATA("[Measures].[Jrnl Posting Am]",'Historical Summary Cube'!$A$5,"[Accounting Period].[Fisc Yr]","[Accounting Period].[Fisc Yr].&amp;[2022]","[Revenue].[Rev Src]","[Revenue].[Rev Src].&amp;[2631]","[Revenue].[Rev Src Nm]","[Revenue].[Rev Src Nm].&amp;[REGISTRATION FEES]"),0)</f>
        <v>0</v>
      </c>
      <c r="T13" s="26">
        <f>-IFERROR(GETPIVOTDATA("[Measures].[Jrnl Posting Am]",'Historical Summary Cube'!$A$5,"[Accounting Period].[Fisc Yr]","[Accounting Period].[Fisc Yr].&amp;[2023]","[Revenue].[Rev Src]","[Revenue].[Rev Src].&amp;[2631]","[Revenue].[Rev Src Nm]","[Revenue].[Rev Src Nm].&amp;[REGISTRATION FEES]"),0)</f>
        <v>0</v>
      </c>
      <c r="U13" s="55"/>
      <c r="V13" s="55"/>
    </row>
    <row r="14" spans="1:22" s="19" customFormat="1" ht="15.5" x14ac:dyDescent="0.35">
      <c r="A14" s="27" t="s">
        <v>19</v>
      </c>
      <c r="B14" s="16" t="s">
        <v>34</v>
      </c>
      <c r="C14" s="49"/>
      <c r="D14" s="49"/>
      <c r="E14" s="26">
        <f>-IFERROR(GETPIVOTDATA("[Measures].[Jrnl Posting Am]",'Historical Summary Cube'!$A$5,"[Accounting Period].[Fisc Yr]","[Accounting Period].[Fisc Yr].&amp;[2008]","[Revenue].[Rev Src]","[Revenue].[Rev Src].&amp;[2637]","[Revenue].[Rev Src Nm]","[Revenue].[Rev Src Nm].&amp;[MISC SERVICES &amp; FEES]"),0)</f>
        <v>3000</v>
      </c>
      <c r="F14" s="26">
        <f>-IFERROR(GETPIVOTDATA("[Measures].[Jrnl Posting Am]",'Historical Summary Cube'!$A$5,"[Accounting Period].[Fisc Yr]","[Accounting Period].[Fisc Yr].&amp;[2009]","[Revenue].[Rev Src]","[Revenue].[Rev Src].&amp;[2637]","[Revenue].[Rev Src Nm]","[Revenue].[Rev Src Nm].&amp;[MISC SERVICES &amp; FEES]"),0)</f>
        <v>5638.2800000000007</v>
      </c>
      <c r="G14" s="26">
        <f>-IFERROR(GETPIVOTDATA("[Measures].[Jrnl Posting Am]",'Historical Summary Cube'!$A$5,"[Accounting Period].[Fisc Yr]","[Accounting Period].[Fisc Yr].&amp;[2010]","[Revenue].[Rev Src]","[Revenue].[Rev Src].&amp;[2637]","[Revenue].[Rev Src Nm]","[Revenue].[Rev Src Nm].&amp;[MISC SERVICES &amp; FEES]"),0)</f>
        <v>12151.7</v>
      </c>
      <c r="H14" s="26">
        <f>-IFERROR(GETPIVOTDATA("[Measures].[Jrnl Posting Am]",'Historical Summary Cube'!$A$5,"[Accounting Period].[Fisc Yr]","[Accounting Period].[Fisc Yr].&amp;[2011]","[Revenue].[Rev Src]","[Revenue].[Rev Src].&amp;[2637]","[Revenue].[Rev Src Nm]","[Revenue].[Rev Src Nm].&amp;[MISC SERVICES &amp; FEES]"),0)</f>
        <v>18047.87</v>
      </c>
      <c r="I14" s="26">
        <f>-IFERROR(GETPIVOTDATA("[Measures].[Jrnl Posting Am]",'Historical Summary Cube'!$A$5,"[Accounting Period].[Fisc Yr]","[Accounting Period].[Fisc Yr].&amp;[2012]","[Revenue].[Rev Src]","[Revenue].[Rev Src].&amp;[2637]","[Revenue].[Rev Src Nm]","[Revenue].[Rev Src Nm].&amp;[MISC SERVICES &amp; FEES]"),0)</f>
        <v>39647.93</v>
      </c>
      <c r="J14" s="26">
        <f>-IFERROR(GETPIVOTDATA("[Measures].[Jrnl Posting Am]",'Historical Summary Cube'!$A$5,"[Accounting Period].[Fisc Yr]","[Accounting Period].[Fisc Yr].&amp;[2013]","[Revenue].[Rev Src]","[Revenue].[Rev Src].&amp;[2637]","[Revenue].[Rev Src Nm]","[Revenue].[Rev Src Nm].&amp;[MISC SERVICES &amp; FEES]"),0)</f>
        <v>19308.63</v>
      </c>
      <c r="K14" s="26">
        <f>-IFERROR(GETPIVOTDATA("[Measures].[Jrnl Posting Am]",'Historical Summary Cube'!$A$5,"[Accounting Period].[Fisc Yr]","[Accounting Period].[Fisc Yr].&amp;[2014]","[Revenue].[Rev Src]","[Revenue].[Rev Src].&amp;[2637]","[Revenue].[Rev Src Nm]","[Revenue].[Rev Src Nm].&amp;[MISC SERVICES &amp; FEES]"),0)</f>
        <v>663.43</v>
      </c>
      <c r="L14" s="26">
        <f>-IFERROR(GETPIVOTDATA("[Measures].[Jrnl Posting Am]",'Historical Summary Cube'!$A$5,"[Accounting Period].[Fisc Yr]","[Accounting Period].[Fisc Yr].&amp;[2015]","[Revenue].[Rev Src]","[Revenue].[Rev Src].&amp;[2637]","[Revenue].[Rev Src Nm]","[Revenue].[Rev Src Nm].&amp;[MISC SERVICES &amp; FEES]"),0)</f>
        <v>0</v>
      </c>
      <c r="M14" s="26">
        <f>-IFERROR(GETPIVOTDATA("[Measures].[Jrnl Posting Am]",'Historical Summary Cube'!$A$5,"[Accounting Period].[Fisc Yr]","[Accounting Period].[Fisc Yr].&amp;[2016]","[Revenue].[Rev Src]","[Revenue].[Rev Src].&amp;[2637]","[Revenue].[Rev Src Nm]","[Revenue].[Rev Src Nm].&amp;[MISC SERVICES &amp; FEES]"),0)</f>
        <v>875.15</v>
      </c>
      <c r="N14" s="26">
        <f>-IFERROR(GETPIVOTDATA("[Measures].[Jrnl Posting Am]",'Historical Summary Cube'!$A$5,"[Accounting Period].[Fisc Yr]","[Accounting Period].[Fisc Yr].&amp;[2017]","[Revenue].[Rev Src]","[Revenue].[Rev Src].&amp;[2637]","[Revenue].[Rev Src Nm]","[Revenue].[Rev Src Nm].&amp;[MISC SERVICES &amp; FEES]"),0)</f>
        <v>11750.029999999999</v>
      </c>
      <c r="O14" s="26">
        <f>-IFERROR(GETPIVOTDATA("[Measures].[Jrnl Posting Am]",'Historical Summary Cube'!$A$5,"[Accounting Period].[Fisc Yr]","[Accounting Period].[Fisc Yr].&amp;[2018]","[Revenue].[Rev Src]","[Revenue].[Rev Src].&amp;[2637]","[Revenue].[Rev Src Nm]","[Revenue].[Rev Src Nm].&amp;[MISC SERVICES &amp; FEES]"),0)</f>
        <v>13192.130000000001</v>
      </c>
      <c r="P14" s="26">
        <f>-IFERROR(GETPIVOTDATA("[Measures].[Jrnl Posting Am]",'Historical Summary Cube'!$A$5,"[Accounting Period].[Fisc Yr]","[Accounting Period].[Fisc Yr].&amp;[2019]","[Revenue].[Rev Src]","[Revenue].[Rev Src].&amp;[2637]","[Revenue].[Rev Src Nm]","[Revenue].[Rev Src Nm].&amp;[MISC SERVICES &amp; FEES]"),0)</f>
        <v>14167.689999999999</v>
      </c>
      <c r="Q14" s="26">
        <f>-IFERROR(GETPIVOTDATA("[Measures].[Jrnl Posting Am]",'Historical Summary Cube'!$A$5,"[Accounting Period].[Fisc Yr]","[Accounting Period].[Fisc Yr].&amp;[2020]","[Revenue].[Rev Src]","[Revenue].[Rev Src].&amp;[2637]","[Revenue].[Rev Src Nm]","[Revenue].[Rev Src Nm].&amp;[MISC SERVICES &amp; FEES]"),0)</f>
        <v>0</v>
      </c>
      <c r="R14" s="26">
        <f>-IFERROR(GETPIVOTDATA("[Measures].[Jrnl Posting Am]",'Historical Summary Cube'!$A$5,"[Accounting Period].[Fisc Yr]","[Accounting Period].[Fisc Yr].&amp;[2021]","[Revenue].[Rev Src]","[Revenue].[Rev Src].&amp;[2637]","[Revenue].[Rev Src Nm]","[Revenue].[Rev Src Nm].&amp;[MISC SERVICES &amp; FEES]"),0)</f>
        <v>0</v>
      </c>
      <c r="S14" s="26">
        <f>-IFERROR(GETPIVOTDATA("[Measures].[Jrnl Posting Am]",'Historical Summary Cube'!$A$5,"[Accounting Period].[Fisc Yr]","[Accounting Period].[Fisc Yr].&amp;[2022]","[Revenue].[Rev Src]","[Revenue].[Rev Src].&amp;[2637]","[Revenue].[Rev Src Nm]","[Revenue].[Rev Src Nm].&amp;[MISC SERVICES &amp; FEES]"),0)</f>
        <v>0</v>
      </c>
      <c r="T14" s="26">
        <f>-IFERROR(GETPIVOTDATA("[Measures].[Jrnl Posting Am]",'Historical Summary Cube'!$A$5,"[Accounting Period].[Fisc Yr]","[Accounting Period].[Fisc Yr].&amp;[2023]","[Revenue].[Rev Src]","[Revenue].[Rev Src].&amp;[2637]","[Revenue].[Rev Src Nm]","[Revenue].[Rev Src Nm].&amp;[MISC SERVICES &amp; FEES]"),0)</f>
        <v>0</v>
      </c>
      <c r="U14" s="55"/>
      <c r="V14" s="55"/>
    </row>
    <row r="15" spans="1:22" s="19" customFormat="1" ht="15.5" x14ac:dyDescent="0.35">
      <c r="A15" s="27">
        <v>2651</v>
      </c>
      <c r="B15" s="16" t="s">
        <v>121</v>
      </c>
      <c r="C15" s="49"/>
      <c r="D15" s="49"/>
      <c r="E15" s="26">
        <f>-IFERROR(GETPIVOTDATA("[Measures].[Jrnl Posting Am]",'Historical Summary Cube'!$A$5,"[Accounting Period].[Fisc Yr]","[Accounting Period].[Fisc Yr].&amp;[2008]","[Revenue].[Rev Src]","[Revenue].[Rev Src].&amp;[2651]","[Revenue].[Rev Src Nm]","[Revenue].[Rev Src Nm].&amp;[SALE LABELS CARTONS]"),0)</f>
        <v>746.4</v>
      </c>
      <c r="F15" s="26">
        <f>-IFERROR(GETPIVOTDATA("[Measures].[Jrnl Posting Am]",'Historical Summary Cube'!$A$5,"[Accounting Period].[Fisc Yr]","[Accounting Period].[Fisc Yr].&amp;[2009]","[Revenue].[Rev Src]","[Revenue].[Rev Src].&amp;[2651]","[Revenue].[Rev Src Nm]","[Revenue].[Rev Src Nm].&amp;[SALE LABELS CARTONS]"),0)</f>
        <v>588.16000000000008</v>
      </c>
      <c r="G15" s="26">
        <f>-IFERROR(GETPIVOTDATA("[Measures].[Jrnl Posting Am]",'Historical Summary Cube'!$A$5,"[Accounting Period].[Fisc Yr]","[Accounting Period].[Fisc Yr].&amp;[2010]","[Revenue].[Rev Src]","[Revenue].[Rev Src].&amp;[2651]","[Revenue].[Rev Src Nm]","[Revenue].[Rev Src Nm].&amp;[SALE LABELS CARTONS]"),0)</f>
        <v>1379.56</v>
      </c>
      <c r="H15" s="26">
        <f>-IFERROR(GETPIVOTDATA("[Measures].[Jrnl Posting Am]",'Historical Summary Cube'!$A$5,"[Accounting Period].[Fisc Yr]","[Accounting Period].[Fisc Yr].&amp;[2011]","[Revenue].[Rev Src]","[Revenue].[Rev Src].&amp;[2651]","[Revenue].[Rev Src Nm]","[Revenue].[Rev Src Nm].&amp;[SALE LABELS CARTONS]"),0)</f>
        <v>1976.44</v>
      </c>
      <c r="I15" s="26">
        <f>-IFERROR(GETPIVOTDATA("[Measures].[Jrnl Posting Am]",'Historical Summary Cube'!$A$5,"[Accounting Period].[Fisc Yr]","[Accounting Period].[Fisc Yr].&amp;[2012]","[Revenue].[Rev Src]","[Revenue].[Rev Src].&amp;[2651]","[Revenue].[Rev Src Nm]","[Revenue].[Rev Src Nm].&amp;[SALE LABELS CARTONS]"),0)</f>
        <v>1190.2</v>
      </c>
      <c r="J15" s="26">
        <f>-IFERROR(GETPIVOTDATA("[Measures].[Jrnl Posting Am]",'Historical Summary Cube'!$A$5,"[Accounting Period].[Fisc Yr]","[Accounting Period].[Fisc Yr].&amp;[2013]","[Revenue].[Rev Src]","[Revenue].[Rev Src].&amp;[2651]","[Revenue].[Rev Src Nm]","[Revenue].[Rev Src Nm].&amp;[SALE LABELS CARTONS]"),0)</f>
        <v>297</v>
      </c>
      <c r="K15" s="26">
        <f>-IFERROR(GETPIVOTDATA("[Measures].[Jrnl Posting Am]",'Historical Summary Cube'!$A$5,"[Accounting Period].[Fisc Yr]","[Accounting Period].[Fisc Yr].&amp;[2014]","[Revenue].[Rev Src]","[Revenue].[Rev Src].&amp;[2651]","[Revenue].[Rev Src Nm]","[Revenue].[Rev Src Nm].&amp;[SALE LABELS CARTONS]"),0)</f>
        <v>0</v>
      </c>
      <c r="L15" s="26">
        <f>-IFERROR(GETPIVOTDATA("[Measures].[Jrnl Posting Am]",'Historical Summary Cube'!$A$5,"[Accounting Period].[Fisc Yr]","[Accounting Period].[Fisc Yr].&amp;[2015]","[Revenue].[Rev Src]","[Revenue].[Rev Src].&amp;[2651]","[Revenue].[Rev Src Nm]","[Revenue].[Rev Src Nm].&amp;[SALE LABELS CARTONS]"),0)</f>
        <v>0</v>
      </c>
      <c r="M15" s="26">
        <f>-IFERROR(GETPIVOTDATA("[Measures].[Jrnl Posting Am]",'Historical Summary Cube'!$A$5,"[Accounting Period].[Fisc Yr]","[Accounting Period].[Fisc Yr].&amp;[2016]","[Revenue].[Rev Src]","[Revenue].[Rev Src].&amp;[2651]","[Revenue].[Rev Src Nm]","[Revenue].[Rev Src Nm].&amp;[SALE LABELS CARTONS]"),0)</f>
        <v>0</v>
      </c>
      <c r="N15" s="26">
        <f>-IFERROR(GETPIVOTDATA("[Measures].[Jrnl Posting Am]",'Historical Summary Cube'!$A$5,"[Accounting Period].[Fisc Yr]","[Accounting Period].[Fisc Yr].&amp;[2017]","[Revenue].[Rev Src]","[Revenue].[Rev Src].&amp;[2651]","[Revenue].[Rev Src Nm]","[Revenue].[Rev Src Nm].&amp;[SALE LABELS CARTONS]"),0)</f>
        <v>0</v>
      </c>
      <c r="O15" s="26">
        <f>-IFERROR(GETPIVOTDATA("[Measures].[Jrnl Posting Am]",'Historical Summary Cube'!$A$5,"[Accounting Period].[Fisc Yr]","[Accounting Period].[Fisc Yr].&amp;[2018]","[Revenue].[Rev Src]","[Revenue].[Rev Src].&amp;[2651]","[Revenue].[Rev Src Nm]","[Revenue].[Rev Src Nm].&amp;[SALE LABELS CARTONS]"),0)</f>
        <v>0</v>
      </c>
      <c r="P15" s="26">
        <f>-IFERROR(GETPIVOTDATA("[Measures].[Jrnl Posting Am]",'Historical Summary Cube'!$A$5,"[Accounting Period].[Fisc Yr]","[Accounting Period].[Fisc Yr].&amp;[2019]","[Revenue].[Rev Src]","[Revenue].[Rev Src].&amp;[2651]","[Revenue].[Rev Src Nm]","[Revenue].[Rev Src Nm].&amp;[SALE LABELS CARTONS]"),0)</f>
        <v>0</v>
      </c>
      <c r="Q15" s="26">
        <f>-IFERROR(GETPIVOTDATA("[Measures].[Jrnl Posting Am]",'Historical Summary Cube'!$A$5,"[Accounting Period].[Fisc Yr]","[Accounting Period].[Fisc Yr].&amp;[2020]","[Revenue].[Rev Src]","[Revenue].[Rev Src].&amp;[2651]","[Revenue].[Rev Src Nm]","[Revenue].[Rev Src Nm].&amp;[SALE LABELS CARTONS]"),0)</f>
        <v>0</v>
      </c>
      <c r="R15" s="26">
        <f>-IFERROR(GETPIVOTDATA("[Measures].[Jrnl Posting Am]",'Historical Summary Cube'!$A$5,"[Accounting Period].[Fisc Yr]","[Accounting Period].[Fisc Yr].&amp;[2021]","[Revenue].[Rev Src]","[Revenue].[Rev Src].&amp;[2651]","[Revenue].[Rev Src Nm]","[Revenue].[Rev Src Nm].&amp;[SALE LABELS CARTONS]"),0)</f>
        <v>0</v>
      </c>
      <c r="S15" s="26">
        <f>-IFERROR(GETPIVOTDATA("[Measures].[Jrnl Posting Am]",'Historical Summary Cube'!$A$5,"[Accounting Period].[Fisc Yr]","[Accounting Period].[Fisc Yr].&amp;[2022]","[Revenue].[Rev Src]","[Revenue].[Rev Src].&amp;[2651]","[Revenue].[Rev Src Nm]","[Revenue].[Rev Src Nm].&amp;[SALE LABELS CARTONS]"),0)</f>
        <v>0</v>
      </c>
      <c r="T15" s="26">
        <f>-IFERROR(GETPIVOTDATA("[Measures].[Jrnl Posting Am]",'Historical Summary Cube'!$A$5,"[Accounting Period].[Fisc Yr]","[Accounting Period].[Fisc Yr].&amp;[2023]","[Revenue].[Rev Src]","[Revenue].[Rev Src].&amp;[2651]","[Revenue].[Rev Src Nm]","[Revenue].[Rev Src Nm].&amp;[SALE LABELS CARTONS]"),0)</f>
        <v>0</v>
      </c>
      <c r="U15" s="55"/>
      <c r="V15" s="55"/>
    </row>
    <row r="16" spans="1:22" s="19" customFormat="1" ht="15.5" x14ac:dyDescent="0.35">
      <c r="A16" s="27">
        <v>2669</v>
      </c>
      <c r="B16" s="16" t="s">
        <v>123</v>
      </c>
      <c r="C16" s="49"/>
      <c r="D16" s="49"/>
      <c r="E16" s="26">
        <f>-IFERROR(GETPIVOTDATA("[Measures].[Jrnl Posting Am]",'Historical Summary Cube'!$A$5,"[Accounting Period].[Fisc Yr]","[Accounting Period].[Fisc Yr].&amp;[2008]","[Revenue].[Rev Src]","[Revenue].[Rev Src].&amp;[2669]","[Revenue].[Rev Src Nm]","[Revenue].[Rev Src Nm].&amp;[SALE MAILING LISTS]"),0)</f>
        <v>110</v>
      </c>
      <c r="F16" s="26">
        <f>-IFERROR(GETPIVOTDATA("[Measures].[Jrnl Posting Am]",'Historical Summary Cube'!$A$5,"[Accounting Period].[Fisc Yr]","[Accounting Period].[Fisc Yr].&amp;[2009]","[Revenue].[Rev Src]","[Revenue].[Rev Src].&amp;[2669]","[Revenue].[Rev Src Nm]","[Revenue].[Rev Src Nm].&amp;[SALE MAILING LISTS]"),0)</f>
        <v>32</v>
      </c>
      <c r="G16" s="26">
        <f>-IFERROR(GETPIVOTDATA("[Measures].[Jrnl Posting Am]",'Historical Summary Cube'!$A$5,"[Accounting Period].[Fisc Yr]","[Accounting Period].[Fisc Yr].&amp;[2010]","[Revenue].[Rev Src]","[Revenue].[Rev Src].&amp;[2669]","[Revenue].[Rev Src Nm]","[Revenue].[Rev Src Nm].&amp;[SALE MAILING LISTS]"),0)</f>
        <v>60</v>
      </c>
      <c r="H16" s="26">
        <f>-IFERROR(GETPIVOTDATA("[Measures].[Jrnl Posting Am]",'Historical Summary Cube'!$A$5,"[Accounting Period].[Fisc Yr]","[Accounting Period].[Fisc Yr].&amp;[2011]","[Revenue].[Rev Src]","[Revenue].[Rev Src].&amp;[2669]","[Revenue].[Rev Src Nm]","[Revenue].[Rev Src Nm].&amp;[SALE MAILING LISTS]"),0)</f>
        <v>200</v>
      </c>
      <c r="I16" s="26">
        <f>-IFERROR(GETPIVOTDATA("[Measures].[Jrnl Posting Am]",'Historical Summary Cube'!$A$5,"[Accounting Period].[Fisc Yr]","[Accounting Period].[Fisc Yr].&amp;[2012]","[Revenue].[Rev Src]","[Revenue].[Rev Src].&amp;[2669]","[Revenue].[Rev Src Nm]","[Revenue].[Rev Src Nm].&amp;[SALE MAILING LISTS]"),0)</f>
        <v>0</v>
      </c>
      <c r="J16" s="26">
        <f>-IFERROR(GETPIVOTDATA("[Measures].[Jrnl Posting Am]",'Historical Summary Cube'!$A$5,"[Accounting Period].[Fisc Yr]","[Accounting Period].[Fisc Yr].&amp;[2013]","[Revenue].[Rev Src]","[Revenue].[Rev Src].&amp;[2669]","[Revenue].[Rev Src Nm]","[Revenue].[Rev Src Nm].&amp;[SALE MAILING LISTS]"),0)</f>
        <v>0</v>
      </c>
      <c r="K16" s="26">
        <f>-IFERROR(GETPIVOTDATA("[Measures].[Jrnl Posting Am]",'Historical Summary Cube'!$A$5,"[Accounting Period].[Fisc Yr]","[Accounting Period].[Fisc Yr].&amp;[2014]","[Revenue].[Rev Src]","[Revenue].[Rev Src].&amp;[2669]","[Revenue].[Rev Src Nm]","[Revenue].[Rev Src Nm].&amp;[SALE MAILING LISTS]"),0)</f>
        <v>50</v>
      </c>
      <c r="L16" s="26">
        <f>-IFERROR(GETPIVOTDATA("[Measures].[Jrnl Posting Am]",'Historical Summary Cube'!$A$5,"[Accounting Period].[Fisc Yr]","[Accounting Period].[Fisc Yr].&amp;[2015]","[Revenue].[Rev Src]","[Revenue].[Rev Src].&amp;[2669]","[Revenue].[Rev Src Nm]","[Revenue].[Rev Src Nm].&amp;[SALE MAILING LISTS]"),0)</f>
        <v>0</v>
      </c>
      <c r="M16" s="26">
        <f>-IFERROR(GETPIVOTDATA("[Measures].[Jrnl Posting Am]",'Historical Summary Cube'!$A$5,"[Accounting Period].[Fisc Yr]","[Accounting Period].[Fisc Yr].&amp;[2016]","[Revenue].[Rev Src]","[Revenue].[Rev Src].&amp;[2669]","[Revenue].[Rev Src Nm]","[Revenue].[Rev Src Nm].&amp;[SALE MAILING LISTS]"),0)</f>
        <v>0</v>
      </c>
      <c r="N16" s="26">
        <f>-IFERROR(GETPIVOTDATA("[Measures].[Jrnl Posting Am]",'Historical Summary Cube'!$A$5,"[Accounting Period].[Fisc Yr]","[Accounting Period].[Fisc Yr].&amp;[2017]","[Revenue].[Rev Src]","[Revenue].[Rev Src].&amp;[2669]","[Revenue].[Rev Src Nm]","[Revenue].[Rev Src Nm].&amp;[SALE MAILING LISTS]"),0)</f>
        <v>0</v>
      </c>
      <c r="O16" s="26">
        <f>-IFERROR(GETPIVOTDATA("[Measures].[Jrnl Posting Am]",'Historical Summary Cube'!$A$5,"[Accounting Period].[Fisc Yr]","[Accounting Period].[Fisc Yr].&amp;[2018]","[Revenue].[Rev Src]","[Revenue].[Rev Src].&amp;[2669]","[Revenue].[Rev Src Nm]","[Revenue].[Rev Src Nm].&amp;[SALE MAILING LISTS]"),0)</f>
        <v>0</v>
      </c>
      <c r="P16" s="26">
        <f>-IFERROR(GETPIVOTDATA("[Measures].[Jrnl Posting Am]",'Historical Summary Cube'!$A$5,"[Accounting Period].[Fisc Yr]","[Accounting Period].[Fisc Yr].&amp;[2019]","[Revenue].[Rev Src]","[Revenue].[Rev Src].&amp;[2669]","[Revenue].[Rev Src Nm]","[Revenue].[Rev Src Nm].&amp;[SALE MAILING LISTS]"),0)</f>
        <v>0</v>
      </c>
      <c r="Q16" s="26">
        <f>-IFERROR(GETPIVOTDATA("[Measures].[Jrnl Posting Am]",'Historical Summary Cube'!$A$5,"[Accounting Period].[Fisc Yr]","[Accounting Period].[Fisc Yr].&amp;[2020]","[Revenue].[Rev Src]","[Revenue].[Rev Src].&amp;[2669]","[Revenue].[Rev Src Nm]","[Revenue].[Rev Src Nm].&amp;[SALE MAILING LISTS]"),0)</f>
        <v>0</v>
      </c>
      <c r="R16" s="26">
        <f>-IFERROR(GETPIVOTDATA("[Measures].[Jrnl Posting Am]",'Historical Summary Cube'!$A$5,"[Accounting Period].[Fisc Yr]","[Accounting Period].[Fisc Yr].&amp;[2021]","[Revenue].[Rev Src]","[Revenue].[Rev Src].&amp;[2669]","[Revenue].[Rev Src Nm]","[Revenue].[Rev Src Nm].&amp;[SALE MAILING LISTS]"),0)</f>
        <v>0</v>
      </c>
      <c r="S16" s="26">
        <f>-IFERROR(GETPIVOTDATA("[Measures].[Jrnl Posting Am]",'Historical Summary Cube'!$A$5,"[Accounting Period].[Fisc Yr]","[Accounting Period].[Fisc Yr].&amp;[2022]","[Revenue].[Rev Src]","[Revenue].[Rev Src].&amp;[2669]","[Revenue].[Rev Src Nm]","[Revenue].[Rev Src Nm].&amp;[SALE MAILING LISTS]"),0)</f>
        <v>0</v>
      </c>
      <c r="T16" s="26">
        <f>-IFERROR(GETPIVOTDATA("[Measures].[Jrnl Posting Am]",'Historical Summary Cube'!$A$5,"[Accounting Period].[Fisc Yr]","[Accounting Period].[Fisc Yr].&amp;[2023]","[Revenue].[Rev Src]","[Revenue].[Rev Src].&amp;[2669]","[Revenue].[Rev Src Nm]","[Revenue].[Rev Src Nm].&amp;[SALE MAILING LISTS]"),0)</f>
        <v>0</v>
      </c>
      <c r="U16" s="55"/>
      <c r="V16" s="55"/>
    </row>
    <row r="17" spans="1:22" s="19" customFormat="1" ht="15.5" x14ac:dyDescent="0.35">
      <c r="A17" s="27" t="s">
        <v>20</v>
      </c>
      <c r="B17" s="16" t="s">
        <v>35</v>
      </c>
      <c r="C17" s="49"/>
      <c r="D17" s="49"/>
      <c r="E17" s="26">
        <f>-IFERROR(GETPIVOTDATA("[Measures].[Jrnl Posting Am]",'Historical Summary Cube'!$A$5,"[Accounting Period].[Fisc Yr]","[Accounting Period].[Fisc Yr].&amp;[2008]","[Revenue].[Rev Src]","[Revenue].[Rev Src].&amp;[2671]","[Revenue].[Rev Src Nm]","[Revenue].[Rev Src Nm].&amp;[SALE OF PROMOTIONAL ITEMS]"),0)</f>
        <v>493.05</v>
      </c>
      <c r="F17" s="26">
        <f>-IFERROR(GETPIVOTDATA("[Measures].[Jrnl Posting Am]",'Historical Summary Cube'!$A$5,"[Accounting Period].[Fisc Yr]","[Accounting Period].[Fisc Yr].&amp;[2009]","[Revenue].[Rev Src]","[Revenue].[Rev Src].&amp;[2671]","[Revenue].[Rev Src Nm]","[Revenue].[Rev Src Nm].&amp;[SALE OF PROMOTIONAL ITEMS]"),0)</f>
        <v>3720</v>
      </c>
      <c r="G17" s="26">
        <f>-IFERROR(GETPIVOTDATA("[Measures].[Jrnl Posting Am]",'Historical Summary Cube'!$A$5,"[Accounting Period].[Fisc Yr]","[Accounting Period].[Fisc Yr].&amp;[2010]","[Revenue].[Rev Src]","[Revenue].[Rev Src].&amp;[2671]","[Revenue].[Rev Src Nm]","[Revenue].[Rev Src Nm].&amp;[SALE OF PROMOTIONAL ITEMS]"),0)</f>
        <v>0</v>
      </c>
      <c r="H17" s="26">
        <f>-IFERROR(GETPIVOTDATA("[Measures].[Jrnl Posting Am]",'Historical Summary Cube'!$A$5,"[Accounting Period].[Fisc Yr]","[Accounting Period].[Fisc Yr].&amp;[2011]","[Revenue].[Rev Src]","[Revenue].[Rev Src].&amp;[2671]","[Revenue].[Rev Src Nm]","[Revenue].[Rev Src Nm].&amp;[SALE OF PROMOTIONAL ITEMS]"),0)</f>
        <v>0</v>
      </c>
      <c r="I17" s="26">
        <f>-IFERROR(GETPIVOTDATA("[Measures].[Jrnl Posting Am]",'Historical Summary Cube'!$A$5,"[Accounting Period].[Fisc Yr]","[Accounting Period].[Fisc Yr].&amp;[2012]","[Revenue].[Rev Src]","[Revenue].[Rev Src].&amp;[2671]","[Revenue].[Rev Src Nm]","[Revenue].[Rev Src Nm].&amp;[SALE OF PROMOTIONAL ITEMS]"),0)</f>
        <v>0</v>
      </c>
      <c r="J17" s="26">
        <f>-IFERROR(GETPIVOTDATA("[Measures].[Jrnl Posting Am]",'Historical Summary Cube'!$A$5,"[Accounting Period].[Fisc Yr]","[Accounting Period].[Fisc Yr].&amp;[2013]","[Revenue].[Rev Src]","[Revenue].[Rev Src].&amp;[2671]","[Revenue].[Rev Src Nm]","[Revenue].[Rev Src Nm].&amp;[SALE OF PROMOTIONAL ITEMS]"),0)</f>
        <v>0</v>
      </c>
      <c r="K17" s="26">
        <f>-IFERROR(GETPIVOTDATA("[Measures].[Jrnl Posting Am]",'Historical Summary Cube'!$A$5,"[Accounting Period].[Fisc Yr]","[Accounting Period].[Fisc Yr].&amp;[2014]","[Revenue].[Rev Src]","[Revenue].[Rev Src].&amp;[2671]","[Revenue].[Rev Src Nm]","[Revenue].[Rev Src Nm].&amp;[SALE OF PROMOTIONAL ITEMS]"),0)</f>
        <v>0</v>
      </c>
      <c r="L17" s="26">
        <f>-IFERROR(GETPIVOTDATA("[Measures].[Jrnl Posting Am]",'Historical Summary Cube'!$A$5,"[Accounting Period].[Fisc Yr]","[Accounting Period].[Fisc Yr].&amp;[2015]","[Revenue].[Rev Src]","[Revenue].[Rev Src].&amp;[2671]","[Revenue].[Rev Src Nm]","[Revenue].[Rev Src Nm].&amp;[SALE OF PROMOTIONAL ITEMS]"),0)</f>
        <v>0</v>
      </c>
      <c r="M17" s="26">
        <f>-IFERROR(GETPIVOTDATA("[Measures].[Jrnl Posting Am]",'Historical Summary Cube'!$A$5,"[Accounting Period].[Fisc Yr]","[Accounting Period].[Fisc Yr].&amp;[2016]","[Revenue].[Rev Src]","[Revenue].[Rev Src].&amp;[2671]","[Revenue].[Rev Src Nm]","[Revenue].[Rev Src Nm].&amp;[SALE OF PROMOTIONAL ITEMS]"),0)</f>
        <v>0</v>
      </c>
      <c r="N17" s="26">
        <f>-IFERROR(GETPIVOTDATA("[Measures].[Jrnl Posting Am]",'Historical Summary Cube'!$A$5,"[Accounting Period].[Fisc Yr]","[Accounting Period].[Fisc Yr].&amp;[2017]","[Revenue].[Rev Src]","[Revenue].[Rev Src].&amp;[2671]","[Revenue].[Rev Src Nm]","[Revenue].[Rev Src Nm].&amp;[SALE OF PROMOTIONAL ITEMS]"),0)</f>
        <v>0</v>
      </c>
      <c r="O17" s="26">
        <f>-IFERROR(GETPIVOTDATA("[Measures].[Jrnl Posting Am]",'Historical Summary Cube'!$A$5,"[Accounting Period].[Fisc Yr]","[Accounting Period].[Fisc Yr].&amp;[2018]","[Revenue].[Rev Src]","[Revenue].[Rev Src].&amp;[2671]","[Revenue].[Rev Src Nm]","[Revenue].[Rev Src Nm].&amp;[SALE OF PROMOTIONAL ITEMS]"),0)</f>
        <v>0</v>
      </c>
      <c r="P17" s="26">
        <f>-IFERROR(GETPIVOTDATA("[Measures].[Jrnl Posting Am]",'Historical Summary Cube'!$A$5,"[Accounting Period].[Fisc Yr]","[Accounting Period].[Fisc Yr].&amp;[2019]","[Revenue].[Rev Src]","[Revenue].[Rev Src].&amp;[2671]","[Revenue].[Rev Src Nm]","[Revenue].[Rev Src Nm].&amp;[SALE OF PROMOTIONAL ITEMS]"),0)</f>
        <v>0</v>
      </c>
      <c r="Q17" s="26">
        <f>-IFERROR(GETPIVOTDATA("[Measures].[Jrnl Posting Am]",'Historical Summary Cube'!$A$5,"[Accounting Period].[Fisc Yr]","[Accounting Period].[Fisc Yr].&amp;[2020]","[Revenue].[Rev Src]","[Revenue].[Rev Src].&amp;[2671]","[Revenue].[Rev Src Nm]","[Revenue].[Rev Src Nm].&amp;[SALE OF PROMOTIONAL ITEMS]"),0)</f>
        <v>0</v>
      </c>
      <c r="R17" s="26">
        <f>-IFERROR(GETPIVOTDATA("[Measures].[Jrnl Posting Am]",'Historical Summary Cube'!$A$5,"[Accounting Period].[Fisc Yr]","[Accounting Period].[Fisc Yr].&amp;[2021]","[Revenue].[Rev Src]","[Revenue].[Rev Src].&amp;[2671]","[Revenue].[Rev Src Nm]","[Revenue].[Rev Src Nm].&amp;[SALE OF PROMOTIONAL ITEMS]"),0)</f>
        <v>0</v>
      </c>
      <c r="S17" s="26">
        <f>-IFERROR(GETPIVOTDATA("[Measures].[Jrnl Posting Am]",'Historical Summary Cube'!$A$5,"[Accounting Period].[Fisc Yr]","[Accounting Period].[Fisc Yr].&amp;[2022]","[Revenue].[Rev Src]","[Revenue].[Rev Src].&amp;[2671]","[Revenue].[Rev Src Nm]","[Revenue].[Rev Src Nm].&amp;[SALE OF PROMOTIONAL ITEMS]"),0)</f>
        <v>0</v>
      </c>
      <c r="T17" s="26">
        <f>-IFERROR(GETPIVOTDATA("[Measures].[Jrnl Posting Am]",'Historical Summary Cube'!$A$5,"[Accounting Period].[Fisc Yr]","[Accounting Period].[Fisc Yr].&amp;[2023]","[Revenue].[Rev Src]","[Revenue].[Rev Src].&amp;[2671]","[Revenue].[Rev Src Nm]","[Revenue].[Rev Src Nm].&amp;[SALE OF PROMOTIONAL ITEMS]"),0)</f>
        <v>0</v>
      </c>
      <c r="U17" s="55"/>
      <c r="V17" s="55"/>
    </row>
    <row r="18" spans="1:22" s="19" customFormat="1" ht="15.5" x14ac:dyDescent="0.35">
      <c r="A18" s="27">
        <v>2681</v>
      </c>
      <c r="B18" s="16" t="s">
        <v>36</v>
      </c>
      <c r="C18" s="49"/>
      <c r="D18" s="49"/>
      <c r="E18" s="26">
        <f>-IFERROR(GETPIVOTDATA("[Measures].[Jrnl Posting Am]",'Historical Summary Cube'!$A$5,"[Accounting Period].[Fisc Yr]","[Accounting Period].[Fisc Yr].&amp;[2008]","[Revenue].[Rev Src]","[Revenue].[Rev Src].&amp;[2681]","[Revenue].[Rev Src Nm]","[Revenue].[Rev Src Nm].&amp;[OVERPAYMENTS TO BE REFUNDED]"),0)</f>
        <v>0</v>
      </c>
      <c r="F18" s="26">
        <f>-IFERROR(GETPIVOTDATA("[Measures].[Jrnl Posting Am]",'Historical Summary Cube'!$A$5,"[Accounting Period].[Fisc Yr]","[Accounting Period].[Fisc Yr].&amp;[2009]","[Revenue].[Rev Src]","[Revenue].[Rev Src].&amp;[2681]","[Revenue].[Rev Src Nm]","[Revenue].[Rev Src Nm].&amp;[OVERPAYMENTS TO BE REFUNDED]"),0)</f>
        <v>80</v>
      </c>
      <c r="G18" s="26">
        <f>-IFERROR(GETPIVOTDATA("[Measures].[Jrnl Posting Am]",'Historical Summary Cube'!$A$5,"[Accounting Period].[Fisc Yr]","[Accounting Period].[Fisc Yr].&amp;[2010]","[Revenue].[Rev Src]","[Revenue].[Rev Src].&amp;[2681]","[Revenue].[Rev Src Nm]","[Revenue].[Rev Src Nm].&amp;[OVERPAYMENTS TO BE REFUNDED]"),0)</f>
        <v>0</v>
      </c>
      <c r="H18" s="26">
        <f>-IFERROR(GETPIVOTDATA("[Measures].[Jrnl Posting Am]",'Historical Summary Cube'!$A$5,"[Accounting Period].[Fisc Yr]","[Accounting Period].[Fisc Yr].&amp;[2011]","[Revenue].[Rev Src]","[Revenue].[Rev Src].&amp;[2681]","[Revenue].[Rev Src Nm]","[Revenue].[Rev Src Nm].&amp;[OVERPAYMENTS TO BE REFUNDED]"),0)</f>
        <v>0</v>
      </c>
      <c r="I18" s="26">
        <f>-IFERROR(GETPIVOTDATA("[Measures].[Jrnl Posting Am]",'Historical Summary Cube'!$A$5,"[Accounting Period].[Fisc Yr]","[Accounting Period].[Fisc Yr].&amp;[2012]","[Revenue].[Rev Src]","[Revenue].[Rev Src].&amp;[2681]","[Revenue].[Rev Src Nm]","[Revenue].[Rev Src Nm].&amp;[OVERPAYMENTS TO BE REFUNDED]"),0)</f>
        <v>0</v>
      </c>
      <c r="J18" s="26">
        <f>-IFERROR(GETPIVOTDATA("[Measures].[Jrnl Posting Am]",'Historical Summary Cube'!$A$5,"[Accounting Period].[Fisc Yr]","[Accounting Period].[Fisc Yr].&amp;[2013]","[Revenue].[Rev Src]","[Revenue].[Rev Src].&amp;[2681]","[Revenue].[Rev Src Nm]","[Revenue].[Rev Src Nm].&amp;[OVERPAYMENTS TO BE REFUNDED]"),0)</f>
        <v>0</v>
      </c>
      <c r="K18" s="26">
        <f>-IFERROR(GETPIVOTDATA("[Measures].[Jrnl Posting Am]",'Historical Summary Cube'!$A$5,"[Accounting Period].[Fisc Yr]","[Accounting Period].[Fisc Yr].&amp;[2014]","[Revenue].[Rev Src]","[Revenue].[Rev Src].&amp;[2681]","[Revenue].[Rev Src Nm]","[Revenue].[Rev Src Nm].&amp;[OVERPAYMENTS TO BE REFUNDED]"),0)</f>
        <v>0</v>
      </c>
      <c r="L18" s="26">
        <f>-IFERROR(GETPIVOTDATA("[Measures].[Jrnl Posting Am]",'Historical Summary Cube'!$A$5,"[Accounting Period].[Fisc Yr]","[Accounting Period].[Fisc Yr].&amp;[2015]","[Revenue].[Rev Src]","[Revenue].[Rev Src].&amp;[2681]","[Revenue].[Rev Src Nm]","[Revenue].[Rev Src Nm].&amp;[OVERPAYMENTS TO BE REFUNDED]"),0)</f>
        <v>0</v>
      </c>
      <c r="M18" s="26">
        <f>-IFERROR(GETPIVOTDATA("[Measures].[Jrnl Posting Am]",'Historical Summary Cube'!$A$5,"[Accounting Period].[Fisc Yr]","[Accounting Period].[Fisc Yr].&amp;[2016]","[Revenue].[Rev Src]","[Revenue].[Rev Src].&amp;[2681]","[Revenue].[Rev Src Nm]","[Revenue].[Rev Src Nm].&amp;[OVERPAYMENTS TO BE REFUNDED]"),0)</f>
        <v>0</v>
      </c>
      <c r="N18" s="26">
        <f>-IFERROR(GETPIVOTDATA("[Measures].[Jrnl Posting Am]",'Historical Summary Cube'!$A$5,"[Accounting Period].[Fisc Yr]","[Accounting Period].[Fisc Yr].&amp;[2017]","[Revenue].[Rev Src]","[Revenue].[Rev Src].&amp;[2681]","[Revenue].[Rev Src Nm]","[Revenue].[Rev Src Nm].&amp;[OVERPAYMENTS TO BE REFUNDED]"),0)</f>
        <v>0</v>
      </c>
      <c r="O18" s="26">
        <f>-IFERROR(GETPIVOTDATA("[Measures].[Jrnl Posting Am]",'Historical Summary Cube'!$A$5,"[Accounting Period].[Fisc Yr]","[Accounting Period].[Fisc Yr].&amp;[2018]","[Revenue].[Rev Src]","[Revenue].[Rev Src].&amp;[2681]","[Revenue].[Rev Src Nm]","[Revenue].[Rev Src Nm].&amp;[OVERPAYMENTS TO BE REFUNDED]"),0)</f>
        <v>0</v>
      </c>
      <c r="P18" s="26">
        <f>-IFERROR(GETPIVOTDATA("[Measures].[Jrnl Posting Am]",'Historical Summary Cube'!$A$5,"[Accounting Period].[Fisc Yr]","[Accounting Period].[Fisc Yr].&amp;[2019]","[Revenue].[Rev Src]","[Revenue].[Rev Src].&amp;[2681]","[Revenue].[Rev Src Nm]","[Revenue].[Rev Src Nm].&amp;[OVERPAYMENTS TO BE REFUNDED]"),0)</f>
        <v>0</v>
      </c>
      <c r="Q18" s="26">
        <f>-IFERROR(GETPIVOTDATA("[Measures].[Jrnl Posting Am]",'Historical Summary Cube'!$A$5,"[Accounting Period].[Fisc Yr]","[Accounting Period].[Fisc Yr].&amp;[2020]","[Revenue].[Rev Src]","[Revenue].[Rev Src].&amp;[2681]","[Revenue].[Rev Src Nm]","[Revenue].[Rev Src Nm].&amp;[OVERPAYMENTS TO BE REFUNDED]"),0)</f>
        <v>0</v>
      </c>
      <c r="R18" s="26">
        <f>-IFERROR(GETPIVOTDATA("[Measures].[Jrnl Posting Am]",'Historical Summary Cube'!$A$5,"[Accounting Period].[Fisc Yr]","[Accounting Period].[Fisc Yr].&amp;[2021]","[Revenue].[Rev Src]","[Revenue].[Rev Src].&amp;[2681]","[Revenue].[Rev Src Nm]","[Revenue].[Rev Src Nm].&amp;[OVERPAYMENTS TO BE REFUNDED]"),0)</f>
        <v>0</v>
      </c>
      <c r="S18" s="26">
        <f>-IFERROR(GETPIVOTDATA("[Measures].[Jrnl Posting Am]",'Historical Summary Cube'!$A$5,"[Accounting Period].[Fisc Yr]","[Accounting Period].[Fisc Yr].&amp;[2022]","[Revenue].[Rev Src]","[Revenue].[Rev Src].&amp;[2681]","[Revenue].[Rev Src Nm]","[Revenue].[Rev Src Nm].&amp;[OVERPAYMENTS TO BE REFUNDED]"),0)</f>
        <v>0</v>
      </c>
      <c r="T18" s="26">
        <f>-IFERROR(GETPIVOTDATA("[Measures].[Jrnl Posting Am]",'Historical Summary Cube'!$A$5,"[Accounting Period].[Fisc Yr]","[Accounting Period].[Fisc Yr].&amp;[2023]","[Revenue].[Rev Src]","[Revenue].[Rev Src].&amp;[2681]","[Revenue].[Rev Src Nm]","[Revenue].[Rev Src Nm].&amp;[OVERPAYMENTS TO BE REFUNDED]"),0)</f>
        <v>0</v>
      </c>
      <c r="U18" s="55"/>
      <c r="V18" s="55"/>
    </row>
    <row r="19" spans="1:22" s="19" customFormat="1" ht="15.5" x14ac:dyDescent="0.35">
      <c r="A19" s="27" t="s">
        <v>22</v>
      </c>
      <c r="B19" s="16" t="s">
        <v>37</v>
      </c>
      <c r="C19" s="49"/>
      <c r="D19" s="49"/>
      <c r="E19" s="26">
        <f>-IFERROR(GETPIVOTDATA("[Measures].[Jrnl Posting Am]",'Historical Summary Cube'!$A$5,"[Accounting Period].[Fisc Yr]","[Accounting Period].[Fisc Yr].&amp;[2008]","[Revenue].[Rev Src]","[Revenue].[Rev Src].&amp;[2686]","[Revenue].[Rev Src Nm]","[Revenue].[Rev Src Nm].&amp;[MISC-INCOME]"),0)</f>
        <v>10165</v>
      </c>
      <c r="F19" s="26">
        <f>-IFERROR(GETPIVOTDATA("[Measures].[Jrnl Posting Am]",'Historical Summary Cube'!$A$5,"[Accounting Period].[Fisc Yr]","[Accounting Period].[Fisc Yr].&amp;[2009]","[Revenue].[Rev Src]","[Revenue].[Rev Src].&amp;[2686]","[Revenue].[Rev Src Nm]","[Revenue].[Rev Src Nm].&amp;[MISC-INCOME]"),0)</f>
        <v>375</v>
      </c>
      <c r="G19" s="26">
        <f>-IFERROR(GETPIVOTDATA("[Measures].[Jrnl Posting Am]",'Historical Summary Cube'!$A$5,"[Accounting Period].[Fisc Yr]","[Accounting Period].[Fisc Yr].&amp;[2010]","[Revenue].[Rev Src]","[Revenue].[Rev Src].&amp;[2686]","[Revenue].[Rev Src Nm]","[Revenue].[Rev Src Nm].&amp;[MISC-INCOME]"),0)</f>
        <v>375</v>
      </c>
      <c r="H19" s="26">
        <f>-IFERROR(GETPIVOTDATA("[Measures].[Jrnl Posting Am]",'Historical Summary Cube'!$A$5,"[Accounting Period].[Fisc Yr]","[Accounting Period].[Fisc Yr].&amp;[2011]","[Revenue].[Rev Src]","[Revenue].[Rev Src].&amp;[2686]","[Revenue].[Rev Src Nm]","[Revenue].[Rev Src Nm].&amp;[MISC-INCOME]"),0)</f>
        <v>387.5</v>
      </c>
      <c r="I19" s="26">
        <f>-IFERROR(GETPIVOTDATA("[Measures].[Jrnl Posting Am]",'Historical Summary Cube'!$A$5,"[Accounting Period].[Fisc Yr]","[Accounting Period].[Fisc Yr].&amp;[2012]","[Revenue].[Rev Src]","[Revenue].[Rev Src].&amp;[2686]","[Revenue].[Rev Src Nm]","[Revenue].[Rev Src Nm].&amp;[MISC-INCOME]"),0)</f>
        <v>0</v>
      </c>
      <c r="J19" s="26">
        <f>-IFERROR(GETPIVOTDATA("[Measures].[Jrnl Posting Am]",'Historical Summary Cube'!$A$5,"[Accounting Period].[Fisc Yr]","[Accounting Period].[Fisc Yr].&amp;[2013]","[Revenue].[Rev Src]","[Revenue].[Rev Src].&amp;[2686]","[Revenue].[Rev Src Nm]","[Revenue].[Rev Src Nm].&amp;[MISC-INCOME]"),0)</f>
        <v>0</v>
      </c>
      <c r="K19" s="26">
        <f>-IFERROR(GETPIVOTDATA("[Measures].[Jrnl Posting Am]",'Historical Summary Cube'!$A$5,"[Accounting Period].[Fisc Yr]","[Accounting Period].[Fisc Yr].&amp;[2014]","[Revenue].[Rev Src]","[Revenue].[Rev Src].&amp;[2686]","[Revenue].[Rev Src Nm]","[Revenue].[Rev Src Nm].&amp;[MISC-INCOME]"),0)</f>
        <v>0</v>
      </c>
      <c r="L19" s="26">
        <f>-IFERROR(GETPIVOTDATA("[Measures].[Jrnl Posting Am]",'Historical Summary Cube'!$A$5,"[Accounting Period].[Fisc Yr]","[Accounting Period].[Fisc Yr].&amp;[2015]","[Revenue].[Rev Src]","[Revenue].[Rev Src].&amp;[2686]","[Revenue].[Rev Src Nm]","[Revenue].[Rev Src Nm].&amp;[MISC-INCOME]"),0)</f>
        <v>44.46</v>
      </c>
      <c r="M19" s="26">
        <f>-IFERROR(GETPIVOTDATA("[Measures].[Jrnl Posting Am]",'Historical Summary Cube'!$A$5,"[Accounting Period].[Fisc Yr]","[Accounting Period].[Fisc Yr].&amp;[2016]","[Revenue].[Rev Src]","[Revenue].[Rev Src].&amp;[2686]","[Revenue].[Rev Src Nm]","[Revenue].[Rev Src Nm].&amp;[MISC-INCOME]"),0)</f>
        <v>23.36</v>
      </c>
      <c r="N19" s="26">
        <f>-IFERROR(GETPIVOTDATA("[Measures].[Jrnl Posting Am]",'Historical Summary Cube'!$A$5,"[Accounting Period].[Fisc Yr]","[Accounting Period].[Fisc Yr].&amp;[2017]","[Revenue].[Rev Src]","[Revenue].[Rev Src].&amp;[2686]","[Revenue].[Rev Src Nm]","[Revenue].[Rev Src Nm].&amp;[MISC-INCOME]"),0)</f>
        <v>74.8</v>
      </c>
      <c r="O19" s="26">
        <f>-IFERROR(GETPIVOTDATA("[Measures].[Jrnl Posting Am]",'Historical Summary Cube'!$A$5,"[Accounting Period].[Fisc Yr]","[Accounting Period].[Fisc Yr].&amp;[2018]","[Revenue].[Rev Src]","[Revenue].[Rev Src].&amp;[2686]","[Revenue].[Rev Src Nm]","[Revenue].[Rev Src Nm].&amp;[MISC-INCOME]"),0)</f>
        <v>21.62</v>
      </c>
      <c r="P19" s="26">
        <f>-IFERROR(GETPIVOTDATA("[Measures].[Jrnl Posting Am]",'Historical Summary Cube'!$A$5,"[Accounting Period].[Fisc Yr]","[Accounting Period].[Fisc Yr].&amp;[2019]","[Revenue].[Rev Src]","[Revenue].[Rev Src].&amp;[2686]","[Revenue].[Rev Src Nm]","[Revenue].[Rev Src Nm].&amp;[MISC-INCOME]"),0)</f>
        <v>15</v>
      </c>
      <c r="Q19" s="26">
        <f>-IFERROR(GETPIVOTDATA("[Measures].[Jrnl Posting Am]",'Historical Summary Cube'!$A$5,"[Accounting Period].[Fisc Yr]","[Accounting Period].[Fisc Yr].&amp;[2020]","[Revenue].[Rev Src]","[Revenue].[Rev Src].&amp;[2686]","[Revenue].[Rev Src Nm]","[Revenue].[Rev Src Nm].&amp;[MISC-INCOME]"),0)</f>
        <v>3.26</v>
      </c>
      <c r="R19" s="26">
        <f>-IFERROR(GETPIVOTDATA("[Measures].[Jrnl Posting Am]",'Historical Summary Cube'!$A$5,"[Accounting Period].[Fisc Yr]","[Accounting Period].[Fisc Yr].&amp;[2021]","[Revenue].[Rev Src]","[Revenue].[Rev Src].&amp;[2686]","[Revenue].[Rev Src Nm]","[Revenue].[Rev Src Nm].&amp;[MISC-INCOME]"),0)</f>
        <v>858.35</v>
      </c>
      <c r="S19" s="26">
        <f>-IFERROR(GETPIVOTDATA("[Measures].[Jrnl Posting Am]",'Historical Summary Cube'!$A$5,"[Accounting Period].[Fisc Yr]","[Accounting Period].[Fisc Yr].&amp;[2022]","[Revenue].[Rev Src]","[Revenue].[Rev Src].&amp;[2686]","[Revenue].[Rev Src Nm]","[Revenue].[Rev Src Nm].&amp;[MISC-INCOME]"),0)</f>
        <v>5.63</v>
      </c>
      <c r="T19" s="26">
        <f>-IFERROR(GETPIVOTDATA("[Measures].[Jrnl Posting Am]",'Historical Summary Cube'!$A$5,"[Accounting Period].[Fisc Yr]","[Accounting Period].[Fisc Yr].&amp;[2023]","[Revenue].[Rev Src]","[Revenue].[Rev Src].&amp;[2686]","[Revenue].[Rev Src Nm]","[Revenue].[Rev Src Nm].&amp;[MISC-INCOME]"),0)</f>
        <v>0</v>
      </c>
      <c r="U19" s="55"/>
      <c r="V19" s="55"/>
    </row>
    <row r="20" spans="1:22" s="19" customFormat="1" ht="15.5" x14ac:dyDescent="0.35">
      <c r="A20" s="27">
        <v>2690</v>
      </c>
      <c r="B20" s="16" t="s">
        <v>139</v>
      </c>
      <c r="C20" s="49"/>
      <c r="D20" s="49"/>
      <c r="E20" s="26">
        <f>-IFERROR(GETPIVOTDATA("[Measures].[Jrnl Posting Am]",'Historical Summary Cube'!$A$5,"[Accounting Period].[Fisc Yr]","[Accounting Period].[Fisc Yr].&amp;[2008]","[Revenue].[Rev Src]","[Revenue].[Rev Src].&amp;[2690]","[Revenue].[Rev Src Nm]","[Revenue].[Rev Src Nm].&amp;[RECOVERED COST]"),0)</f>
        <v>0</v>
      </c>
      <c r="F20" s="26">
        <f>-IFERROR(GETPIVOTDATA("[Measures].[Jrnl Posting Am]",'Historical Summary Cube'!$A$5,"[Accounting Period].[Fisc Yr]","[Accounting Period].[Fisc Yr].&amp;[2009]","[Revenue].[Rev Src]","[Revenue].[Rev Src].&amp;[2690]","[Revenue].[Rev Src Nm]","[Revenue].[Rev Src Nm].&amp;[RECOVERED COST]"),0)</f>
        <v>0</v>
      </c>
      <c r="G20" s="26">
        <f>-IFERROR(GETPIVOTDATA("[Measures].[Jrnl Posting Am]",'Historical Summary Cube'!$A$5,"[Accounting Period].[Fisc Yr]","[Accounting Period].[Fisc Yr].&amp;[2010]","[Revenue].[Rev Src]","[Revenue].[Rev Src].&amp;[2690]","[Revenue].[Rev Src Nm]","[Revenue].[Rev Src Nm].&amp;[RECOVERED COST]"),0)</f>
        <v>0</v>
      </c>
      <c r="H20" s="26">
        <f>-IFERROR(GETPIVOTDATA("[Measures].[Jrnl Posting Am]",'Historical Summary Cube'!$A$5,"[Accounting Period].[Fisc Yr]","[Accounting Period].[Fisc Yr].&amp;[2011]","[Revenue].[Rev Src]","[Revenue].[Rev Src].&amp;[2690]","[Revenue].[Rev Src Nm]","[Revenue].[Rev Src Nm].&amp;[RECOVERED COST]"),0)</f>
        <v>0</v>
      </c>
      <c r="I20" s="26">
        <f>-IFERROR(GETPIVOTDATA("[Measures].[Jrnl Posting Am]",'Historical Summary Cube'!$A$5,"[Accounting Period].[Fisc Yr]","[Accounting Period].[Fisc Yr].&amp;[2012]","[Revenue].[Rev Src]","[Revenue].[Rev Src].&amp;[2690]","[Revenue].[Rev Src Nm]","[Revenue].[Rev Src Nm].&amp;[RECOVERED COST]"),0)</f>
        <v>0</v>
      </c>
      <c r="J20" s="26">
        <f>-IFERROR(GETPIVOTDATA("[Measures].[Jrnl Posting Am]",'Historical Summary Cube'!$A$5,"[Accounting Period].[Fisc Yr]","[Accounting Period].[Fisc Yr].&amp;[2013]","[Revenue].[Rev Src]","[Revenue].[Rev Src].&amp;[2690]","[Revenue].[Rev Src Nm]","[Revenue].[Rev Src Nm].&amp;[RECOVERED COST]"),0)</f>
        <v>0</v>
      </c>
      <c r="K20" s="26">
        <f>-IFERROR(GETPIVOTDATA("[Measures].[Jrnl Posting Am]",'Historical Summary Cube'!$A$5,"[Accounting Period].[Fisc Yr]","[Accounting Period].[Fisc Yr].&amp;[2014]","[Revenue].[Rev Src]","[Revenue].[Rev Src].&amp;[2690]","[Revenue].[Rev Src Nm]","[Revenue].[Rev Src Nm].&amp;[RECOVERED COST]"),0)</f>
        <v>0</v>
      </c>
      <c r="L20" s="26">
        <f>-IFERROR(GETPIVOTDATA("[Measures].[Jrnl Posting Am]",'Historical Summary Cube'!$A$5,"[Accounting Period].[Fisc Yr]","[Accounting Period].[Fisc Yr].&amp;[2015]","[Revenue].[Rev Src]","[Revenue].[Rev Src].&amp;[2690]","[Revenue].[Rev Src Nm]","[Revenue].[Rev Src Nm].&amp;[RECOVERED COST]"),0)</f>
        <v>0</v>
      </c>
      <c r="M20" s="26">
        <f>-IFERROR(GETPIVOTDATA("[Measures].[Jrnl Posting Am]",'Historical Summary Cube'!$A$5,"[Accounting Period].[Fisc Yr]","[Accounting Period].[Fisc Yr].&amp;[2016]","[Revenue].[Rev Src]","[Revenue].[Rev Src].&amp;[2690]","[Revenue].[Rev Src Nm]","[Revenue].[Rev Src Nm].&amp;[RECOVERED COST]"),0)</f>
        <v>0</v>
      </c>
      <c r="N20" s="26">
        <f>-IFERROR(GETPIVOTDATA("[Measures].[Jrnl Posting Am]",'Historical Summary Cube'!$A$5,"[Accounting Period].[Fisc Yr]","[Accounting Period].[Fisc Yr].&amp;[2017]","[Revenue].[Rev Src]","[Revenue].[Rev Src].&amp;[2690]","[Revenue].[Rev Src Nm]","[Revenue].[Rev Src Nm].&amp;[RECOVERED COST]"),0)</f>
        <v>0</v>
      </c>
      <c r="O20" s="26">
        <f>-IFERROR(GETPIVOTDATA("[Measures].[Jrnl Posting Am]",'Historical Summary Cube'!$A$5,"[Accounting Period].[Fisc Yr]","[Accounting Period].[Fisc Yr].&amp;[2018]","[Revenue].[Rev Src]","[Revenue].[Rev Src].&amp;[2690]","[Revenue].[Rev Src Nm]","[Revenue].[Rev Src Nm].&amp;[RECOVERED COST]"),0)</f>
        <v>82.5</v>
      </c>
      <c r="P20" s="26">
        <f>-IFERROR(GETPIVOTDATA("[Measures].[Jrnl Posting Am]",'Historical Summary Cube'!$A$5,"[Accounting Period].[Fisc Yr]","[Accounting Period].[Fisc Yr].&amp;[2019]","[Revenue].[Rev Src]","[Revenue].[Rev Src].&amp;[2690]","[Revenue].[Rev Src Nm]","[Revenue].[Rev Src Nm].&amp;[RECOVERED COST]"),0)</f>
        <v>0</v>
      </c>
      <c r="Q20" s="26">
        <f>-IFERROR(GETPIVOTDATA("[Measures].[Jrnl Posting Am]",'Historical Summary Cube'!$A$5,"[Accounting Period].[Fisc Yr]","[Accounting Period].[Fisc Yr].&amp;[2020]","[Revenue].[Rev Src]","[Revenue].[Rev Src].&amp;[2690]","[Revenue].[Rev Src Nm]","[Revenue].[Rev Src Nm].&amp;[RECOVERED COST]"),0)</f>
        <v>142.5</v>
      </c>
      <c r="R20" s="26">
        <f>-IFERROR(GETPIVOTDATA("[Measures].[Jrnl Posting Am]",'Historical Summary Cube'!$A$5,"[Accounting Period].[Fisc Yr]","[Accounting Period].[Fisc Yr].&amp;[2021]","[Revenue].[Rev Src]","[Revenue].[Rev Src].&amp;[2690]","[Revenue].[Rev Src Nm]","[Revenue].[Rev Src Nm].&amp;[RECOVERED COST]"),0)</f>
        <v>0</v>
      </c>
      <c r="S20" s="26">
        <f>-IFERROR(GETPIVOTDATA("[Measures].[Jrnl Posting Am]",'Historical Summary Cube'!$A$5,"[Accounting Period].[Fisc Yr]","[Accounting Period].[Fisc Yr].&amp;[2022]","[Revenue].[Rev Src]","[Revenue].[Rev Src].&amp;[2690]","[Revenue].[Rev Src Nm]","[Revenue].[Rev Src Nm].&amp;[RECOVERED COST]"),0)</f>
        <v>0</v>
      </c>
      <c r="T20" s="26">
        <f>-IFERROR(GETPIVOTDATA("[Measures].[Jrnl Posting Am]",'Historical Summary Cube'!$A$5,"[Accounting Period].[Fisc Yr]","[Accounting Period].[Fisc Yr].&amp;[2023]","[Revenue].[Rev Src]","[Revenue].[Rev Src].&amp;[2690]","[Revenue].[Rev Src Nm]","[Revenue].[Rev Src Nm].&amp;[RECOVERED COST]"),0)</f>
        <v>100</v>
      </c>
      <c r="U20" s="55"/>
      <c r="V20" s="55"/>
    </row>
    <row r="21" spans="1:22" s="19" customFormat="1" ht="15.5" x14ac:dyDescent="0.35">
      <c r="A21" s="27" t="s">
        <v>24</v>
      </c>
      <c r="B21" s="16" t="s">
        <v>39</v>
      </c>
      <c r="C21" s="49"/>
      <c r="D21" s="49"/>
      <c r="E21" s="26">
        <f>-IFERROR(GETPIVOTDATA("[Measures].[Jrnl Posting Am]",'Historical Summary Cube'!$A$5,"[Accounting Period].[Fisc Yr]","[Accounting Period].[Fisc Yr].&amp;[2008]","[Revenue].[Rev Src]","[Revenue].[Rev Src].&amp;[2934]","[Revenue].[Rev Src Nm]","[Revenue].[Rev Src Nm].&amp;[TRANS FROM GENERAL FD SURPLUS]"),0)</f>
        <v>0</v>
      </c>
      <c r="F21" s="26">
        <f>-IFERROR(GETPIVOTDATA("[Measures].[Jrnl Posting Am]",'Historical Summary Cube'!$A$5,"[Accounting Period].[Fisc Yr]","[Accounting Period].[Fisc Yr].&amp;[2009]","[Revenue].[Rev Src]","[Revenue].[Rev Src].&amp;[2934]","[Revenue].[Rev Src Nm]","[Revenue].[Rev Src Nm].&amp;[TRANS FROM GENERAL FD SURPLUS]"),0)</f>
        <v>0</v>
      </c>
      <c r="G21" s="26">
        <f>-IFERROR(GETPIVOTDATA("[Measures].[Jrnl Posting Am]",'Historical Summary Cube'!$A$5,"[Accounting Period].[Fisc Yr]","[Accounting Period].[Fisc Yr].&amp;[2010]","[Revenue].[Rev Src]","[Revenue].[Rev Src].&amp;[2934]","[Revenue].[Rev Src Nm]","[Revenue].[Rev Src Nm].&amp;[TRANS FROM GENERAL FD SURPLUS]"),0)</f>
        <v>-54183</v>
      </c>
      <c r="H21" s="26">
        <f>-IFERROR(GETPIVOTDATA("[Measures].[Jrnl Posting Am]",'Historical Summary Cube'!$A$5,"[Accounting Period].[Fisc Yr]","[Accounting Period].[Fisc Yr].&amp;[2011]","[Revenue].[Rev Src]","[Revenue].[Rev Src].&amp;[2934]","[Revenue].[Rev Src Nm]","[Revenue].[Rev Src Nm].&amp;[TRANS FROM GENERAL FD SURPLUS]"),0)</f>
        <v>-351931</v>
      </c>
      <c r="I21" s="26">
        <f>-IFERROR(GETPIVOTDATA("[Measures].[Jrnl Posting Am]",'Historical Summary Cube'!$A$5,"[Accounting Period].[Fisc Yr]","[Accounting Period].[Fisc Yr].&amp;[2012]","[Revenue].[Rev Src]","[Revenue].[Rev Src].&amp;[2934]","[Revenue].[Rev Src Nm]","[Revenue].[Rev Src Nm].&amp;[TRANS FROM GENERAL FD SURPLUS]"),0)</f>
        <v>0</v>
      </c>
      <c r="J21" s="26">
        <f>-IFERROR(GETPIVOTDATA("[Measures].[Jrnl Posting Am]",'Historical Summary Cube'!$A$5,"[Accounting Period].[Fisc Yr]","[Accounting Period].[Fisc Yr].&amp;[2013]","[Revenue].[Rev Src]","[Revenue].[Rev Src].&amp;[2934]","[Revenue].[Rev Src Nm]","[Revenue].[Rev Src Nm].&amp;[TRANS FROM GENERAL FD SURPLUS]"),0)</f>
        <v>0</v>
      </c>
      <c r="K21" s="26">
        <f>-IFERROR(GETPIVOTDATA("[Measures].[Jrnl Posting Am]",'Historical Summary Cube'!$A$5,"[Accounting Period].[Fisc Yr]","[Accounting Period].[Fisc Yr].&amp;[2014]","[Revenue].[Rev Src]","[Revenue].[Rev Src].&amp;[2934]","[Revenue].[Rev Src Nm]","[Revenue].[Rev Src Nm].&amp;[TRANS FROM GENERAL FD SURPLUS]"),0)</f>
        <v>0</v>
      </c>
      <c r="L21" s="26">
        <f>-IFERROR(GETPIVOTDATA("[Measures].[Jrnl Posting Am]",'Historical Summary Cube'!$A$5,"[Accounting Period].[Fisc Yr]","[Accounting Period].[Fisc Yr].&amp;[2015]","[Revenue].[Rev Src]","[Revenue].[Rev Src].&amp;[2934]","[Revenue].[Rev Src Nm]","[Revenue].[Rev Src Nm].&amp;[TRANS FROM GENERAL FD SURPLUS]"),0)</f>
        <v>0</v>
      </c>
      <c r="M21" s="26">
        <f>-IFERROR(GETPIVOTDATA("[Measures].[Jrnl Posting Am]",'Historical Summary Cube'!$A$5,"[Accounting Period].[Fisc Yr]","[Accounting Period].[Fisc Yr].&amp;[2016]","[Revenue].[Rev Src]","[Revenue].[Rev Src].&amp;[2934]","[Revenue].[Rev Src Nm]","[Revenue].[Rev Src Nm].&amp;[TRANS FROM GENERAL FD SURPLUS]"),0)</f>
        <v>0</v>
      </c>
      <c r="N21" s="26">
        <f>-IFERROR(GETPIVOTDATA("[Measures].[Jrnl Posting Am]",'Historical Summary Cube'!$A$5,"[Accounting Period].[Fisc Yr]","[Accounting Period].[Fisc Yr].&amp;[2017]","[Revenue].[Rev Src]","[Revenue].[Rev Src].&amp;[2934]","[Revenue].[Rev Src Nm]","[Revenue].[Rev Src Nm].&amp;[TRANS FROM GENERAL FD SURPLUS]"),0)</f>
        <v>0</v>
      </c>
      <c r="O21" s="26">
        <f>-IFERROR(GETPIVOTDATA("[Measures].[Jrnl Posting Am]",'Historical Summary Cube'!$A$5,"[Accounting Period].[Fisc Yr]","[Accounting Period].[Fisc Yr].&amp;[2018]","[Revenue].[Rev Src]","[Revenue].[Rev Src].&amp;[2934]","[Revenue].[Rev Src Nm]","[Revenue].[Rev Src Nm].&amp;[TRANS FROM GENERAL FD SURPLUS]"),0)</f>
        <v>0</v>
      </c>
      <c r="P21" s="26">
        <f>-IFERROR(GETPIVOTDATA("[Measures].[Jrnl Posting Am]",'Historical Summary Cube'!$A$5,"[Accounting Period].[Fisc Yr]","[Accounting Period].[Fisc Yr].&amp;[2019]","[Revenue].[Rev Src]","[Revenue].[Rev Src].&amp;[2934]","[Revenue].[Rev Src Nm]","[Revenue].[Rev Src Nm].&amp;[TRANS FROM GENERAL FD SURPLUS]"),0)</f>
        <v>0</v>
      </c>
      <c r="Q21" s="26">
        <f>-IFERROR(GETPIVOTDATA("[Measures].[Jrnl Posting Am]",'Historical Summary Cube'!$A$5,"[Accounting Period].[Fisc Yr]","[Accounting Period].[Fisc Yr].&amp;[2020]","[Revenue].[Rev Src]","[Revenue].[Rev Src].&amp;[2934]","[Revenue].[Rev Src Nm]","[Revenue].[Rev Src Nm].&amp;[TRANS FROM GENERAL FD SURPLUS]"),0)</f>
        <v>0</v>
      </c>
      <c r="R21" s="26">
        <f>-IFERROR(GETPIVOTDATA("[Measures].[Jrnl Posting Am]",'Historical Summary Cube'!$A$5,"[Accounting Period].[Fisc Yr]","[Accounting Period].[Fisc Yr].&amp;[2021]","[Revenue].[Rev Src]","[Revenue].[Rev Src].&amp;[2934]","[Revenue].[Rev Src Nm]","[Revenue].[Rev Src Nm].&amp;[TRANS FROM GENERAL FD SURPLUS]"),0)</f>
        <v>0</v>
      </c>
      <c r="S21" s="26">
        <f>-IFERROR(GETPIVOTDATA("[Measures].[Jrnl Posting Am]",'Historical Summary Cube'!$A$5,"[Accounting Period].[Fisc Yr]","[Accounting Period].[Fisc Yr].&amp;[2022]","[Revenue].[Rev Src]","[Revenue].[Rev Src].&amp;[2934]","[Revenue].[Rev Src Nm]","[Revenue].[Rev Src Nm].&amp;[TRANS FROM GENERAL FD SURPLUS]"),0)</f>
        <v>0</v>
      </c>
      <c r="T21" s="26">
        <f>-IFERROR(GETPIVOTDATA("[Measures].[Jrnl Posting Am]",'Historical Summary Cube'!$A$5,"[Accounting Period].[Fisc Yr]","[Accounting Period].[Fisc Yr].&amp;[2023]","[Revenue].[Rev Src]","[Revenue].[Rev Src].&amp;[2934]","[Revenue].[Rev Src Nm]","[Revenue].[Rev Src Nm].&amp;[TRANS FROM GENERAL FD SURPLUS]"),0)</f>
        <v>0</v>
      </c>
      <c r="U21" s="55"/>
      <c r="V21" s="55"/>
    </row>
    <row r="22" spans="1:22" s="19" customFormat="1" ht="15.5" x14ac:dyDescent="0.35">
      <c r="A22" s="27" t="s">
        <v>25</v>
      </c>
      <c r="B22" s="16" t="s">
        <v>40</v>
      </c>
      <c r="C22" s="49"/>
      <c r="D22" s="49"/>
      <c r="E22" s="26">
        <f>ROUND(-IFERROR(GETPIVOTDATA("[Measures].[Jrnl Posting Am]",'Historical Summary Cube'!$A$5,"[Accounting Period].[Fisc Yr]","[Accounting Period].[Fisc Yr].&amp;[2008]","[Revenue].[Rev Src]","[Revenue].[Rev Src].&amp;[2952]","[Revenue].[Rev Src Nm]","[Revenue].[Rev Src Nm].&amp;[ADJ TO PRIOR YEAR BAL/UNALLOCT]"),0),2)</f>
        <v>0</v>
      </c>
      <c r="F22" s="26">
        <f>-IFERROR(GETPIVOTDATA("[Measures].[Jrnl Posting Am]",'Historical Summary Cube'!$A$5,"[Accounting Period].[Fisc Yr]","[Accounting Period].[Fisc Yr].&amp;[2009]","[Revenue].[Rev Src]","[Revenue].[Rev Src].&amp;[2952]","[Revenue].[Rev Src Nm]","[Revenue].[Rev Src Nm].&amp;[ADJ TO PRIOR YEAR BAL/UNALLOCT]"),0)</f>
        <v>0</v>
      </c>
      <c r="G22" s="26">
        <f>-IFERROR(GETPIVOTDATA("[Measures].[Jrnl Posting Am]",'Historical Summary Cube'!$A$5,"[Accounting Period].[Fisc Yr]","[Accounting Period].[Fisc Yr].&amp;[2010]","[Revenue].[Rev Src]","[Revenue].[Rev Src].&amp;[2952]","[Revenue].[Rev Src Nm]","[Revenue].[Rev Src Nm].&amp;[ADJ TO PRIOR YEAR BAL/UNALLOCT]"),0)</f>
        <v>0</v>
      </c>
      <c r="H22" s="26">
        <f>-IFERROR(GETPIVOTDATA("[Measures].[Jrnl Posting Am]",'Historical Summary Cube'!$A$5,"[Accounting Period].[Fisc Yr]","[Accounting Period].[Fisc Yr].&amp;[2011]","[Revenue].[Rev Src]","[Revenue].[Rev Src].&amp;[2952]","[Revenue].[Rev Src Nm]","[Revenue].[Rev Src Nm].&amp;[ADJ TO PRIOR YEAR BAL/UNALLOCT]"),0)</f>
        <v>0</v>
      </c>
      <c r="I22" s="26">
        <f>-IFERROR(GETPIVOTDATA("[Measures].[Jrnl Posting Am]",'Historical Summary Cube'!$A$5,"[Accounting Period].[Fisc Yr]","[Accounting Period].[Fisc Yr].&amp;[2012]","[Revenue].[Rev Src]","[Revenue].[Rev Src].&amp;[2952]","[Revenue].[Rev Src Nm]","[Revenue].[Rev Src Nm].&amp;[ADJ TO PRIOR YEAR BAL/UNALLOCT]"),0)</f>
        <v>657.46999999976708</v>
      </c>
      <c r="J22" s="26">
        <f>-IFERROR(GETPIVOTDATA("[Measures].[Jrnl Posting Am]",'Historical Summary Cube'!$A$5,"[Accounting Period].[Fisc Yr]","[Accounting Period].[Fisc Yr].&amp;[2013]","[Revenue].[Rev Src]","[Revenue].[Rev Src].&amp;[2952]","[Revenue].[Rev Src Nm]","[Revenue].[Rev Src Nm].&amp;[ADJ TO PRIOR YEAR BAL/UNALLOCT]"),0)</f>
        <v>0</v>
      </c>
      <c r="K22" s="26">
        <f>-IFERROR(GETPIVOTDATA("[Measures].[Jrnl Posting Am]",'Historical Summary Cube'!$A$5,"[Accounting Period].[Fisc Yr]","[Accounting Period].[Fisc Yr].&amp;[2014]","[Revenue].[Rev Src]","[Revenue].[Rev Src].&amp;[2952]","[Revenue].[Rev Src Nm]","[Revenue].[Rev Src Nm].&amp;[ADJ TO PRIOR YEAR BAL/UNALLOCT]"),0)</f>
        <v>34.72</v>
      </c>
      <c r="L22" s="26">
        <f>-IFERROR(GETPIVOTDATA("[Measures].[Jrnl Posting Am]",'Historical Summary Cube'!$A$5,"[Accounting Period].[Fisc Yr]","[Accounting Period].[Fisc Yr].&amp;[2015]","[Revenue].[Rev Src]","[Revenue].[Rev Src].&amp;[2952]","[Revenue].[Rev Src Nm]","[Revenue].[Rev Src Nm].&amp;[ADJ TO PRIOR YEAR BAL/UNALLOCT]"),0)</f>
        <v>0</v>
      </c>
      <c r="M22" s="26">
        <f>-IFERROR(GETPIVOTDATA("[Measures].[Jrnl Posting Am]",'Historical Summary Cube'!$A$5,"[Accounting Period].[Fisc Yr]","[Accounting Period].[Fisc Yr].&amp;[2016]","[Revenue].[Rev Src]","[Revenue].[Rev Src].&amp;[2952]","[Revenue].[Rev Src Nm]","[Revenue].[Rev Src Nm].&amp;[ADJ TO PRIOR YEAR BAL/UNALLOCT]"),0)</f>
        <v>0</v>
      </c>
      <c r="N22" s="26">
        <f>-IFERROR(GETPIVOTDATA("[Measures].[Jrnl Posting Am]",'Historical Summary Cube'!$A$5,"[Accounting Period].[Fisc Yr]","[Accounting Period].[Fisc Yr].&amp;[2017]","[Revenue].[Rev Src]","[Revenue].[Rev Src].&amp;[2952]","[Revenue].[Rev Src Nm]","[Revenue].[Rev Src Nm].&amp;[ADJ TO PRIOR YEAR BAL/UNALLOCT]"),0)</f>
        <v>0</v>
      </c>
      <c r="O22" s="26">
        <f>-IFERROR(GETPIVOTDATA("[Measures].[Jrnl Posting Am]",'Historical Summary Cube'!$A$5,"[Accounting Period].[Fisc Yr]","[Accounting Period].[Fisc Yr].&amp;[2018]","[Revenue].[Rev Src]","[Revenue].[Rev Src].&amp;[2952]","[Revenue].[Rev Src Nm]","[Revenue].[Rev Src Nm].&amp;[ADJ TO PRIOR YEAR BAL/UNALLOCT]"),0)</f>
        <v>0</v>
      </c>
      <c r="P22" s="26">
        <f>-IFERROR(GETPIVOTDATA("[Measures].[Jrnl Posting Am]",'Historical Summary Cube'!$A$5,"[Accounting Period].[Fisc Yr]","[Accounting Period].[Fisc Yr].&amp;[2019]","[Revenue].[Rev Src]","[Revenue].[Rev Src].&amp;[2952]","[Revenue].[Rev Src Nm]","[Revenue].[Rev Src Nm].&amp;[ADJ TO PRIOR YEAR BAL/UNALLOCT]"),0)</f>
        <v>0</v>
      </c>
      <c r="Q22" s="26">
        <f>-IFERROR(GETPIVOTDATA("[Measures].[Jrnl Posting Am]",'Historical Summary Cube'!$A$5,"[Accounting Period].[Fisc Yr]","[Accounting Period].[Fisc Yr].&amp;[2020]","[Revenue].[Rev Src]","[Revenue].[Rev Src].&amp;[2952]","[Revenue].[Rev Src Nm]","[Revenue].[Rev Src Nm].&amp;[ADJ TO PRIOR YEAR BAL/UNALLOCT]"),0)</f>
        <v>0</v>
      </c>
      <c r="R22" s="26">
        <f>-IFERROR(GETPIVOTDATA("[Measures].[Jrnl Posting Am]",'Historical Summary Cube'!$A$5,"[Accounting Period].[Fisc Yr]","[Accounting Period].[Fisc Yr].&amp;[2021]","[Revenue].[Rev Src]","[Revenue].[Rev Src].&amp;[2952]","[Revenue].[Rev Src Nm]","[Revenue].[Rev Src Nm].&amp;[ADJ TO PRIOR YEAR BAL/UNALLOCT]"),0)</f>
        <v>0</v>
      </c>
      <c r="S22" s="26">
        <f>-IFERROR(GETPIVOTDATA("[Measures].[Jrnl Posting Am]",'Historical Summary Cube'!$A$5,"[Accounting Period].[Fisc Yr]","[Accounting Period].[Fisc Yr].&amp;[2022]","[Revenue].[Rev Src]","[Revenue].[Rev Src].&amp;[2952]","[Revenue].[Rev Src Nm]","[Revenue].[Rev Src Nm].&amp;[ADJ TO PRIOR YEAR BAL/UNALLOCT]"),0)</f>
        <v>0</v>
      </c>
      <c r="T22" s="26">
        <f>-IFERROR(GETPIVOTDATA("[Measures].[Jrnl Posting Am]",'Historical Summary Cube'!$A$5,"[Accounting Period].[Fisc Yr]","[Accounting Period].[Fisc Yr].&amp;[2023]","[Revenue].[Rev Src]","[Revenue].[Rev Src].&amp;[2952]","[Revenue].[Rev Src Nm]","[Revenue].[Rev Src Nm].&amp;[ADJ TO PRIOR YEAR BAL/UNALLOCT]"),0)</f>
        <v>0</v>
      </c>
      <c r="U22" s="55"/>
      <c r="V22" s="55"/>
    </row>
    <row r="23" spans="1:22" s="19" customFormat="1" ht="15.5" x14ac:dyDescent="0.35">
      <c r="A23" s="27" t="s">
        <v>26</v>
      </c>
      <c r="B23" s="16" t="s">
        <v>41</v>
      </c>
      <c r="C23" s="49"/>
      <c r="D23" s="49"/>
      <c r="E23" s="26">
        <f>-IFERROR(GETPIVOTDATA("[Measures].[Jrnl Posting Am]",'Historical Summary Cube'!$A$5,"[Accounting Period].[Fisc Yr]","[Accounting Period].[Fisc Yr].&amp;[2008]","[Revenue].[Rev Src]","[Revenue].[Rev Src].&amp;[2953]","[Revenue].[Rev Src Nm]","[Revenue].[Rev Src Nm].&amp;[ADJ OF ALL OTHER BALANCE FWD]"),0)</f>
        <v>8948.24</v>
      </c>
      <c r="F23" s="26">
        <f>-IFERROR(GETPIVOTDATA("[Measures].[Jrnl Posting Am]",'Historical Summary Cube'!$A$5,"[Accounting Period].[Fisc Yr]","[Accounting Period].[Fisc Yr].&amp;[2009]","[Revenue].[Rev Src]","[Revenue].[Rev Src].&amp;[2953]","[Revenue].[Rev Src Nm]","[Revenue].[Rev Src Nm].&amp;[ADJ OF ALL OTHER BALANCE FWD]"),0)</f>
        <v>37094.32</v>
      </c>
      <c r="G23" s="26">
        <f>-IFERROR(GETPIVOTDATA("[Measures].[Jrnl Posting Am]",'Historical Summary Cube'!$A$5,"[Accounting Period].[Fisc Yr]","[Accounting Period].[Fisc Yr].&amp;[2010]","[Revenue].[Rev Src]","[Revenue].[Rev Src].&amp;[2953]","[Revenue].[Rev Src Nm]","[Revenue].[Rev Src Nm].&amp;[ADJ OF ALL OTHER BALANCE FWD]"),0)</f>
        <v>-128.15</v>
      </c>
      <c r="H23" s="26">
        <f>-IFERROR(GETPIVOTDATA("[Measures].[Jrnl Posting Am]",'Historical Summary Cube'!$A$5,"[Accounting Period].[Fisc Yr]","[Accounting Period].[Fisc Yr].&amp;[2011]","[Revenue].[Rev Src]","[Revenue].[Rev Src].&amp;[2953]","[Revenue].[Rev Src Nm]","[Revenue].[Rev Src Nm].&amp;[ADJ OF ALL OTHER BALANCE FWD]"),0)</f>
        <v>50691.049999999996</v>
      </c>
      <c r="I23" s="26">
        <f>-IFERROR(GETPIVOTDATA("[Measures].[Jrnl Posting Am]",'Historical Summary Cube'!$A$5,"[Accounting Period].[Fisc Yr]","[Accounting Period].[Fisc Yr].&amp;[2012]","[Revenue].[Rev Src]","[Revenue].[Rev Src].&amp;[2953]","[Revenue].[Rev Src Nm]","[Revenue].[Rev Src Nm].&amp;[ADJ OF ALL OTHER BALANCE FWD]"),0)</f>
        <v>0</v>
      </c>
      <c r="J23" s="26">
        <f>-IFERROR(GETPIVOTDATA("[Measures].[Jrnl Posting Am]",'Historical Summary Cube'!$A$5,"[Accounting Period].[Fisc Yr]","[Accounting Period].[Fisc Yr].&amp;[2013]","[Revenue].[Rev Src]","[Revenue].[Rev Src].&amp;[2953]","[Revenue].[Rev Src Nm]","[Revenue].[Rev Src Nm].&amp;[ADJ OF ALL OTHER BALANCE FWD]"),0)</f>
        <v>0</v>
      </c>
      <c r="K23" s="26">
        <f>-IFERROR(GETPIVOTDATA("[Measures].[Jrnl Posting Am]",'Historical Summary Cube'!$A$5,"[Accounting Period].[Fisc Yr]","[Accounting Period].[Fisc Yr].&amp;[2014]","[Revenue].[Rev Src]","[Revenue].[Rev Src].&amp;[2953]","[Revenue].[Rev Src Nm]","[Revenue].[Rev Src Nm].&amp;[ADJ OF ALL OTHER BALANCE FWD]"),0)</f>
        <v>-6.9277916736609768E-14</v>
      </c>
      <c r="L23" s="26">
        <f>-IFERROR(GETPIVOTDATA("[Measures].[Jrnl Posting Am]",'Historical Summary Cube'!$A$5,"[Accounting Period].[Fisc Yr]","[Accounting Period].[Fisc Yr].&amp;[2015]","[Revenue].[Rev Src]","[Revenue].[Rev Src].&amp;[2953]","[Revenue].[Rev Src Nm]","[Revenue].[Rev Src Nm].&amp;[ADJ OF ALL OTHER BALANCE FWD]"),0)</f>
        <v>0</v>
      </c>
      <c r="M23" s="26">
        <f>-IFERROR(GETPIVOTDATA("[Measures].[Jrnl Posting Am]",'Historical Summary Cube'!$A$5,"[Accounting Period].[Fisc Yr]","[Accounting Period].[Fisc Yr].&amp;[2016]","[Revenue].[Rev Src]","[Revenue].[Rev Src].&amp;[2953]","[Revenue].[Rev Src Nm]","[Revenue].[Rev Src Nm].&amp;[ADJ OF ALL OTHER BALANCE FWD]"),0)</f>
        <v>-36.590000000000003</v>
      </c>
      <c r="N23" s="26">
        <f>-IFERROR(GETPIVOTDATA("[Measures].[Jrnl Posting Am]",'Historical Summary Cube'!$A$5,"[Accounting Period].[Fisc Yr]","[Accounting Period].[Fisc Yr].&amp;[2017]","[Revenue].[Rev Src]","[Revenue].[Rev Src].&amp;[2953]","[Revenue].[Rev Src Nm]","[Revenue].[Rev Src Nm].&amp;[ADJ OF ALL OTHER BALANCE FWD]"),0)</f>
        <v>638.14</v>
      </c>
      <c r="O23" s="26">
        <f>-IFERROR(GETPIVOTDATA("[Measures].[Jrnl Posting Am]",'Historical Summary Cube'!$A$5,"[Accounting Period].[Fisc Yr]","[Accounting Period].[Fisc Yr].&amp;[2018]","[Revenue].[Rev Src]","[Revenue].[Rev Src].&amp;[2953]","[Revenue].[Rev Src Nm]","[Revenue].[Rev Src Nm].&amp;[ADJ OF ALL OTHER BALANCE FWD]"),0)</f>
        <v>164600.45000000001</v>
      </c>
      <c r="P23" s="26">
        <f>-IFERROR(GETPIVOTDATA("[Measures].[Jrnl Posting Am]",'Historical Summary Cube'!$A$5,"[Accounting Period].[Fisc Yr]","[Accounting Period].[Fisc Yr].&amp;[2019]","[Revenue].[Rev Src]","[Revenue].[Rev Src].&amp;[2953]","[Revenue].[Rev Src Nm]","[Revenue].[Rev Src Nm].&amp;[ADJ OF ALL OTHER BALANCE FWD]"),0)</f>
        <v>0</v>
      </c>
      <c r="Q23" s="26">
        <f>-IFERROR(GETPIVOTDATA("[Measures].[Jrnl Posting Am]",'Historical Summary Cube'!$A$5,"[Accounting Period].[Fisc Yr]","[Accounting Period].[Fisc Yr].&amp;[2020]","[Revenue].[Rev Src]","[Revenue].[Rev Src].&amp;[2953]","[Revenue].[Rev Src Nm]","[Revenue].[Rev Src Nm].&amp;[ADJ OF ALL OTHER BALANCE FWD]"),0)</f>
        <v>-373.33</v>
      </c>
      <c r="R23" s="26">
        <f>-IFERROR(GETPIVOTDATA("[Measures].[Jrnl Posting Am]",'Historical Summary Cube'!$A$5,"[Accounting Period].[Fisc Yr]","[Accounting Period].[Fisc Yr].&amp;[2021]","[Revenue].[Rev Src]","[Revenue].[Rev Src].&amp;[2953]","[Revenue].[Rev Src Nm]","[Revenue].[Rev Src Nm].&amp;[ADJ OF ALL OTHER BALANCE FWD]"),0)</f>
        <v>66.69</v>
      </c>
      <c r="S23" s="26">
        <f>-IFERROR(GETPIVOTDATA("[Measures].[Jrnl Posting Am]",'Historical Summary Cube'!$A$5,"[Accounting Period].[Fisc Yr]","[Accounting Period].[Fisc Yr].&amp;[2022]","[Revenue].[Rev Src]","[Revenue].[Rev Src].&amp;[2953]","[Revenue].[Rev Src Nm]","[Revenue].[Rev Src Nm].&amp;[ADJ OF ALL OTHER BALANCE FWD]"),0)</f>
        <v>50771.01</v>
      </c>
      <c r="T23" s="26">
        <f>-IFERROR(GETPIVOTDATA("[Measures].[Jrnl Posting Am]",'Historical Summary Cube'!$A$5,"[Accounting Period].[Fisc Yr]","[Accounting Period].[Fisc Yr].&amp;[2023]","[Revenue].[Rev Src]","[Revenue].[Rev Src].&amp;[2953]","[Revenue].[Rev Src Nm]","[Revenue].[Rev Src Nm].&amp;[ADJ OF ALL OTHER BALANCE FWD]"),0)</f>
        <v>185.12</v>
      </c>
      <c r="U23" s="55"/>
      <c r="V23" s="55"/>
    </row>
    <row r="24" spans="1:22" s="19" customFormat="1" ht="15.5" x14ac:dyDescent="0.35">
      <c r="A24" s="27">
        <v>2955</v>
      </c>
      <c r="B24" s="16" t="s">
        <v>114</v>
      </c>
      <c r="C24" s="49"/>
      <c r="D24" s="49"/>
      <c r="E24" s="26">
        <f>-IFERROR(GETPIVOTDATA("[Measures].[Jrnl Posting Am]",'Historical Summary Cube'!$A$5,"[Accounting Period].[Fisc Yr]","[Accounting Period].[Fisc Yr].&amp;[2008]","[Revenue].[Rev Src]","[Revenue].[Rev Src].&amp;[2955]","[Revenue].[Rev Src Nm]","[Revenue].[Rev Src Nm].&amp;[ADJ OF PERS SERV BALANCE FWD]"),0)</f>
        <v>0</v>
      </c>
      <c r="F24" s="26">
        <f>-IFERROR(GETPIVOTDATA("[Measures].[Jrnl Posting Am]",'Historical Summary Cube'!$A$5,"[Accounting Period].[Fisc Yr]","[Accounting Period].[Fisc Yr].&amp;[2009]","[Revenue].[Rev Src]","[Revenue].[Rev Src].&amp;[2955]","[Revenue].[Rev Src Nm]","[Revenue].[Rev Src Nm].&amp;[ADJ OF PERS SERV BALANCE FWD]"),0)</f>
        <v>0</v>
      </c>
      <c r="G24" s="26">
        <f>-IFERROR(GETPIVOTDATA("[Measures].[Jrnl Posting Am]",'Historical Summary Cube'!$A$5,"[Accounting Period].[Fisc Yr]","[Accounting Period].[Fisc Yr].&amp;[2010]","[Revenue].[Rev Src]","[Revenue].[Rev Src].&amp;[2955]","[Revenue].[Rev Src Nm]","[Revenue].[Rev Src Nm].&amp;[ADJ OF PERS SERV BALANCE FWD]"),0)</f>
        <v>0</v>
      </c>
      <c r="H24" s="26">
        <f>-IFERROR(GETPIVOTDATA("[Measures].[Jrnl Posting Am]",'Historical Summary Cube'!$A$5,"[Accounting Period].[Fisc Yr]","[Accounting Period].[Fisc Yr].&amp;[2011]","[Revenue].[Rev Src]","[Revenue].[Rev Src].&amp;[2955]","[Revenue].[Rev Src Nm]","[Revenue].[Rev Src Nm].&amp;[ADJ OF PERS SERV BALANCE FWD]"),0)</f>
        <v>0</v>
      </c>
      <c r="I24" s="26">
        <f>-IFERROR(GETPIVOTDATA("[Measures].[Jrnl Posting Am]",'Historical Summary Cube'!$A$5,"[Accounting Period].[Fisc Yr]","[Accounting Period].[Fisc Yr].&amp;[2012]","[Revenue].[Rev Src]","[Revenue].[Rev Src].&amp;[2955]","[Revenue].[Rev Src Nm]","[Revenue].[Rev Src Nm].&amp;[ADJ OF PERS SERV BALANCE FWD]"),0)</f>
        <v>-43.63</v>
      </c>
      <c r="J24" s="26">
        <f>-IFERROR(GETPIVOTDATA("[Measures].[Jrnl Posting Am]",'Historical Summary Cube'!$A$5,"[Accounting Period].[Fisc Yr]","[Accounting Period].[Fisc Yr].&amp;[2013]","[Revenue].[Rev Src]","[Revenue].[Rev Src].&amp;[2955]","[Revenue].[Rev Src Nm]","[Revenue].[Rev Src Nm].&amp;[ADJ OF PERS SERV BALANCE FWD]"),0)</f>
        <v>0</v>
      </c>
      <c r="K24" s="26">
        <f>-IFERROR(GETPIVOTDATA("[Measures].[Jrnl Posting Am]",'Historical Summary Cube'!$A$5,"[Accounting Period].[Fisc Yr]","[Accounting Period].[Fisc Yr].&amp;[2014]","[Revenue].[Rev Src]","[Revenue].[Rev Src].&amp;[2955]","[Revenue].[Rev Src Nm]","[Revenue].[Rev Src Nm].&amp;[ADJ OF PERS SERV BALANCE FWD]"),0)</f>
        <v>0</v>
      </c>
      <c r="L24" s="26">
        <f>-IFERROR(GETPIVOTDATA("[Measures].[Jrnl Posting Am]",'Historical Summary Cube'!$A$5,"[Accounting Period].[Fisc Yr]","[Accounting Period].[Fisc Yr].&amp;[2015]","[Revenue].[Rev Src]","[Revenue].[Rev Src].&amp;[2955]","[Revenue].[Rev Src Nm]","[Revenue].[Rev Src Nm].&amp;[ADJ OF PERS SERV BALANCE FWD]"),0)</f>
        <v>0</v>
      </c>
      <c r="M24" s="26">
        <f>-IFERROR(GETPIVOTDATA("[Measures].[Jrnl Posting Am]",'Historical Summary Cube'!$A$5,"[Accounting Period].[Fisc Yr]","[Accounting Period].[Fisc Yr].&amp;[2016]","[Revenue].[Rev Src]","[Revenue].[Rev Src].&amp;[2955]","[Revenue].[Rev Src Nm]","[Revenue].[Rev Src Nm].&amp;[ADJ OF PERS SERV BALANCE FWD]"),0)</f>
        <v>0</v>
      </c>
      <c r="N24" s="26">
        <f>-IFERROR(GETPIVOTDATA("[Measures].[Jrnl Posting Am]",'Historical Summary Cube'!$A$5,"[Accounting Period].[Fisc Yr]","[Accounting Period].[Fisc Yr].&amp;[2017]","[Revenue].[Rev Src]","[Revenue].[Rev Src].&amp;[2955]","[Revenue].[Rev Src Nm]","[Revenue].[Rev Src Nm].&amp;[ADJ OF PERS SERV BALANCE FWD]"),0)</f>
        <v>0</v>
      </c>
      <c r="O24" s="26">
        <f>-IFERROR(GETPIVOTDATA("[Measures].[Jrnl Posting Am]",'Historical Summary Cube'!$A$5,"[Accounting Period].[Fisc Yr]","[Accounting Period].[Fisc Yr].&amp;[2018]","[Revenue].[Rev Src]","[Revenue].[Rev Src].&amp;[2955]","[Revenue].[Rev Src Nm]","[Revenue].[Rev Src Nm].&amp;[ADJ OF PERS SERV BALANCE FWD]"),0)</f>
        <v>0</v>
      </c>
      <c r="P24" s="26">
        <f>-IFERROR(GETPIVOTDATA("[Measures].[Jrnl Posting Am]",'Historical Summary Cube'!$A$5,"[Accounting Period].[Fisc Yr]","[Accounting Period].[Fisc Yr].&amp;[2019]","[Revenue].[Rev Src]","[Revenue].[Rev Src].&amp;[2955]","[Revenue].[Rev Src Nm]","[Revenue].[Rev Src Nm].&amp;[ADJ OF PERS SERV BALANCE FWD]"),0)</f>
        <v>0</v>
      </c>
      <c r="Q24" s="26">
        <f>-IFERROR(GETPIVOTDATA("[Measures].[Jrnl Posting Am]",'Historical Summary Cube'!$A$5,"[Accounting Period].[Fisc Yr]","[Accounting Period].[Fisc Yr].&amp;[2020]","[Revenue].[Rev Src]","[Revenue].[Rev Src].&amp;[2955]","[Revenue].[Rev Src Nm]","[Revenue].[Rev Src Nm].&amp;[ADJ OF PERS SERV BALANCE FWD]"),0)</f>
        <v>0</v>
      </c>
      <c r="R24" s="26">
        <f>-IFERROR(GETPIVOTDATA("[Measures].[Jrnl Posting Am]",'Historical Summary Cube'!$A$5,"[Accounting Period].[Fisc Yr]","[Accounting Period].[Fisc Yr].&amp;[2021]","[Revenue].[Rev Src]","[Revenue].[Rev Src].&amp;[2955]","[Revenue].[Rev Src Nm]","[Revenue].[Rev Src Nm].&amp;[ADJ OF PERS SERV BALANCE FWD]"),0)</f>
        <v>0</v>
      </c>
      <c r="S24" s="26">
        <f>-IFERROR(GETPIVOTDATA("[Measures].[Jrnl Posting Am]",'Historical Summary Cube'!$A$5,"[Accounting Period].[Fisc Yr]","[Accounting Period].[Fisc Yr].&amp;[2022]","[Revenue].[Rev Src]","[Revenue].[Rev Src].&amp;[2955]","[Revenue].[Rev Src Nm]","[Revenue].[Rev Src Nm].&amp;[ADJ OF PERS SERV BALANCE FWD]"),0)</f>
        <v>0</v>
      </c>
      <c r="T24" s="26">
        <f>-IFERROR(GETPIVOTDATA("[Measures].[Jrnl Posting Am]",'Historical Summary Cube'!$A$5,"[Accounting Period].[Fisc Yr]","[Accounting Period].[Fisc Yr].&amp;[2023]","[Revenue].[Rev Src]","[Revenue].[Rev Src].&amp;[2955]","[Revenue].[Rev Src Nm]","[Revenue].[Rev Src Nm].&amp;[ADJ OF PERS SERV BALANCE FWD]"),0)</f>
        <v>0</v>
      </c>
      <c r="U24" s="55"/>
      <c r="V24" s="55"/>
    </row>
    <row r="25" spans="1:22" s="19" customFormat="1" ht="15.5" x14ac:dyDescent="0.35">
      <c r="A25" s="27" t="s">
        <v>28</v>
      </c>
      <c r="B25" s="16" t="s">
        <v>43</v>
      </c>
      <c r="C25" s="49"/>
      <c r="D25" s="49"/>
      <c r="E25" s="26">
        <f>-IFERROR(GETPIVOTDATA("[Measures].[Jrnl Posting Am]",'Historical Summary Cube'!$A$5,"[Accounting Period].[Fisc Yr]","[Accounting Period].[Fisc Yr].&amp;[2008]","[Revenue].[Rev Src]","[Revenue].[Rev Src].&amp;[2968]","[Revenue].[Rev Src Nm]","[Revenue].[Rev Src Nm].&amp;[REG TRANSFER UNALLOCATED]"),0)</f>
        <v>0</v>
      </c>
      <c r="F25" s="26">
        <f>-IFERROR(GETPIVOTDATA("[Measures].[Jrnl Posting Am]",'Historical Summary Cube'!$A$5,"[Accounting Period].[Fisc Yr]","[Accounting Period].[Fisc Yr].&amp;[2009]","[Revenue].[Rev Src]","[Revenue].[Rev Src].&amp;[2968]","[Revenue].[Rev Src Nm]","[Revenue].[Rev Src Nm].&amp;[REG TRANSFER UNALLOCATED]"),0)</f>
        <v>0</v>
      </c>
      <c r="G25" s="26">
        <f>-IFERROR(GETPIVOTDATA("[Measures].[Jrnl Posting Am]",'Historical Summary Cube'!$A$5,"[Accounting Period].[Fisc Yr]","[Accounting Period].[Fisc Yr].&amp;[2010]","[Revenue].[Rev Src]","[Revenue].[Rev Src].&amp;[2968]","[Revenue].[Rev Src Nm]","[Revenue].[Rev Src Nm].&amp;[REG TRANSFER UNALLOCATED]"),0)</f>
        <v>0</v>
      </c>
      <c r="H25" s="26">
        <f>-IFERROR(GETPIVOTDATA("[Measures].[Jrnl Posting Am]",'Historical Summary Cube'!$A$5,"[Accounting Period].[Fisc Yr]","[Accounting Period].[Fisc Yr].&amp;[2011]","[Revenue].[Rev Src]","[Revenue].[Rev Src].&amp;[2968]","[Revenue].[Rev Src Nm]","[Revenue].[Rev Src Nm].&amp;[REG TRANSFER UNALLOCATED]"),0)</f>
        <v>0</v>
      </c>
      <c r="I25" s="26">
        <f>-IFERROR(GETPIVOTDATA("[Measures].[Jrnl Posting Am]",'Historical Summary Cube'!$A$5,"[Accounting Period].[Fisc Yr]","[Accounting Period].[Fisc Yr].&amp;[2012]","[Revenue].[Rev Src]","[Revenue].[Rev Src].&amp;[2968]","[Revenue].[Rev Src Nm]","[Revenue].[Rev Src Nm].&amp;[REG TRANSFER UNALLOCATED]"),0)</f>
        <v>-200000</v>
      </c>
      <c r="J25" s="26">
        <f>-IFERROR(GETPIVOTDATA("[Measures].[Jrnl Posting Am]",'Historical Summary Cube'!$A$5,"[Accounting Period].[Fisc Yr]","[Accounting Period].[Fisc Yr].&amp;[2013]","[Revenue].[Rev Src]","[Revenue].[Rev Src].&amp;[2968]","[Revenue].[Rev Src Nm]","[Revenue].[Rev Src Nm].&amp;[REG TRANSFER UNALLOCATED]"),0)</f>
        <v>0</v>
      </c>
      <c r="K25" s="26">
        <f>-IFERROR(GETPIVOTDATA("[Measures].[Jrnl Posting Am]",'Historical Summary Cube'!$A$5,"[Accounting Period].[Fisc Yr]","[Accounting Period].[Fisc Yr].&amp;[2014]","[Revenue].[Rev Src]","[Revenue].[Rev Src].&amp;[2968]","[Revenue].[Rev Src Nm]","[Revenue].[Rev Src Nm].&amp;[REG TRANSFER UNALLOCATED]"),0)</f>
        <v>-100000</v>
      </c>
      <c r="L25" s="26">
        <f>-IFERROR(GETPIVOTDATA("[Measures].[Jrnl Posting Am]",'Historical Summary Cube'!$A$5,"[Accounting Period].[Fisc Yr]","[Accounting Period].[Fisc Yr].&amp;[2015]","[Revenue].[Rev Src]","[Revenue].[Rev Src].&amp;[2968]","[Revenue].[Rev Src Nm]","[Revenue].[Rev Src Nm].&amp;[REG TRANSFER UNALLOCATED]"),0)</f>
        <v>0</v>
      </c>
      <c r="M25" s="26">
        <f>-IFERROR(GETPIVOTDATA("[Measures].[Jrnl Posting Am]",'Historical Summary Cube'!$A$5,"[Accounting Period].[Fisc Yr]","[Accounting Period].[Fisc Yr].&amp;[2016]","[Revenue].[Rev Src]","[Revenue].[Rev Src].&amp;[2968]","[Revenue].[Rev Src Nm]","[Revenue].[Rev Src Nm].&amp;[REG TRANSFER UNALLOCATED]"),0)</f>
        <v>0</v>
      </c>
      <c r="N25" s="26">
        <f>-IFERROR(GETPIVOTDATA("[Measures].[Jrnl Posting Am]",'Historical Summary Cube'!$A$5,"[Accounting Period].[Fisc Yr]","[Accounting Period].[Fisc Yr].&amp;[2017]","[Revenue].[Rev Src]","[Revenue].[Rev Src].&amp;[2968]","[Revenue].[Rev Src Nm]","[Revenue].[Rev Src Nm].&amp;[REG TRANSFER UNALLOCATED]"),0)</f>
        <v>0</v>
      </c>
      <c r="O25" s="26">
        <f>-IFERROR(GETPIVOTDATA("[Measures].[Jrnl Posting Am]",'Historical Summary Cube'!$A$5,"[Accounting Period].[Fisc Yr]","[Accounting Period].[Fisc Yr].&amp;[2018]","[Revenue].[Rev Src]","[Revenue].[Rev Src].&amp;[2968]","[Revenue].[Rev Src Nm]","[Revenue].[Rev Src Nm].&amp;[REG TRANSFER UNALLOCATED]"),0)</f>
        <v>0</v>
      </c>
      <c r="P25" s="26">
        <f>-IFERROR(GETPIVOTDATA("[Measures].[Jrnl Posting Am]",'Historical Summary Cube'!$A$5,"[Accounting Period].[Fisc Yr]","[Accounting Period].[Fisc Yr].&amp;[2019]","[Revenue].[Rev Src]","[Revenue].[Rev Src].&amp;[2968]","[Revenue].[Rev Src Nm]","[Revenue].[Rev Src Nm].&amp;[REG TRANSFER UNALLOCATED]"),0)</f>
        <v>0</v>
      </c>
      <c r="Q25" s="26">
        <f>-IFERROR(GETPIVOTDATA("[Measures].[Jrnl Posting Am]",'Historical Summary Cube'!$A$5,"[Accounting Period].[Fisc Yr]","[Accounting Period].[Fisc Yr].&amp;[2020]","[Revenue].[Rev Src]","[Revenue].[Rev Src].&amp;[2968]","[Revenue].[Rev Src Nm]","[Revenue].[Rev Src Nm].&amp;[REG TRANSFER UNALLOCATED]"),0)</f>
        <v>-100000</v>
      </c>
      <c r="R25" s="26">
        <f>-IFERROR(GETPIVOTDATA("[Measures].[Jrnl Posting Am]",'Historical Summary Cube'!$A$5,"[Accounting Period].[Fisc Yr]","[Accounting Period].[Fisc Yr].&amp;[2021]","[Revenue].[Rev Src]","[Revenue].[Rev Src].&amp;[2968]","[Revenue].[Rev Src Nm]","[Revenue].[Rev Src Nm].&amp;[REG TRANSFER UNALLOCATED]"),0)</f>
        <v>-50000</v>
      </c>
      <c r="S25" s="26">
        <f>-IFERROR(GETPIVOTDATA("[Measures].[Jrnl Posting Am]",'Historical Summary Cube'!$A$5,"[Accounting Period].[Fisc Yr]","[Accounting Period].[Fisc Yr].&amp;[2022]","[Revenue].[Rev Src]","[Revenue].[Rev Src].&amp;[2968]","[Revenue].[Rev Src Nm]","[Revenue].[Rev Src Nm].&amp;[REG TRANSFER UNALLOCATED]"),0)</f>
        <v>-50000</v>
      </c>
      <c r="T25" s="26">
        <f>-IFERROR(GETPIVOTDATA("[Measures].[Jrnl Posting Am]",'Historical Summary Cube'!$A$5,"[Accounting Period].[Fisc Yr]","[Accounting Period].[Fisc Yr].&amp;[2023]","[Revenue].[Rev Src]","[Revenue].[Rev Src].&amp;[2968]","[Revenue].[Rev Src Nm]","[Revenue].[Rev Src Nm].&amp;[REG TRANSFER UNALLOCATED]"),0)</f>
        <v>-25000</v>
      </c>
      <c r="U25" s="55"/>
      <c r="V25" s="55"/>
    </row>
    <row r="26" spans="1:22" s="19" customFormat="1" ht="15.5" x14ac:dyDescent="0.35">
      <c r="A26" s="27" t="s">
        <v>29</v>
      </c>
      <c r="B26" s="16" t="s">
        <v>44</v>
      </c>
      <c r="C26" s="49"/>
      <c r="D26" s="49"/>
      <c r="E26" s="26">
        <f>-IFERROR(GETPIVOTDATA("[Measures].[Jrnl Posting Am]",'Historical Summary Cube'!$A$5,"[Accounting Period].[Fisc Yr]","[Accounting Period].[Fisc Yr].&amp;[2008]","[Revenue].[Rev Src]","[Revenue].[Rev Src].&amp;[2978]","[Revenue].[Rev Src Nm]","[Revenue].[Rev Src Nm].&amp;[DICAP TRANSFER]"),0)</f>
        <v>-150899.91999999998</v>
      </c>
      <c r="F26" s="26">
        <f>-IFERROR(GETPIVOTDATA("[Measures].[Jrnl Posting Am]",'Historical Summary Cube'!$A$5,"[Accounting Period].[Fisc Yr]","[Accounting Period].[Fisc Yr].&amp;[2009]","[Revenue].[Rev Src]","[Revenue].[Rev Src].&amp;[2978]","[Revenue].[Rev Src Nm]","[Revenue].[Rev Src Nm].&amp;[DICAP TRANSFER]"),0)</f>
        <v>-230246.40000000002</v>
      </c>
      <c r="G26" s="26">
        <f>-IFERROR(GETPIVOTDATA("[Measures].[Jrnl Posting Am]",'Historical Summary Cube'!$A$5,"[Accounting Period].[Fisc Yr]","[Accounting Period].[Fisc Yr].&amp;[2010]","[Revenue].[Rev Src]","[Revenue].[Rev Src].&amp;[2978]","[Revenue].[Rev Src Nm]","[Revenue].[Rev Src Nm].&amp;[DICAP TRANSFER]"),0)</f>
        <v>-245149.5</v>
      </c>
      <c r="H26" s="26">
        <f>-IFERROR(GETPIVOTDATA("[Measures].[Jrnl Posting Am]",'Historical Summary Cube'!$A$5,"[Accounting Period].[Fisc Yr]","[Accounting Period].[Fisc Yr].&amp;[2011]","[Revenue].[Rev Src]","[Revenue].[Rev Src].&amp;[2978]","[Revenue].[Rev Src Nm]","[Revenue].[Rev Src Nm].&amp;[DICAP TRANSFER]"),0)</f>
        <v>-319381.28000000003</v>
      </c>
      <c r="I26" s="26">
        <f>-IFERROR(GETPIVOTDATA("[Measures].[Jrnl Posting Am]",'Historical Summary Cube'!$A$5,"[Accounting Period].[Fisc Yr]","[Accounting Period].[Fisc Yr].&amp;[2012]","[Revenue].[Rev Src]","[Revenue].[Rev Src].&amp;[2978]","[Revenue].[Rev Src Nm]","[Revenue].[Rev Src Nm].&amp;[DICAP TRANSFER]"),0)</f>
        <v>-333135.93000000005</v>
      </c>
      <c r="J26" s="26">
        <f>-IFERROR(GETPIVOTDATA("[Measures].[Jrnl Posting Am]",'Historical Summary Cube'!$A$5,"[Accounting Period].[Fisc Yr]","[Accounting Period].[Fisc Yr].&amp;[2013]","[Revenue].[Rev Src]","[Revenue].[Rev Src].&amp;[2978]","[Revenue].[Rev Src Nm]","[Revenue].[Rev Src Nm].&amp;[DICAP TRANSFER]"),0)</f>
        <v>-329586.67</v>
      </c>
      <c r="K26" s="26">
        <f>-IFERROR(GETPIVOTDATA("[Measures].[Jrnl Posting Am]",'Historical Summary Cube'!$A$5,"[Accounting Period].[Fisc Yr]","[Accounting Period].[Fisc Yr].&amp;[2014]","[Revenue].[Rev Src]","[Revenue].[Rev Src].&amp;[2978]","[Revenue].[Rev Src Nm]","[Revenue].[Rev Src Nm].&amp;[DICAP TRANSFER]"),0)</f>
        <v>-164238.47</v>
      </c>
      <c r="L26" s="26">
        <f>-IFERROR(GETPIVOTDATA("[Measures].[Jrnl Posting Am]",'Historical Summary Cube'!$A$5,"[Accounting Period].[Fisc Yr]","[Accounting Period].[Fisc Yr].&amp;[2015]","[Revenue].[Rev Src]","[Revenue].[Rev Src].&amp;[2978]","[Revenue].[Rev Src Nm]","[Revenue].[Rev Src Nm].&amp;[DICAP TRANSFER]"),0)</f>
        <v>-171943.49000000002</v>
      </c>
      <c r="M26" s="26">
        <f>-IFERROR(GETPIVOTDATA("[Measures].[Jrnl Posting Am]",'Historical Summary Cube'!$A$5,"[Accounting Period].[Fisc Yr]","[Accounting Period].[Fisc Yr].&amp;[2016]","[Revenue].[Rev Src]","[Revenue].[Rev Src].&amp;[2978]","[Revenue].[Rev Src Nm]","[Revenue].[Rev Src Nm].&amp;[DICAP TRANSFER]"),0)</f>
        <v>-228194.78000000003</v>
      </c>
      <c r="N26" s="26">
        <f>-IFERROR(GETPIVOTDATA("[Measures].[Jrnl Posting Am]",'Historical Summary Cube'!$A$5,"[Accounting Period].[Fisc Yr]","[Accounting Period].[Fisc Yr].&amp;[2017]","[Revenue].[Rev Src]","[Revenue].[Rev Src].&amp;[2978]","[Revenue].[Rev Src Nm]","[Revenue].[Rev Src Nm].&amp;[DICAP TRANSFER]"),0)</f>
        <v>-259149.46000000002</v>
      </c>
      <c r="O26" s="26">
        <f>-IFERROR(GETPIVOTDATA("[Measures].[Jrnl Posting Am]",'Historical Summary Cube'!$A$5,"[Accounting Period].[Fisc Yr]","[Accounting Period].[Fisc Yr].&amp;[2018]","[Revenue].[Rev Src]","[Revenue].[Rev Src].&amp;[2978]","[Revenue].[Rev Src Nm]","[Revenue].[Rev Src Nm].&amp;[DICAP TRANSFER]"),0)</f>
        <v>-197385.44000000003</v>
      </c>
      <c r="P26" s="26">
        <f>-IFERROR(GETPIVOTDATA("[Measures].[Jrnl Posting Am]",'Historical Summary Cube'!$A$5,"[Accounting Period].[Fisc Yr]","[Accounting Period].[Fisc Yr].&amp;[2019]","[Revenue].[Rev Src]","[Revenue].[Rev Src].&amp;[2978]","[Revenue].[Rev Src Nm]","[Revenue].[Rev Src Nm].&amp;[DICAP TRANSFER]"),0)</f>
        <v>-226588.58999999997</v>
      </c>
      <c r="Q26" s="26">
        <f>-IFERROR(GETPIVOTDATA("[Measures].[Jrnl Posting Am]",'Historical Summary Cube'!$A$5,"[Accounting Period].[Fisc Yr]","[Accounting Period].[Fisc Yr].&amp;[2020]","[Revenue].[Rev Src]","[Revenue].[Rev Src].&amp;[2978]","[Revenue].[Rev Src Nm]","[Revenue].[Rev Src Nm].&amp;[DICAP TRANSFER]"),0)</f>
        <v>-218438.04</v>
      </c>
      <c r="R26" s="26">
        <f>-IFERROR(GETPIVOTDATA("[Measures].[Jrnl Posting Am]",'Historical Summary Cube'!$A$5,"[Accounting Period].[Fisc Yr]","[Accounting Period].[Fisc Yr].&amp;[2021]","[Revenue].[Rev Src]","[Revenue].[Rev Src].&amp;[2978]","[Revenue].[Rev Src Nm]","[Revenue].[Rev Src Nm].&amp;[DICAP TRANSFER]"),0)</f>
        <v>-227565.83999999997</v>
      </c>
      <c r="S26" s="26">
        <f>-IFERROR(GETPIVOTDATA("[Measures].[Jrnl Posting Am]",'Historical Summary Cube'!$A$5,"[Accounting Period].[Fisc Yr]","[Accounting Period].[Fisc Yr].&amp;[2022]","[Revenue].[Rev Src]","[Revenue].[Rev Src].&amp;[2978]","[Revenue].[Rev Src Nm]","[Revenue].[Rev Src Nm].&amp;[DICAP TRANSFER]"),0)</f>
        <v>-242700.13999999996</v>
      </c>
      <c r="T26" s="26">
        <f>-IFERROR(GETPIVOTDATA("[Measures].[Jrnl Posting Am]",'Historical Summary Cube'!$A$5,"[Accounting Period].[Fisc Yr]","[Accounting Period].[Fisc Yr].&amp;[2023]","[Revenue].[Rev Src]","[Revenue].[Rev Src].&amp;[2978]","[Revenue].[Rev Src Nm]","[Revenue].[Rev Src Nm].&amp;[DICAP TRANSFER]"),0)</f>
        <v>-222479.5</v>
      </c>
      <c r="U26" s="55"/>
      <c r="V26" s="55"/>
    </row>
    <row r="27" spans="1:22" s="19" customFormat="1" ht="15.5" x14ac:dyDescent="0.35">
      <c r="A27" s="27" t="s">
        <v>30</v>
      </c>
      <c r="B27" s="16" t="s">
        <v>45</v>
      </c>
      <c r="C27" s="49"/>
      <c r="D27" s="49"/>
      <c r="E27" s="26">
        <f>-IFERROR(GETPIVOTDATA("[Measures].[Jrnl Posting Am]",'Historical Summary Cube'!$A$5,"[Accounting Period].[Fisc Yr]","[Accounting Period].[Fisc Yr].&amp;[2008]","[Revenue].[Rev Src]","[Revenue].[Rev Src].&amp;[2979]","[Revenue].[Rev Src Nm]","[Revenue].[Rev Src Nm].&amp;[TRANSFER FOR INDIRECT COST]"),0)</f>
        <v>3.04</v>
      </c>
      <c r="F27" s="26">
        <f>-IFERROR(GETPIVOTDATA("[Measures].[Jrnl Posting Am]",'Historical Summary Cube'!$A$5,"[Accounting Period].[Fisc Yr]","[Accounting Period].[Fisc Yr].&amp;[2009]","[Revenue].[Rev Src]","[Revenue].[Rev Src].&amp;[2979]","[Revenue].[Rev Src Nm]","[Revenue].[Rev Src Nm].&amp;[TRANSFER FOR INDIRECT COST]"),0)</f>
        <v>0</v>
      </c>
      <c r="G27" s="26">
        <f>-IFERROR(GETPIVOTDATA("[Measures].[Jrnl Posting Am]",'Historical Summary Cube'!$A$5,"[Accounting Period].[Fisc Yr]","[Accounting Period].[Fisc Yr].&amp;[2010]","[Revenue].[Rev Src]","[Revenue].[Rev Src].&amp;[2979]","[Revenue].[Rev Src Nm]","[Revenue].[Rev Src Nm].&amp;[TRANSFER FOR INDIRECT COST]"),0)</f>
        <v>0</v>
      </c>
      <c r="H27" s="26">
        <f>-IFERROR(GETPIVOTDATA("[Measures].[Jrnl Posting Am]",'Historical Summary Cube'!$A$5,"[Accounting Period].[Fisc Yr]","[Accounting Period].[Fisc Yr].&amp;[2011]","[Revenue].[Rev Src]","[Revenue].[Rev Src].&amp;[2979]","[Revenue].[Rev Src Nm]","[Revenue].[Rev Src Nm].&amp;[TRANSFER FOR INDIRECT COST]"),0)</f>
        <v>0</v>
      </c>
      <c r="I27" s="26">
        <f>-IFERROR(GETPIVOTDATA("[Measures].[Jrnl Posting Am]",'Historical Summary Cube'!$A$5,"[Accounting Period].[Fisc Yr]","[Accounting Period].[Fisc Yr].&amp;[2012]","[Revenue].[Rev Src]","[Revenue].[Rev Src].&amp;[2979]","[Revenue].[Rev Src Nm]","[Revenue].[Rev Src Nm].&amp;[TRANSFER FOR INDIRECT COST]"),0)</f>
        <v>0</v>
      </c>
      <c r="J27" s="26">
        <f>-IFERROR(GETPIVOTDATA("[Measures].[Jrnl Posting Am]",'Historical Summary Cube'!$A$5,"[Accounting Period].[Fisc Yr]","[Accounting Period].[Fisc Yr].&amp;[2013]","[Revenue].[Rev Src]","[Revenue].[Rev Src].&amp;[2979]","[Revenue].[Rev Src Nm]","[Revenue].[Rev Src Nm].&amp;[TRANSFER FOR INDIRECT COST]"),0)</f>
        <v>0</v>
      </c>
      <c r="K27" s="26">
        <f>-IFERROR(GETPIVOTDATA("[Measures].[Jrnl Posting Am]",'Historical Summary Cube'!$A$5,"[Accounting Period].[Fisc Yr]","[Accounting Period].[Fisc Yr].&amp;[2014]","[Revenue].[Rev Src]","[Revenue].[Rev Src].&amp;[2979]","[Revenue].[Rev Src Nm]","[Revenue].[Rev Src Nm].&amp;[TRANSFER FOR INDIRECT COST]"),0)</f>
        <v>0</v>
      </c>
      <c r="L27" s="26">
        <f>-IFERROR(GETPIVOTDATA("[Measures].[Jrnl Posting Am]",'Historical Summary Cube'!$A$5,"[Accounting Period].[Fisc Yr]","[Accounting Period].[Fisc Yr].&amp;[2015]","[Revenue].[Rev Src]","[Revenue].[Rev Src].&amp;[2979]","[Revenue].[Rev Src Nm]","[Revenue].[Rev Src Nm].&amp;[TRANSFER FOR INDIRECT COST]"),0)</f>
        <v>0</v>
      </c>
      <c r="M27" s="26">
        <f>-IFERROR(GETPIVOTDATA("[Measures].[Jrnl Posting Am]",'Historical Summary Cube'!$A$5,"[Accounting Period].[Fisc Yr]","[Accounting Period].[Fisc Yr].&amp;[2016]","[Revenue].[Rev Src]","[Revenue].[Rev Src].&amp;[2979]","[Revenue].[Rev Src Nm]","[Revenue].[Rev Src Nm].&amp;[TRANSFER FOR INDIRECT COST]"),0)</f>
        <v>0</v>
      </c>
      <c r="N27" s="26">
        <f>-IFERROR(GETPIVOTDATA("[Measures].[Jrnl Posting Am]",'Historical Summary Cube'!$A$5,"[Accounting Period].[Fisc Yr]","[Accounting Period].[Fisc Yr].&amp;[2017]","[Revenue].[Rev Src]","[Revenue].[Rev Src].&amp;[2979]","[Revenue].[Rev Src Nm]","[Revenue].[Rev Src Nm].&amp;[TRANSFER FOR INDIRECT COST]"),0)</f>
        <v>0</v>
      </c>
      <c r="O27" s="26">
        <f>-IFERROR(GETPIVOTDATA("[Measures].[Jrnl Posting Am]",'Historical Summary Cube'!$A$5,"[Accounting Period].[Fisc Yr]","[Accounting Period].[Fisc Yr].&amp;[2018]","[Revenue].[Rev Src]","[Revenue].[Rev Src].&amp;[2979]","[Revenue].[Rev Src Nm]","[Revenue].[Rev Src Nm].&amp;[TRANSFER FOR INDIRECT COST]"),0)</f>
        <v>0</v>
      </c>
      <c r="P27" s="26">
        <f>-IFERROR(GETPIVOTDATA("[Measures].[Jrnl Posting Am]",'Historical Summary Cube'!$A$5,"[Accounting Period].[Fisc Yr]","[Accounting Period].[Fisc Yr].&amp;[2019]","[Revenue].[Rev Src]","[Revenue].[Rev Src].&amp;[2979]","[Revenue].[Rev Src Nm]","[Revenue].[Rev Src Nm].&amp;[TRANSFER FOR INDIRECT COST]"),0)</f>
        <v>0</v>
      </c>
      <c r="Q27" s="26">
        <f>-IFERROR(GETPIVOTDATA("[Measures].[Jrnl Posting Am]",'Historical Summary Cube'!$A$5,"[Accounting Period].[Fisc Yr]","[Accounting Period].[Fisc Yr].&amp;[2020]","[Revenue].[Rev Src]","[Revenue].[Rev Src].&amp;[2979]","[Revenue].[Rev Src Nm]","[Revenue].[Rev Src Nm].&amp;[TRANSFER FOR INDIRECT COST]"),0)</f>
        <v>0</v>
      </c>
      <c r="R27" s="26">
        <f>-IFERROR(GETPIVOTDATA("[Measures].[Jrnl Posting Am]",'Historical Summary Cube'!$A$5,"[Accounting Period].[Fisc Yr]","[Accounting Period].[Fisc Yr].&amp;[2021]","[Revenue].[Rev Src]","[Revenue].[Rev Src].&amp;[2979]","[Revenue].[Rev Src Nm]","[Revenue].[Rev Src Nm].&amp;[TRANSFER FOR INDIRECT COST]"),0)</f>
        <v>0</v>
      </c>
      <c r="S27" s="26">
        <f>-IFERROR(GETPIVOTDATA("[Measures].[Jrnl Posting Am]",'Historical Summary Cube'!$A$5,"[Accounting Period].[Fisc Yr]","[Accounting Period].[Fisc Yr].&amp;[2022]","[Revenue].[Rev Src]","[Revenue].[Rev Src].&amp;[2979]","[Revenue].[Rev Src Nm]","[Revenue].[Rev Src Nm].&amp;[TRANSFER FOR INDIRECT COST]"),0)</f>
        <v>0</v>
      </c>
      <c r="T27" s="26">
        <f>-IFERROR(GETPIVOTDATA("[Measures].[Jrnl Posting Am]",'Historical Summary Cube'!$A$5,"[Accounting Period].[Fisc Yr]","[Accounting Period].[Fisc Yr].&amp;[2023]","[Revenue].[Rev Src]","[Revenue].[Rev Src].&amp;[2979]","[Revenue].[Rev Src Nm]","[Revenue].[Rev Src Nm].&amp;[TRANSFER FOR INDIRECT COST]"),0)</f>
        <v>0</v>
      </c>
      <c r="U27" s="55"/>
      <c r="V27" s="55"/>
    </row>
    <row r="28" spans="1:22" s="19" customFormat="1" ht="15.5" x14ac:dyDescent="0.35">
      <c r="A28" s="27" t="s">
        <v>31</v>
      </c>
      <c r="B28" s="16" t="s">
        <v>46</v>
      </c>
      <c r="C28" s="49"/>
      <c r="D28" s="49"/>
      <c r="E28" s="26">
        <f>-IFERROR(GETPIVOTDATA("[Measures].[Jrnl Posting Am]",'Historical Summary Cube'!$A$5,"[Accounting Period].[Fisc Yr]","[Accounting Period].[Fisc Yr].&amp;[2008]","[Revenue].[Rev Src]","[Revenue].[Rev Src].&amp;[2981]","[Revenue].[Rev Src Nm]","[Revenue].[Rev Src Nm].&amp;[LEGIS TRANSFER OF REVENUE]"),0)</f>
        <v>0</v>
      </c>
      <c r="F28" s="26">
        <f>-IFERROR(GETPIVOTDATA("[Measures].[Jrnl Posting Am]",'Historical Summary Cube'!$A$5,"[Accounting Period].[Fisc Yr]","[Accounting Period].[Fisc Yr].&amp;[2009]","[Revenue].[Rev Src]","[Revenue].[Rev Src].&amp;[2981]","[Revenue].[Rev Src Nm]","[Revenue].[Rev Src Nm].&amp;[LEGIS TRANSFER OF REVENUE]"),0)</f>
        <v>0</v>
      </c>
      <c r="G28" s="26">
        <f>-IFERROR(GETPIVOTDATA("[Measures].[Jrnl Posting Am]",'Historical Summary Cube'!$A$5,"[Accounting Period].[Fisc Yr]","[Accounting Period].[Fisc Yr].&amp;[2010]","[Revenue].[Rev Src]","[Revenue].[Rev Src].&amp;[2981]","[Revenue].[Rev Src Nm]","[Revenue].[Rev Src Nm].&amp;[LEGIS TRANSFER OF REVENUE]"),0)</f>
        <v>0</v>
      </c>
      <c r="H28" s="26">
        <f>-IFERROR(GETPIVOTDATA("[Measures].[Jrnl Posting Am]",'Historical Summary Cube'!$A$5,"[Accounting Period].[Fisc Yr]","[Accounting Period].[Fisc Yr].&amp;[2011]","[Revenue].[Rev Src]","[Revenue].[Rev Src].&amp;[2981]","[Revenue].[Rev Src Nm]","[Revenue].[Rev Src Nm].&amp;[LEGIS TRANSFER OF REVENUE]"),0)</f>
        <v>-50000</v>
      </c>
      <c r="I28" s="26">
        <f>-IFERROR(GETPIVOTDATA("[Measures].[Jrnl Posting Am]",'Historical Summary Cube'!$A$5,"[Accounting Period].[Fisc Yr]","[Accounting Period].[Fisc Yr].&amp;[2012]","[Revenue].[Rev Src]","[Revenue].[Rev Src].&amp;[2981]","[Revenue].[Rev Src Nm]","[Revenue].[Rev Src Nm].&amp;[LEGIS TRANSFER OF REVENUE]"),0)</f>
        <v>-200000</v>
      </c>
      <c r="J28" s="26">
        <f>-IFERROR(GETPIVOTDATA("[Measures].[Jrnl Posting Am]",'Historical Summary Cube'!$A$5,"[Accounting Period].[Fisc Yr]","[Accounting Period].[Fisc Yr].&amp;[2013]","[Revenue].[Rev Src]","[Revenue].[Rev Src].&amp;[2981]","[Revenue].[Rev Src Nm]","[Revenue].[Rev Src Nm].&amp;[LEGIS TRANSFER OF REVENUE]"),0)</f>
        <v>0</v>
      </c>
      <c r="K28" s="26">
        <f>-IFERROR(GETPIVOTDATA("[Measures].[Jrnl Posting Am]",'Historical Summary Cube'!$A$5,"[Accounting Period].[Fisc Yr]","[Accounting Period].[Fisc Yr].&amp;[2014]","[Revenue].[Rev Src]","[Revenue].[Rev Src].&amp;[2981]","[Revenue].[Rev Src Nm]","[Revenue].[Rev Src Nm].&amp;[LEGIS TRANSFER OF REVENUE]"),0)</f>
        <v>-135000</v>
      </c>
      <c r="L28" s="26">
        <f>-IFERROR(GETPIVOTDATA("[Measures].[Jrnl Posting Am]",'Historical Summary Cube'!$A$5,"[Accounting Period].[Fisc Yr]","[Accounting Period].[Fisc Yr].&amp;[2015]","[Revenue].[Rev Src]","[Revenue].[Rev Src].&amp;[2981]","[Revenue].[Rev Src Nm]","[Revenue].[Rev Src Nm].&amp;[LEGIS TRANSFER OF REVENUE]"),0)</f>
        <v>-235000</v>
      </c>
      <c r="M28" s="26">
        <f>-IFERROR(GETPIVOTDATA("[Measures].[Jrnl Posting Am]",'Historical Summary Cube'!$A$5,"[Accounting Period].[Fisc Yr]","[Accounting Period].[Fisc Yr].&amp;[2016]","[Revenue].[Rev Src]","[Revenue].[Rev Src].&amp;[2981]","[Revenue].[Rev Src Nm]","[Revenue].[Rev Src Nm].&amp;[LEGIS TRANSFER OF REVENUE]"),0)</f>
        <v>-135000</v>
      </c>
      <c r="N28" s="26">
        <f>-IFERROR(GETPIVOTDATA("[Measures].[Jrnl Posting Am]",'Historical Summary Cube'!$A$5,"[Accounting Period].[Fisc Yr]","[Accounting Period].[Fisc Yr].&amp;[2017]","[Revenue].[Rev Src]","[Revenue].[Rev Src].&amp;[2981]","[Revenue].[Rev Src Nm]","[Revenue].[Rev Src Nm].&amp;[LEGIS TRANSFER OF REVENUE]"),0)</f>
        <v>-135000</v>
      </c>
      <c r="O28" s="26">
        <f>-IFERROR(GETPIVOTDATA("[Measures].[Jrnl Posting Am]",'Historical Summary Cube'!$A$5,"[Accounting Period].[Fisc Yr]","[Accounting Period].[Fisc Yr].&amp;[2018]","[Revenue].[Rev Src]","[Revenue].[Rev Src].&amp;[2981]","[Revenue].[Rev Src Nm]","[Revenue].[Rev Src Nm].&amp;[LEGIS TRANSFER OF REVENUE]"),0)</f>
        <v>-135000</v>
      </c>
      <c r="P28" s="26">
        <f>-IFERROR(GETPIVOTDATA("[Measures].[Jrnl Posting Am]",'Historical Summary Cube'!$A$5,"[Accounting Period].[Fisc Yr]","[Accounting Period].[Fisc Yr].&amp;[2019]","[Revenue].[Rev Src]","[Revenue].[Rev Src].&amp;[2981]","[Revenue].[Rev Src Nm]","[Revenue].[Rev Src Nm].&amp;[LEGIS TRANSFER OF REVENUE]"),0)</f>
        <v>-135000</v>
      </c>
      <c r="Q28" s="26">
        <f>-IFERROR(GETPIVOTDATA("[Measures].[Jrnl Posting Am]",'Historical Summary Cube'!$A$5,"[Accounting Period].[Fisc Yr]","[Accounting Period].[Fisc Yr].&amp;[2020]","[Revenue].[Rev Src]","[Revenue].[Rev Src].&amp;[2981]","[Revenue].[Rev Src Nm]","[Revenue].[Rev Src Nm].&amp;[LEGIS TRANSFER OF REVENUE]"),0)</f>
        <v>-200000</v>
      </c>
      <c r="R28" s="26">
        <f>-IFERROR(GETPIVOTDATA("[Measures].[Jrnl Posting Am]",'Historical Summary Cube'!$A$5,"[Accounting Period].[Fisc Yr]","[Accounting Period].[Fisc Yr].&amp;[2021]","[Revenue].[Rev Src]","[Revenue].[Rev Src].&amp;[2981]","[Revenue].[Rev Src Nm]","[Revenue].[Rev Src Nm].&amp;[LEGIS TRANSFER OF REVENUE]"),0)</f>
        <v>-200000</v>
      </c>
      <c r="S28" s="26">
        <f>-IFERROR(GETPIVOTDATA("[Measures].[Jrnl Posting Am]",'Historical Summary Cube'!$A$5,"[Accounting Period].[Fisc Yr]","[Accounting Period].[Fisc Yr].&amp;[2022]","[Revenue].[Rev Src]","[Revenue].[Rev Src].&amp;[2981]","[Revenue].[Rev Src Nm]","[Revenue].[Rev Src Nm].&amp;[LEGIS TRANSFER OF REVENUE]"),0)</f>
        <v>-140000</v>
      </c>
      <c r="T28" s="26">
        <f>-IFERROR(GETPIVOTDATA("[Measures].[Jrnl Posting Am]",'Historical Summary Cube'!$A$5,"[Accounting Period].[Fisc Yr]","[Accounting Period].[Fisc Yr].&amp;[2023]","[Revenue].[Rev Src]","[Revenue].[Rev Src].&amp;[2981]","[Revenue].[Rev Src Nm]","[Revenue].[Rev Src Nm].&amp;[LEGIS TRANSFER OF REVENUE]"),0)</f>
        <v>-200000</v>
      </c>
      <c r="U28" s="55"/>
      <c r="V28" s="55"/>
    </row>
    <row r="29" spans="1:22" s="17" customFormat="1" ht="16" thickBot="1" x14ac:dyDescent="0.4">
      <c r="A29" s="23"/>
      <c r="B29" s="28" t="s">
        <v>108</v>
      </c>
      <c r="C29" s="36"/>
      <c r="D29" s="36"/>
      <c r="E29" s="29">
        <f t="shared" ref="E29:T29" si="1">SUM(E9:E28)</f>
        <v>1280985.81</v>
      </c>
      <c r="F29" s="29">
        <f t="shared" si="1"/>
        <v>1250036.3599999999</v>
      </c>
      <c r="G29" s="29">
        <f t="shared" si="1"/>
        <v>1380715.61</v>
      </c>
      <c r="H29" s="29">
        <f t="shared" si="1"/>
        <v>1079918.58</v>
      </c>
      <c r="I29" s="29">
        <f t="shared" si="1"/>
        <v>1123130.5199999996</v>
      </c>
      <c r="J29" s="29">
        <f t="shared" si="1"/>
        <v>1529548.96</v>
      </c>
      <c r="K29" s="29">
        <f t="shared" si="1"/>
        <v>1543249.68</v>
      </c>
      <c r="L29" s="29">
        <f t="shared" si="1"/>
        <v>1649036.97</v>
      </c>
      <c r="M29" s="29">
        <f t="shared" si="1"/>
        <v>1730112.14</v>
      </c>
      <c r="N29" s="29">
        <f t="shared" si="1"/>
        <v>1813183.5099999998</v>
      </c>
      <c r="O29" s="29">
        <f t="shared" si="1"/>
        <v>2064416.98</v>
      </c>
      <c r="P29" s="29">
        <f t="shared" si="1"/>
        <v>1736179.1</v>
      </c>
      <c r="Q29" s="29">
        <f t="shared" si="1"/>
        <v>1700687.3999999994</v>
      </c>
      <c r="R29" s="29">
        <f t="shared" si="1"/>
        <v>1728865.2000000002</v>
      </c>
      <c r="S29" s="29">
        <f t="shared" si="1"/>
        <v>1886841.8499999999</v>
      </c>
      <c r="T29" s="29">
        <f t="shared" si="1"/>
        <v>1390345.6500000001</v>
      </c>
      <c r="U29" s="53"/>
      <c r="V29" s="55"/>
    </row>
    <row r="30" spans="1:22" s="19" customFormat="1" ht="15.5" x14ac:dyDescent="0.35">
      <c r="A30" s="15"/>
      <c r="B30" s="16"/>
      <c r="C30" s="49" t="e">
        <f>IF(-#REF!=GETPIVOTDATA("[Measures].[Jrnl Posting Am]",'Historical Summary Cube'!$A$75),"","ERROR")</f>
        <v>#REF!</v>
      </c>
      <c r="D30" s="49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55" t="str">
        <f>IF(-SUM(E29:T29)=GETPIVOTDATA("[Measures].[Jrnl Posting Am]",'Historical Summary Cube'!$A$6),"","ERROR")</f>
        <v/>
      </c>
      <c r="V30" s="53"/>
    </row>
    <row r="31" spans="1:22" s="19" customFormat="1" ht="15.5" x14ac:dyDescent="0.35">
      <c r="A31" s="15"/>
      <c r="B31" s="16"/>
      <c r="C31" s="49"/>
      <c r="D31" s="49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53"/>
      <c r="V31" s="53"/>
    </row>
    <row r="32" spans="1:22" s="19" customFormat="1" ht="15.5" x14ac:dyDescent="0.35">
      <c r="A32" s="15"/>
      <c r="B32" s="16"/>
      <c r="C32" s="49"/>
      <c r="D32" s="49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53"/>
      <c r="V32" s="53"/>
    </row>
    <row r="33" spans="1:22" s="19" customFormat="1" ht="15.5" x14ac:dyDescent="0.35">
      <c r="A33" s="8" t="s">
        <v>104</v>
      </c>
      <c r="B33" s="16"/>
      <c r="C33" s="49"/>
      <c r="D33" s="49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53"/>
      <c r="V33" s="53"/>
    </row>
    <row r="34" spans="1:22" s="19" customFormat="1" ht="15.5" x14ac:dyDescent="0.35">
      <c r="A34" s="27" t="s">
        <v>50</v>
      </c>
      <c r="B34" s="30" t="s">
        <v>79</v>
      </c>
      <c r="C34" s="49"/>
      <c r="D34" s="49"/>
      <c r="E34" s="25">
        <f>IFERROR(GETPIVOTDATA("[Measures].[Jrnl Posting Am]",'Historical Summary Cube'!$AA$5,"[Accounting Period].[Fisc Yr]","[Accounting Period].[Fisc Yr].&amp;[2008]","[Object].[Object Group]","[Object].[Object Group].&amp;[31]","[Object].[Obj Group Nm]","[Object].[Obj Group Nm].&amp;[SALARIES AND WAGES]"),0)</f>
        <v>11579.97</v>
      </c>
      <c r="F34" s="25">
        <f>IFERROR(GETPIVOTDATA("[Measures].[Jrnl Posting Am]",'Historical Summary Cube'!$AA$5,"[Accounting Period].[Fisc Yr]","[Accounting Period].[Fisc Yr].&amp;[2009]","[Object].[Object Group]","[Object].[Object Group].&amp;[31]","[Object].[Obj Group Nm]","[Object].[Obj Group Nm].&amp;[SALARIES AND WAGES]"),0)</f>
        <v>7282.5499999999993</v>
      </c>
      <c r="G34" s="25">
        <f>IFERROR(GETPIVOTDATA("[Measures].[Jrnl Posting Am]",'Historical Summary Cube'!$AA$5,"[Accounting Period].[Fisc Yr]","[Accounting Period].[Fisc Yr].&amp;[2010]","[Object].[Object Group]","[Object].[Object Group].&amp;[31]","[Object].[Obj Group Nm]","[Object].[Obj Group Nm].&amp;[SALARIES AND WAGES]"),0)</f>
        <v>6407.7400000000016</v>
      </c>
      <c r="H34" s="25">
        <f>IFERROR(GETPIVOTDATA("[Measures].[Jrnl Posting Am]",'Historical Summary Cube'!$AA$5,"[Accounting Period].[Fisc Yr]","[Accounting Period].[Fisc Yr].&amp;[2011]","[Object].[Object Group]","[Object].[Object Group].&amp;[31]","[Object].[Obj Group Nm]","[Object].[Obj Group Nm].&amp;[SALARIES AND WAGES]"),0)</f>
        <v>0</v>
      </c>
      <c r="I34" s="25">
        <f>IFERROR(GETPIVOTDATA("[Measures].[Jrnl Posting Am]",'Historical Summary Cube'!$AA$5,"[Accounting Period].[Fisc Yr]","[Accounting Period].[Fisc Yr].&amp;[2012]","[Object].[Object Group]","[Object].[Object Group].&amp;[31]","[Object].[Obj Group Nm]","[Object].[Obj Group Nm].&amp;[SALARIES AND WAGES]"),0)</f>
        <v>0</v>
      </c>
      <c r="J34" s="25">
        <f>IFERROR(GETPIVOTDATA("[Measures].[Jrnl Posting Am]",'Historical Summary Cube'!$AA$5,"[Accounting Period].[Fisc Yr]","[Accounting Period].[Fisc Yr].&amp;[2013]","[Object].[Object Group]","[Object].[Object Group].&amp;[31]","[Object].[Obj Group Nm]","[Object].[Obj Group Nm].&amp;[SALARIES AND WAGES]"),0)</f>
        <v>0</v>
      </c>
      <c r="K34" s="25">
        <f>IFERROR(GETPIVOTDATA("[Measures].[Jrnl Posting Am]",'Historical Summary Cube'!$AA$5,"[Accounting Period].[Fisc Yr]","[Accounting Period].[Fisc Yr].&amp;[2014]","[Object].[Object Group]","[Object].[Object Group].&amp;[31]","[Object].[Obj Group Nm]","[Object].[Obj Group Nm].&amp;[SALARIES AND WAGES]"),0)</f>
        <v>0</v>
      </c>
      <c r="L34" s="25">
        <f>IFERROR(GETPIVOTDATA("[Measures].[Jrnl Posting Am]",'Historical Summary Cube'!$AA$5,"[Accounting Period].[Fisc Yr]","[Accounting Period].[Fisc Yr].&amp;[2015]","[Object].[Object Group]","[Object].[Object Group].&amp;[31]","[Object].[Obj Group Nm]","[Object].[Obj Group Nm].&amp;[SALARIES AND WAGES]"),0)</f>
        <v>0</v>
      </c>
      <c r="M34" s="25">
        <f>IFERROR(GETPIVOTDATA("[Measures].[Jrnl Posting Am]",'Historical Summary Cube'!$AA$5,"[Accounting Period].[Fisc Yr]","[Accounting Period].[Fisc Yr].&amp;[2016]","[Object].[Object Group]","[Object].[Object Group].&amp;[31]","[Object].[Obj Group Nm]","[Object].[Obj Group Nm].&amp;[SALARIES AND WAGES]"),0)</f>
        <v>1566.4</v>
      </c>
      <c r="N34" s="25">
        <f>IFERROR(GETPIVOTDATA("[Measures].[Jrnl Posting Am]",'Historical Summary Cube'!$AA$5,"[Accounting Period].[Fisc Yr]","[Accounting Period].[Fisc Yr].&amp;[2017]","[Object].[Object Group]","[Object].[Object Group].&amp;[31]","[Object].[Obj Group Nm]","[Object].[Obj Group Nm].&amp;[SALARIES AND WAGES]"),0)</f>
        <v>0</v>
      </c>
      <c r="O34" s="25">
        <f>IFERROR(GETPIVOTDATA("[Measures].[Jrnl Posting Am]",'Historical Summary Cube'!$AA$5,"[Accounting Period].[Fisc Yr]","[Accounting Period].[Fisc Yr].&amp;[2018]","[Object].[Object Group]","[Object].[Object Group].&amp;[31]","[Object].[Obj Group Nm]","[Object].[Obj Group Nm].&amp;[SALARIES AND WAGES]"),0)</f>
        <v>0</v>
      </c>
      <c r="P34" s="25">
        <f>IFERROR(GETPIVOTDATA("[Measures].[Jrnl Posting Am]",'Historical Summary Cube'!$AA$5,"[Accounting Period].[Fisc Yr]","[Accounting Period].[Fisc Yr].&amp;[2019]","[Object].[Object Group]","[Object].[Object Group].&amp;[31]","[Object].[Obj Group Nm]","[Object].[Obj Group Nm].&amp;[SALARIES AND WAGES]"),0)</f>
        <v>0</v>
      </c>
      <c r="Q34" s="25">
        <f>IFERROR(GETPIVOTDATA("[Measures].[Jrnl Posting Am]",'Historical Summary Cube'!$AA$5,"[Accounting Period].[Fisc Yr]","[Accounting Period].[Fisc Yr].&amp;[2020]","[Object].[Object Group]","[Object].[Object Group].&amp;[31]","[Object].[Obj Group Nm]","[Object].[Obj Group Nm].&amp;[SALARIES AND WAGES]"),0)</f>
        <v>0</v>
      </c>
      <c r="R34" s="25">
        <f>IFERROR(GETPIVOTDATA("[Measures].[Jrnl Posting Am]",'Historical Summary Cube'!$AA$5,"[Accounting Period].[Fisc Yr]","[Accounting Period].[Fisc Yr].&amp;[2021]","[Object].[Object Group]","[Object].[Object Group].&amp;[31]","[Object].[Obj Group Nm]","[Object].[Obj Group Nm].&amp;[SALARIES AND WAGES]"),0)</f>
        <v>0</v>
      </c>
      <c r="S34" s="25">
        <f>IFERROR(GETPIVOTDATA("[Measures].[Jrnl Posting Am]",'Historical Summary Cube'!$AA$5,"[Accounting Period].[Fisc Yr]","[Accounting Period].[Fisc Yr].&amp;[2022]","[Object].[Object Group]","[Object].[Object Group].&amp;[31]","[Object].[Obj Group Nm]","[Object].[Obj Group Nm].&amp;[SALARIES AND WAGES]"),0)</f>
        <v>0</v>
      </c>
      <c r="T34" s="25">
        <f>IFERROR(GETPIVOTDATA("[Measures].[Jrnl Posting Am]",'Historical Summary Cube'!$AA$5,"[Accounting Period].[Fisc Yr]","[Accounting Period].[Fisc Yr].&amp;[2023]","[Object].[Object Group]","[Object].[Object Group].&amp;[31]","[Object].[Obj Group Nm]","[Object].[Obj Group Nm].&amp;[SALARIES AND WAGES]"),0)</f>
        <v>0</v>
      </c>
      <c r="U34" s="55"/>
      <c r="V34" s="55"/>
    </row>
    <row r="35" spans="1:22" s="19" customFormat="1" ht="15.5" x14ac:dyDescent="0.35">
      <c r="A35" s="27" t="s">
        <v>51</v>
      </c>
      <c r="B35" s="30" t="s">
        <v>79</v>
      </c>
      <c r="C35" s="49"/>
      <c r="D35" s="49"/>
      <c r="E35" s="25">
        <f>IFERROR(GETPIVOTDATA("[Measures].[Jrnl Posting Am]",'Historical Summary Cube'!$AA$5,"[Accounting Period].[Fisc Yr]","[Accounting Period].[Fisc Yr].&amp;[2008]","[Object].[Object Group]","[Object].[Object Group].&amp;[32]","[Object].[Obj Group Nm]","[Object].[Obj Group Nm].&amp;[SALARIES AND WAGES]"),0)</f>
        <v>520072.02000000008</v>
      </c>
      <c r="F35" s="25">
        <f>IFERROR(GETPIVOTDATA("[Measures].[Jrnl Posting Am]",'Historical Summary Cube'!$AA$5,"[Accounting Period].[Fisc Yr]","[Accounting Period].[Fisc Yr].&amp;[2009]","[Object].[Object Group]","[Object].[Object Group].&amp;[32]","[Object].[Obj Group Nm]","[Object].[Obj Group Nm].&amp;[SALARIES AND WAGES]"),0)</f>
        <v>536463.75000000047</v>
      </c>
      <c r="G35" s="25">
        <f>IFERROR(GETPIVOTDATA("[Measures].[Jrnl Posting Am]",'Historical Summary Cube'!$AA$5,"[Accounting Period].[Fisc Yr]","[Accounting Period].[Fisc Yr].&amp;[2010]","[Object].[Object Group]","[Object].[Object Group].&amp;[32]","[Object].[Obj Group Nm]","[Object].[Obj Group Nm].&amp;[SALARIES AND WAGES]"),0)</f>
        <v>520888.80000000016</v>
      </c>
      <c r="H35" s="25">
        <f>IFERROR(GETPIVOTDATA("[Measures].[Jrnl Posting Am]",'Historical Summary Cube'!$AA$5,"[Accounting Period].[Fisc Yr]","[Accounting Period].[Fisc Yr].&amp;[2011]","[Object].[Object Group]","[Object].[Object Group].&amp;[32]","[Object].[Obj Group Nm]","[Object].[Obj Group Nm].&amp;[SALARIES AND WAGES]"),0)</f>
        <v>595631.86999999988</v>
      </c>
      <c r="I35" s="25">
        <f>IFERROR(GETPIVOTDATA("[Measures].[Jrnl Posting Am]",'Historical Summary Cube'!$AA$5,"[Accounting Period].[Fisc Yr]","[Accounting Period].[Fisc Yr].&amp;[2012]","[Object].[Object Group]","[Object].[Object Group].&amp;[32]","[Object].[Obj Group Nm]","[Object].[Obj Group Nm].&amp;[SALARIES AND WAGES]"),0)</f>
        <v>651085.75</v>
      </c>
      <c r="J35" s="25">
        <f>IFERROR(GETPIVOTDATA("[Measures].[Jrnl Posting Am]",'Historical Summary Cube'!$AA$5,"[Accounting Period].[Fisc Yr]","[Accounting Period].[Fisc Yr].&amp;[2013]","[Object].[Object Group]","[Object].[Object Group].&amp;[32]","[Object].[Obj Group Nm]","[Object].[Obj Group Nm].&amp;[SALARIES AND WAGES]"),0)</f>
        <v>666775.64999999979</v>
      </c>
      <c r="K35" s="25">
        <f>IFERROR(GETPIVOTDATA("[Measures].[Jrnl Posting Am]",'Historical Summary Cube'!$AA$5,"[Accounting Period].[Fisc Yr]","[Accounting Period].[Fisc Yr].&amp;[2014]","[Object].[Object Group]","[Object].[Object Group].&amp;[32]","[Object].[Obj Group Nm]","[Object].[Obj Group Nm].&amp;[SALARIES AND WAGES]"),0)</f>
        <v>641418.03000000014</v>
      </c>
      <c r="L35" s="25">
        <f>IFERROR(GETPIVOTDATA("[Measures].[Jrnl Posting Am]",'Historical Summary Cube'!$AA$5,"[Accounting Period].[Fisc Yr]","[Accounting Period].[Fisc Yr].&amp;[2015]","[Object].[Object Group]","[Object].[Object Group].&amp;[32]","[Object].[Obj Group Nm]","[Object].[Obj Group Nm].&amp;[SALARIES AND WAGES]"),0)</f>
        <v>660432.31000000017</v>
      </c>
      <c r="M35" s="25">
        <f>IFERROR(GETPIVOTDATA("[Measures].[Jrnl Posting Am]",'Historical Summary Cube'!$AA$5,"[Accounting Period].[Fisc Yr]","[Accounting Period].[Fisc Yr].&amp;[2016]","[Object].[Object Group]","[Object].[Object Group].&amp;[32]","[Object].[Obj Group Nm]","[Object].[Obj Group Nm].&amp;[SALARIES AND WAGES]"),0)</f>
        <v>645820.97000000009</v>
      </c>
      <c r="N35" s="25">
        <f>IFERROR(GETPIVOTDATA("[Measures].[Jrnl Posting Am]",'Historical Summary Cube'!$AA$5,"[Accounting Period].[Fisc Yr]","[Accounting Period].[Fisc Yr].&amp;[2017]","[Object].[Object Group]","[Object].[Object Group].&amp;[32]","[Object].[Obj Group Nm]","[Object].[Obj Group Nm].&amp;[SALARIES AND WAGES]"),0)</f>
        <v>631182.45999999985</v>
      </c>
      <c r="O35" s="25">
        <f>IFERROR(GETPIVOTDATA("[Measures].[Jrnl Posting Am]",'Historical Summary Cube'!$AA$5,"[Accounting Period].[Fisc Yr]","[Accounting Period].[Fisc Yr].&amp;[2018]","[Object].[Object Group]","[Object].[Object Group].&amp;[32]","[Object].[Obj Group Nm]","[Object].[Obj Group Nm].&amp;[SALARIES AND WAGES]"),0)</f>
        <v>654575.88000000012</v>
      </c>
      <c r="P35" s="25">
        <f>IFERROR(GETPIVOTDATA("[Measures].[Jrnl Posting Am]",'Historical Summary Cube'!$AA$5,"[Accounting Period].[Fisc Yr]","[Accounting Period].[Fisc Yr].&amp;[2019]","[Object].[Object Group]","[Object].[Object Group].&amp;[32]","[Object].[Obj Group Nm]","[Object].[Obj Group Nm].&amp;[SALARIES AND WAGES]"),0)</f>
        <v>686704.62</v>
      </c>
      <c r="Q35" s="25">
        <f>IFERROR(GETPIVOTDATA("[Measures].[Jrnl Posting Am]",'Historical Summary Cube'!$AA$5,"[Accounting Period].[Fisc Yr]","[Accounting Period].[Fisc Yr].&amp;[2020]","[Object].[Object Group]","[Object].[Object Group].&amp;[32]","[Object].[Obj Group Nm]","[Object].[Obj Group Nm].&amp;[SALARIES AND WAGES]"),0)</f>
        <v>699358.13</v>
      </c>
      <c r="R35" s="25">
        <f>IFERROR(GETPIVOTDATA("[Measures].[Jrnl Posting Am]",'Historical Summary Cube'!$AA$5,"[Accounting Period].[Fisc Yr]","[Accounting Period].[Fisc Yr].&amp;[2021]","[Object].[Object Group]","[Object].[Object Group].&amp;[32]","[Object].[Obj Group Nm]","[Object].[Obj Group Nm].&amp;[SALARIES AND WAGES]"),0)</f>
        <v>723715.83000000007</v>
      </c>
      <c r="S35" s="25">
        <f>IFERROR(GETPIVOTDATA("[Measures].[Jrnl Posting Am]",'Historical Summary Cube'!$AA$5,"[Accounting Period].[Fisc Yr]","[Accounting Period].[Fisc Yr].&amp;[2022]","[Object].[Object Group]","[Object].[Object Group].&amp;[32]","[Object].[Obj Group Nm]","[Object].[Obj Group Nm].&amp;[SALARIES AND WAGES]"),0)</f>
        <v>762856.50000000012</v>
      </c>
      <c r="T35" s="25">
        <f>IFERROR(GETPIVOTDATA("[Measures].[Jrnl Posting Am]",'Historical Summary Cube'!$AA$5,"[Accounting Period].[Fisc Yr]","[Accounting Period].[Fisc Yr].&amp;[2023]","[Object].[Object Group]","[Object].[Object Group].&amp;[32]","[Object].[Obj Group Nm]","[Object].[Obj Group Nm].&amp;[SALARIES AND WAGES]"),0)</f>
        <v>743896.94999999984</v>
      </c>
      <c r="U35" s="55"/>
      <c r="V35" s="55"/>
    </row>
    <row r="36" spans="1:22" s="19" customFormat="1" ht="15.5" x14ac:dyDescent="0.35">
      <c r="A36" s="27">
        <v>33</v>
      </c>
      <c r="B36" s="30" t="s">
        <v>79</v>
      </c>
      <c r="C36" s="49"/>
      <c r="D36" s="49"/>
      <c r="E36" s="25">
        <f>IFERROR(GETPIVOTDATA("[Measures].[Jrnl Posting Am]",'Historical Summary Cube'!$AA$5,"[Accounting Period].[Fisc Yr]","[Accounting Period].[Fisc Yr].&amp;[2008]","[Object].[Object Group]","[Object].[Object Group].&amp;[33]","[Object].[Obj Group Nm]","[Object].[Obj Group Nm].&amp;[SALARIES AND WAGES]"),0)</f>
        <v>35185.289999999994</v>
      </c>
      <c r="F36" s="25">
        <f>IFERROR(GETPIVOTDATA("[Measures].[Jrnl Posting Am]",'Historical Summary Cube'!$AA$5,"[Accounting Period].[Fisc Yr]","[Accounting Period].[Fisc Yr].&amp;[2009]","[Object].[Object Group]","[Object].[Object Group].&amp;[33]","[Object].[Obj Group Nm]","[Object].[Obj Group Nm].&amp;[SALARIES AND WAGES]"),0)</f>
        <v>55112.789999999994</v>
      </c>
      <c r="G36" s="25">
        <f>IFERROR(GETPIVOTDATA("[Measures].[Jrnl Posting Am]",'Historical Summary Cube'!$AA$5,"[Accounting Period].[Fisc Yr]","[Accounting Period].[Fisc Yr].&amp;[2010]","[Object].[Object Group]","[Object].[Object Group].&amp;[33]","[Object].[Obj Group Nm]","[Object].[Obj Group Nm].&amp;[SALARIES AND WAGES]"),0)</f>
        <v>55614.020000000019</v>
      </c>
      <c r="H36" s="25">
        <f>IFERROR(GETPIVOTDATA("[Measures].[Jrnl Posting Am]",'Historical Summary Cube'!$AA$5,"[Accounting Period].[Fisc Yr]","[Accounting Period].[Fisc Yr].&amp;[2011]","[Object].[Object Group]","[Object].[Object Group].&amp;[33]","[Object].[Obj Group Nm]","[Object].[Obj Group Nm].&amp;[SALARIES AND WAGES]"),0)</f>
        <v>49720.73</v>
      </c>
      <c r="I36" s="25">
        <f>IFERROR(GETPIVOTDATA("[Measures].[Jrnl Posting Am]",'Historical Summary Cube'!$AA$5,"[Accounting Period].[Fisc Yr]","[Accounting Period].[Fisc Yr].&amp;[2012]","[Object].[Object Group]","[Object].[Object Group].&amp;[33]","[Object].[Obj Group Nm]","[Object].[Obj Group Nm].&amp;[SALARIES AND WAGES]"),0)</f>
        <v>45721.380000000005</v>
      </c>
      <c r="J36" s="25">
        <f>IFERROR(GETPIVOTDATA("[Measures].[Jrnl Posting Am]",'Historical Summary Cube'!$AA$5,"[Accounting Period].[Fisc Yr]","[Accounting Period].[Fisc Yr].&amp;[2013]","[Object].[Object Group]","[Object].[Object Group].&amp;[33]","[Object].[Obj Group Nm]","[Object].[Obj Group Nm].&amp;[SALARIES AND WAGES]"),0)</f>
        <v>52857.120000000017</v>
      </c>
      <c r="K36" s="25">
        <f>IFERROR(GETPIVOTDATA("[Measures].[Jrnl Posting Am]",'Historical Summary Cube'!$AA$5,"[Accounting Period].[Fisc Yr]","[Accounting Period].[Fisc Yr].&amp;[2014]","[Object].[Object Group]","[Object].[Object Group].&amp;[33]","[Object].[Obj Group Nm]","[Object].[Obj Group Nm].&amp;[SALARIES AND WAGES]"),0)</f>
        <v>56420.750000000015</v>
      </c>
      <c r="L36" s="25">
        <f>IFERROR(GETPIVOTDATA("[Measures].[Jrnl Posting Am]",'Historical Summary Cube'!$AA$5,"[Accounting Period].[Fisc Yr]","[Accounting Period].[Fisc Yr].&amp;[2015]","[Object].[Object Group]","[Object].[Object Group].&amp;[33]","[Object].[Obj Group Nm]","[Object].[Obj Group Nm].&amp;[SALARIES AND WAGES]"),0)</f>
        <v>59147.919999999991</v>
      </c>
      <c r="M36" s="25">
        <f>IFERROR(GETPIVOTDATA("[Measures].[Jrnl Posting Am]",'Historical Summary Cube'!$AA$5,"[Accounting Period].[Fisc Yr]","[Accounting Period].[Fisc Yr].&amp;[2016]","[Object].[Object Group]","[Object].[Object Group].&amp;[33]","[Object].[Obj Group Nm]","[Object].[Obj Group Nm].&amp;[SALARIES AND WAGES]"),0)</f>
        <v>65420.470000000016</v>
      </c>
      <c r="N36" s="25">
        <f>IFERROR(GETPIVOTDATA("[Measures].[Jrnl Posting Am]",'Historical Summary Cube'!$AA$5,"[Accounting Period].[Fisc Yr]","[Accounting Period].[Fisc Yr].&amp;[2017]","[Object].[Object Group]","[Object].[Object Group].&amp;[33]","[Object].[Obj Group Nm]","[Object].[Obj Group Nm].&amp;[SALARIES AND WAGES]"),0)</f>
        <v>64467.520000000011</v>
      </c>
      <c r="O36" s="25">
        <f>IFERROR(GETPIVOTDATA("[Measures].[Jrnl Posting Am]",'Historical Summary Cube'!$AA$5,"[Accounting Period].[Fisc Yr]","[Accounting Period].[Fisc Yr].&amp;[2018]","[Object].[Object Group]","[Object].[Object Group].&amp;[33]","[Object].[Obj Group Nm]","[Object].[Obj Group Nm].&amp;[SALARIES AND WAGES]"),0)</f>
        <v>54574.12999999999</v>
      </c>
      <c r="P36" s="25">
        <f>IFERROR(GETPIVOTDATA("[Measures].[Jrnl Posting Am]",'Historical Summary Cube'!$AA$5,"[Accounting Period].[Fisc Yr]","[Accounting Period].[Fisc Yr].&amp;[2019]","[Object].[Object Group]","[Object].[Object Group].&amp;[33]","[Object].[Obj Group Nm]","[Object].[Obj Group Nm].&amp;[SALARIES AND WAGES]"),0)</f>
        <v>49745.85</v>
      </c>
      <c r="Q36" s="25">
        <f>IFERROR(GETPIVOTDATA("[Measures].[Jrnl Posting Am]",'Historical Summary Cube'!$AA$5,"[Accounting Period].[Fisc Yr]","[Accounting Period].[Fisc Yr].&amp;[2020]","[Object].[Object Group]","[Object].[Object Group].&amp;[33]","[Object].[Obj Group Nm]","[Object].[Obj Group Nm].&amp;[SALARIES AND WAGES]"),0)</f>
        <v>55501.119999999981</v>
      </c>
      <c r="R36" s="25">
        <f>IFERROR(GETPIVOTDATA("[Measures].[Jrnl Posting Am]",'Historical Summary Cube'!$AA$5,"[Accounting Period].[Fisc Yr]","[Accounting Period].[Fisc Yr].&amp;[2021]","[Object].[Object Group]","[Object].[Object Group].&amp;[33]","[Object].[Obj Group Nm]","[Object].[Obj Group Nm].&amp;[SALARIES AND WAGES]"),0)</f>
        <v>60891.819999999992</v>
      </c>
      <c r="S36" s="25">
        <f>IFERROR(GETPIVOTDATA("[Measures].[Jrnl Posting Am]",'Historical Summary Cube'!$AA$5,"[Accounting Period].[Fisc Yr]","[Accounting Period].[Fisc Yr].&amp;[2022]","[Object].[Object Group]","[Object].[Object Group].&amp;[33]","[Object].[Obj Group Nm]","[Object].[Obj Group Nm].&amp;[SALARIES AND WAGES]"),0)</f>
        <v>65612.759999999995</v>
      </c>
      <c r="T36" s="25">
        <f>IFERROR(GETPIVOTDATA("[Measures].[Jrnl Posting Am]",'Historical Summary Cube'!$AA$5,"[Accounting Period].[Fisc Yr]","[Accounting Period].[Fisc Yr].&amp;[2023]","[Object].[Object Group]","[Object].[Object Group].&amp;[33]","[Object].[Obj Group Nm]","[Object].[Obj Group Nm].&amp;[SALARIES AND WAGES]"),0)</f>
        <v>64170.830000000009</v>
      </c>
      <c r="U36" s="55"/>
      <c r="V36" s="55"/>
    </row>
    <row r="37" spans="1:22" s="19" customFormat="1" ht="15.5" x14ac:dyDescent="0.35">
      <c r="A37" s="27" t="s">
        <v>52</v>
      </c>
      <c r="B37" s="30" t="s">
        <v>79</v>
      </c>
      <c r="C37" s="49"/>
      <c r="D37" s="49"/>
      <c r="E37" s="25">
        <f>IFERROR(GETPIVOTDATA("[Measures].[Jrnl Posting Am]",'Historical Summary Cube'!$AA$5,"[Accounting Period].[Fisc Yr]","[Accounting Period].[Fisc Yr].&amp;[2008]","[Object].[Object Group]","[Object].[Object Group].&amp;[34]","[Object].[Obj Group Nm]","[Object].[Obj Group Nm].&amp;[SALARIES AND WAGES]"),0)</f>
        <v>0</v>
      </c>
      <c r="F37" s="25">
        <f>IFERROR(GETPIVOTDATA("[Measures].[Jrnl Posting Am]",'Historical Summary Cube'!$AA$5,"[Accounting Period].[Fisc Yr]","[Accounting Period].[Fisc Yr].&amp;[2009]","[Object].[Object Group]","[Object].[Object Group].&amp;[34]","[Object].[Obj Group Nm]","[Object].[Obj Group Nm].&amp;[SALARIES AND WAGES]"),0)</f>
        <v>0</v>
      </c>
      <c r="G37" s="25">
        <f>IFERROR(GETPIVOTDATA("[Measures].[Jrnl Posting Am]",'Historical Summary Cube'!$AA$5,"[Accounting Period].[Fisc Yr]","[Accounting Period].[Fisc Yr].&amp;[2010]","[Object].[Object Group]","[Object].[Object Group].&amp;[34]","[Object].[Obj Group Nm]","[Object].[Obj Group Nm].&amp;[SALARIES AND WAGES]"),0)</f>
        <v>0</v>
      </c>
      <c r="H37" s="25">
        <f>IFERROR(GETPIVOTDATA("[Measures].[Jrnl Posting Am]",'Historical Summary Cube'!$AA$5,"[Accounting Period].[Fisc Yr]","[Accounting Period].[Fisc Yr].&amp;[2011]","[Object].[Object Group]","[Object].[Object Group].&amp;[34]","[Object].[Obj Group Nm]","[Object].[Obj Group Nm].&amp;[SALARIES AND WAGES]"),0)</f>
        <v>0</v>
      </c>
      <c r="I37" s="25">
        <f>IFERROR(GETPIVOTDATA("[Measures].[Jrnl Posting Am]",'Historical Summary Cube'!$AA$5,"[Accounting Period].[Fisc Yr]","[Accounting Period].[Fisc Yr].&amp;[2012]","[Object].[Object Group]","[Object].[Object Group].&amp;[34]","[Object].[Obj Group Nm]","[Object].[Obj Group Nm].&amp;[SALARIES AND WAGES]"),0)</f>
        <v>0</v>
      </c>
      <c r="J37" s="25">
        <f>IFERROR(GETPIVOTDATA("[Measures].[Jrnl Posting Am]",'Historical Summary Cube'!$AA$5,"[Accounting Period].[Fisc Yr]","[Accounting Period].[Fisc Yr].&amp;[2013]","[Object].[Object Group]","[Object].[Object Group].&amp;[34]","[Object].[Obj Group Nm]","[Object].[Obj Group Nm].&amp;[SALARIES AND WAGES]"),0)</f>
        <v>0</v>
      </c>
      <c r="K37" s="25">
        <f>IFERROR(GETPIVOTDATA("[Measures].[Jrnl Posting Am]",'Historical Summary Cube'!$AA$5,"[Accounting Period].[Fisc Yr]","[Accounting Period].[Fisc Yr].&amp;[2014]","[Object].[Object Group]","[Object].[Object Group].&amp;[34]","[Object].[Obj Group Nm]","[Object].[Obj Group Nm].&amp;[SALARIES AND WAGES]"),0)</f>
        <v>0</v>
      </c>
      <c r="L37" s="25">
        <f>IFERROR(GETPIVOTDATA("[Measures].[Jrnl Posting Am]",'Historical Summary Cube'!$AA$5,"[Accounting Period].[Fisc Yr]","[Accounting Period].[Fisc Yr].&amp;[2015]","[Object].[Object Group]","[Object].[Object Group].&amp;[34]","[Object].[Obj Group Nm]","[Object].[Obj Group Nm].&amp;[SALARIES AND WAGES]"),0)</f>
        <v>0</v>
      </c>
      <c r="M37" s="25">
        <f>IFERROR(GETPIVOTDATA("[Measures].[Jrnl Posting Am]",'Historical Summary Cube'!$AA$5,"[Accounting Period].[Fisc Yr]","[Accounting Period].[Fisc Yr].&amp;[2016]","[Object].[Object Group]","[Object].[Object Group].&amp;[34]","[Object].[Obj Group Nm]","[Object].[Obj Group Nm].&amp;[SALARIES AND WAGES]"),0)</f>
        <v>0</v>
      </c>
      <c r="N37" s="25">
        <f>IFERROR(GETPIVOTDATA("[Measures].[Jrnl Posting Am]",'Historical Summary Cube'!$AA$5,"[Accounting Period].[Fisc Yr]","[Accounting Period].[Fisc Yr].&amp;[2017]","[Object].[Object Group]","[Object].[Object Group].&amp;[34]","[Object].[Obj Group Nm]","[Object].[Obj Group Nm].&amp;[SALARIES AND WAGES]"),0)</f>
        <v>0</v>
      </c>
      <c r="O37" s="25">
        <f>IFERROR(GETPIVOTDATA("[Measures].[Jrnl Posting Am]",'Historical Summary Cube'!$AA$5,"[Accounting Period].[Fisc Yr]","[Accounting Period].[Fisc Yr].&amp;[2018]","[Object].[Object Group]","[Object].[Object Group].&amp;[34]","[Object].[Obj Group Nm]","[Object].[Obj Group Nm].&amp;[SALARIES AND WAGES]"),0)</f>
        <v>0</v>
      </c>
      <c r="P37" s="25">
        <f>IFERROR(GETPIVOTDATA("[Measures].[Jrnl Posting Am]",'Historical Summary Cube'!$AA$5,"[Accounting Period].[Fisc Yr]","[Accounting Period].[Fisc Yr].&amp;[2019]","[Object].[Object Group]","[Object].[Object Group].&amp;[34]","[Object].[Obj Group Nm]","[Object].[Obj Group Nm].&amp;[SALARIES AND WAGES]"),0)</f>
        <v>2304</v>
      </c>
      <c r="Q37" s="25">
        <f>IFERROR(GETPIVOTDATA("[Measures].[Jrnl Posting Am]",'Historical Summary Cube'!$AA$5,"[Accounting Period].[Fisc Yr]","[Accounting Period].[Fisc Yr].&amp;[2020]","[Object].[Object Group]","[Object].[Object Group].&amp;[34]","[Object].[Obj Group Nm]","[Object].[Obj Group Nm].&amp;[SALARIES AND WAGES]"),0)</f>
        <v>4680</v>
      </c>
      <c r="R37" s="25">
        <f>IFERROR(GETPIVOTDATA("[Measures].[Jrnl Posting Am]",'Historical Summary Cube'!$AA$5,"[Accounting Period].[Fisc Yr]","[Accounting Period].[Fisc Yr].&amp;[2021]","[Object].[Object Group]","[Object].[Object Group].&amp;[34]","[Object].[Obj Group Nm]","[Object].[Obj Group Nm].&amp;[SALARIES AND WAGES]"),0)</f>
        <v>0</v>
      </c>
      <c r="S37" s="25">
        <f>IFERROR(GETPIVOTDATA("[Measures].[Jrnl Posting Am]",'Historical Summary Cube'!$AA$5,"[Accounting Period].[Fisc Yr]","[Accounting Period].[Fisc Yr].&amp;[2022]","[Object].[Object Group]","[Object].[Object Group].&amp;[34]","[Object].[Obj Group Nm]","[Object].[Obj Group Nm].&amp;[SALARIES AND WAGES]"),0)</f>
        <v>0</v>
      </c>
      <c r="T37" s="25">
        <f>IFERROR(GETPIVOTDATA("[Measures].[Jrnl Posting Am]",'Historical Summary Cube'!$AA$5,"[Accounting Period].[Fisc Yr]","[Accounting Period].[Fisc Yr].&amp;[2023]","[Object].[Object Group]","[Object].[Object Group].&amp;[34]","[Object].[Obj Group Nm]","[Object].[Obj Group Nm].&amp;[SALARIES AND WAGES]"),0)</f>
        <v>0</v>
      </c>
      <c r="U37" s="55"/>
      <c r="V37" s="55"/>
    </row>
    <row r="38" spans="1:22" s="19" customFormat="1" ht="15.5" x14ac:dyDescent="0.35">
      <c r="A38" s="27" t="s">
        <v>53</v>
      </c>
      <c r="B38" s="30" t="s">
        <v>79</v>
      </c>
      <c r="C38" s="49"/>
      <c r="D38" s="49"/>
      <c r="E38" s="25">
        <f>IFERROR(GETPIVOTDATA("[Measures].[Jrnl Posting Am]",'Historical Summary Cube'!$AA$5,"[Accounting Period].[Fisc Yr]","[Accounting Period].[Fisc Yr].&amp;[2008]","[Object].[Object Group]","[Object].[Object Group].&amp;[36]","[Object].[Obj Group Nm]","[Object].[Obj Group Nm].&amp;[SALARIES AND WAGES]"),0)</f>
        <v>24658.670000000002</v>
      </c>
      <c r="F38" s="25">
        <f>IFERROR(GETPIVOTDATA("[Measures].[Jrnl Posting Am]",'Historical Summary Cube'!$AA$5,"[Accounting Period].[Fisc Yr]","[Accounting Period].[Fisc Yr].&amp;[2009]","[Object].[Object Group]","[Object].[Object Group].&amp;[36]","[Object].[Obj Group Nm]","[Object].[Obj Group Nm].&amp;[SALARIES AND WAGES]"),0)</f>
        <v>17692.350000000002</v>
      </c>
      <c r="G38" s="25">
        <f>IFERROR(GETPIVOTDATA("[Measures].[Jrnl Posting Am]",'Historical Summary Cube'!$AA$5,"[Accounting Period].[Fisc Yr]","[Accounting Period].[Fisc Yr].&amp;[2010]","[Object].[Object Group]","[Object].[Object Group].&amp;[36]","[Object].[Obj Group Nm]","[Object].[Obj Group Nm].&amp;[SALARIES AND WAGES]"),0)</f>
        <v>19885.340000000007</v>
      </c>
      <c r="H38" s="25">
        <f>IFERROR(GETPIVOTDATA("[Measures].[Jrnl Posting Am]",'Historical Summary Cube'!$AA$5,"[Accounting Period].[Fisc Yr]","[Accounting Period].[Fisc Yr].&amp;[2011]","[Object].[Object Group]","[Object].[Object Group].&amp;[36]","[Object].[Obj Group Nm]","[Object].[Obj Group Nm].&amp;[SALARIES AND WAGES]"),0)</f>
        <v>19793.699999999997</v>
      </c>
      <c r="I38" s="25">
        <f>IFERROR(GETPIVOTDATA("[Measures].[Jrnl Posting Am]",'Historical Summary Cube'!$AA$5,"[Accounting Period].[Fisc Yr]","[Accounting Period].[Fisc Yr].&amp;[2012]","[Object].[Object Group]","[Object].[Object Group].&amp;[36]","[Object].[Obj Group Nm]","[Object].[Obj Group Nm].&amp;[SALARIES AND WAGES]"),0)</f>
        <v>13596.800000000003</v>
      </c>
      <c r="J38" s="25">
        <f>IFERROR(GETPIVOTDATA("[Measures].[Jrnl Posting Am]",'Historical Summary Cube'!$AA$5,"[Accounting Period].[Fisc Yr]","[Accounting Period].[Fisc Yr].&amp;[2013]","[Object].[Object Group]","[Object].[Object Group].&amp;[36]","[Object].[Obj Group Nm]","[Object].[Obj Group Nm].&amp;[SALARIES AND WAGES]"),0)</f>
        <v>11978.340000000006</v>
      </c>
      <c r="K38" s="25">
        <f>IFERROR(GETPIVOTDATA("[Measures].[Jrnl Posting Am]",'Historical Summary Cube'!$AA$5,"[Accounting Period].[Fisc Yr]","[Accounting Period].[Fisc Yr].&amp;[2014]","[Object].[Object Group]","[Object].[Object Group].&amp;[36]","[Object].[Obj Group Nm]","[Object].[Obj Group Nm].&amp;[SALARIES AND WAGES]"),0)</f>
        <v>10657.580000000002</v>
      </c>
      <c r="L38" s="25">
        <f>IFERROR(GETPIVOTDATA("[Measures].[Jrnl Posting Am]",'Historical Summary Cube'!$AA$5,"[Accounting Period].[Fisc Yr]","[Accounting Period].[Fisc Yr].&amp;[2015]","[Object].[Object Group]","[Object].[Object Group].&amp;[36]","[Object].[Obj Group Nm]","[Object].[Obj Group Nm].&amp;[SALARIES AND WAGES]"),0)</f>
        <v>15495.409999999994</v>
      </c>
      <c r="M38" s="25">
        <f>IFERROR(GETPIVOTDATA("[Measures].[Jrnl Posting Am]",'Historical Summary Cube'!$AA$5,"[Accounting Period].[Fisc Yr]","[Accounting Period].[Fisc Yr].&amp;[2016]","[Object].[Object Group]","[Object].[Object Group].&amp;[36]","[Object].[Obj Group Nm]","[Object].[Obj Group Nm].&amp;[SALARIES AND WAGES]"),0)</f>
        <v>12154.229999999998</v>
      </c>
      <c r="N38" s="25">
        <f>IFERROR(GETPIVOTDATA("[Measures].[Jrnl Posting Am]",'Historical Summary Cube'!$AA$5,"[Accounting Period].[Fisc Yr]","[Accounting Period].[Fisc Yr].&amp;[2017]","[Object].[Object Group]","[Object].[Object Group].&amp;[36]","[Object].[Obj Group Nm]","[Object].[Obj Group Nm].&amp;[SALARIES AND WAGES]"),0)</f>
        <v>25911.27</v>
      </c>
      <c r="O38" s="25">
        <f>IFERROR(GETPIVOTDATA("[Measures].[Jrnl Posting Am]",'Historical Summary Cube'!$AA$5,"[Accounting Period].[Fisc Yr]","[Accounting Period].[Fisc Yr].&amp;[2018]","[Object].[Object Group]","[Object].[Object Group].&amp;[36]","[Object].[Obj Group Nm]","[Object].[Obj Group Nm].&amp;[SALARIES AND WAGES]"),0)</f>
        <v>8750.92</v>
      </c>
      <c r="P38" s="25">
        <f>IFERROR(GETPIVOTDATA("[Measures].[Jrnl Posting Am]",'Historical Summary Cube'!$AA$5,"[Accounting Period].[Fisc Yr]","[Accounting Period].[Fisc Yr].&amp;[2019]","[Object].[Object Group]","[Object].[Object Group].&amp;[36]","[Object].[Obj Group Nm]","[Object].[Obj Group Nm].&amp;[SALARIES AND WAGES]"),0)</f>
        <v>8890</v>
      </c>
      <c r="Q38" s="25">
        <f>IFERROR(GETPIVOTDATA("[Measures].[Jrnl Posting Am]",'Historical Summary Cube'!$AA$5,"[Accounting Period].[Fisc Yr]","[Accounting Period].[Fisc Yr].&amp;[2020]","[Object].[Object Group]","[Object].[Object Group].&amp;[36]","[Object].[Obj Group Nm]","[Object].[Obj Group Nm].&amp;[SALARIES AND WAGES]"),0)</f>
        <v>12702.839999999998</v>
      </c>
      <c r="R38" s="25">
        <f>IFERROR(GETPIVOTDATA("[Measures].[Jrnl Posting Am]",'Historical Summary Cube'!$AA$5,"[Accounting Period].[Fisc Yr]","[Accounting Period].[Fisc Yr].&amp;[2021]","[Object].[Object Group]","[Object].[Object Group].&amp;[36]","[Object].[Obj Group Nm]","[Object].[Obj Group Nm].&amp;[SALARIES AND WAGES]"),0)</f>
        <v>15734.019999999999</v>
      </c>
      <c r="S38" s="25">
        <f>IFERROR(GETPIVOTDATA("[Measures].[Jrnl Posting Am]",'Historical Summary Cube'!$AA$5,"[Accounting Period].[Fisc Yr]","[Accounting Period].[Fisc Yr].&amp;[2022]","[Object].[Object Group]","[Object].[Object Group].&amp;[36]","[Object].[Obj Group Nm]","[Object].[Obj Group Nm].&amp;[SALARIES AND WAGES]"),0)</f>
        <v>42588.93</v>
      </c>
      <c r="T38" s="25">
        <f>IFERROR(GETPIVOTDATA("[Measures].[Jrnl Posting Am]",'Historical Summary Cube'!$AA$5,"[Accounting Period].[Fisc Yr]","[Accounting Period].[Fisc Yr].&amp;[2023]","[Object].[Object Group]","[Object].[Object Group].&amp;[36]","[Object].[Obj Group Nm]","[Object].[Obj Group Nm].&amp;[SALARIES AND WAGES]"),0)</f>
        <v>27533.890000000003</v>
      </c>
      <c r="U38" s="55"/>
      <c r="V38" s="55"/>
    </row>
    <row r="39" spans="1:22" s="19" customFormat="1" ht="15.5" x14ac:dyDescent="0.35">
      <c r="A39" s="27" t="s">
        <v>54</v>
      </c>
      <c r="B39" s="30" t="s">
        <v>79</v>
      </c>
      <c r="C39" s="49"/>
      <c r="D39" s="49"/>
      <c r="E39" s="25">
        <f>IFERROR(GETPIVOTDATA("[Measures].[Jrnl Posting Am]",'Historical Summary Cube'!$AA$5,"[Accounting Period].[Fisc Yr]","[Accounting Period].[Fisc Yr].&amp;[2008]","[Object].[Object Group]","[Object].[Object Group].&amp;[38]","[Object].[Obj Group Nm]","[Object].[Obj Group Nm].&amp;[SALARIES AND WAGES]"),0)</f>
        <v>7020.95</v>
      </c>
      <c r="F39" s="25">
        <f>IFERROR(GETPIVOTDATA("[Measures].[Jrnl Posting Am]",'Historical Summary Cube'!$AA$5,"[Accounting Period].[Fisc Yr]","[Accounting Period].[Fisc Yr].&amp;[2009]","[Object].[Object Group]","[Object].[Object Group].&amp;[38]","[Object].[Obj Group Nm]","[Object].[Obj Group Nm].&amp;[SALARIES AND WAGES]"),0)</f>
        <v>6119.79</v>
      </c>
      <c r="G39" s="25">
        <f>IFERROR(GETPIVOTDATA("[Measures].[Jrnl Posting Am]",'Historical Summary Cube'!$AA$5,"[Accounting Period].[Fisc Yr]","[Accounting Period].[Fisc Yr].&amp;[2010]","[Object].[Object Group]","[Object].[Object Group].&amp;[38]","[Object].[Obj Group Nm]","[Object].[Obj Group Nm].&amp;[SALARIES AND WAGES]"),0)</f>
        <v>8878.32</v>
      </c>
      <c r="H39" s="25">
        <f>IFERROR(GETPIVOTDATA("[Measures].[Jrnl Posting Am]",'Historical Summary Cube'!$AA$5,"[Accounting Period].[Fisc Yr]","[Accounting Period].[Fisc Yr].&amp;[2011]","[Object].[Object Group]","[Object].[Object Group].&amp;[38]","[Object].[Obj Group Nm]","[Object].[Obj Group Nm].&amp;[SALARIES AND WAGES]"),0)</f>
        <v>8888.0400000000009</v>
      </c>
      <c r="I39" s="25">
        <f>IFERROR(GETPIVOTDATA("[Measures].[Jrnl Posting Am]",'Historical Summary Cube'!$AA$5,"[Accounting Period].[Fisc Yr]","[Accounting Period].[Fisc Yr].&amp;[2012]","[Object].[Object Group]","[Object].[Object Group].&amp;[38]","[Object].[Obj Group Nm]","[Object].[Obj Group Nm].&amp;[SALARIES AND WAGES]"),0)</f>
        <v>8433.42</v>
      </c>
      <c r="J39" s="25">
        <f>IFERROR(GETPIVOTDATA("[Measures].[Jrnl Posting Am]",'Historical Summary Cube'!$AA$5,"[Accounting Period].[Fisc Yr]","[Accounting Period].[Fisc Yr].&amp;[2013]","[Object].[Object Group]","[Object].[Object Group].&amp;[38]","[Object].[Obj Group Nm]","[Object].[Obj Group Nm].&amp;[SALARIES AND WAGES]"),0)</f>
        <v>10470.700000000001</v>
      </c>
      <c r="K39" s="25">
        <f>IFERROR(GETPIVOTDATA("[Measures].[Jrnl Posting Am]",'Historical Summary Cube'!$AA$5,"[Accounting Period].[Fisc Yr]","[Accounting Period].[Fisc Yr].&amp;[2014]","[Object].[Object Group]","[Object].[Object Group].&amp;[38]","[Object].[Obj Group Nm]","[Object].[Obj Group Nm].&amp;[SALARIES AND WAGES]"),0)</f>
        <v>8892.8200000000015</v>
      </c>
      <c r="L39" s="25">
        <f>IFERROR(GETPIVOTDATA("[Measures].[Jrnl Posting Am]",'Historical Summary Cube'!$AA$5,"[Accounting Period].[Fisc Yr]","[Accounting Period].[Fisc Yr].&amp;[2015]","[Object].[Object Group]","[Object].[Object Group].&amp;[38]","[Object].[Obj Group Nm]","[Object].[Obj Group Nm].&amp;[SALARIES AND WAGES]"),0)</f>
        <v>9141.89</v>
      </c>
      <c r="M39" s="25">
        <f>IFERROR(GETPIVOTDATA("[Measures].[Jrnl Posting Am]",'Historical Summary Cube'!$AA$5,"[Accounting Period].[Fisc Yr]","[Accounting Period].[Fisc Yr].&amp;[2016]","[Object].[Object Group]","[Object].[Object Group].&amp;[38]","[Object].[Obj Group Nm]","[Object].[Obj Group Nm].&amp;[SALARIES AND WAGES]"),0)</f>
        <v>7768.3200000000015</v>
      </c>
      <c r="N39" s="25">
        <f>IFERROR(GETPIVOTDATA("[Measures].[Jrnl Posting Am]",'Historical Summary Cube'!$AA$5,"[Accounting Period].[Fisc Yr]","[Accounting Period].[Fisc Yr].&amp;[2017]","[Object].[Object Group]","[Object].[Object Group].&amp;[38]","[Object].[Obj Group Nm]","[Object].[Obj Group Nm].&amp;[SALARIES AND WAGES]"),0)</f>
        <v>7780.19</v>
      </c>
      <c r="O39" s="25">
        <f>IFERROR(GETPIVOTDATA("[Measures].[Jrnl Posting Am]",'Historical Summary Cube'!$AA$5,"[Accounting Period].[Fisc Yr]","[Accounting Period].[Fisc Yr].&amp;[2018]","[Object].[Object Group]","[Object].[Object Group].&amp;[38]","[Object].[Obj Group Nm]","[Object].[Obj Group Nm].&amp;[SALARIES AND WAGES]"),0)</f>
        <v>7308.08</v>
      </c>
      <c r="P39" s="25">
        <f>IFERROR(GETPIVOTDATA("[Measures].[Jrnl Posting Am]",'Historical Summary Cube'!$AA$5,"[Accounting Period].[Fisc Yr]","[Accounting Period].[Fisc Yr].&amp;[2019]","[Object].[Object Group]","[Object].[Object Group].&amp;[38]","[Object].[Obj Group Nm]","[Object].[Obj Group Nm].&amp;[SALARIES AND WAGES]"),0)</f>
        <v>7558.0300000000007</v>
      </c>
      <c r="Q39" s="25">
        <f>IFERROR(GETPIVOTDATA("[Measures].[Jrnl Posting Am]",'Historical Summary Cube'!$AA$5,"[Accounting Period].[Fisc Yr]","[Accounting Period].[Fisc Yr].&amp;[2020]","[Object].[Object Group]","[Object].[Object Group].&amp;[38]","[Object].[Obj Group Nm]","[Object].[Obj Group Nm].&amp;[SALARIES AND WAGES]"),0)</f>
        <v>5888.6</v>
      </c>
      <c r="R39" s="25">
        <f>IFERROR(GETPIVOTDATA("[Measures].[Jrnl Posting Am]",'Historical Summary Cube'!$AA$5,"[Accounting Period].[Fisc Yr]","[Accounting Period].[Fisc Yr].&amp;[2021]","[Object].[Object Group]","[Object].[Object Group].&amp;[38]","[Object].[Obj Group Nm]","[Object].[Obj Group Nm].&amp;[SALARIES AND WAGES]"),0)</f>
        <v>7271.29</v>
      </c>
      <c r="S39" s="25">
        <f>IFERROR(GETPIVOTDATA("[Measures].[Jrnl Posting Am]",'Historical Summary Cube'!$AA$5,"[Accounting Period].[Fisc Yr]","[Accounting Period].[Fisc Yr].&amp;[2022]","[Object].[Object Group]","[Object].[Object Group].&amp;[38]","[Object].[Obj Group Nm]","[Object].[Obj Group Nm].&amp;[SALARIES AND WAGES]"),0)</f>
        <v>7954.4700000000012</v>
      </c>
      <c r="T39" s="25">
        <f>IFERROR(GETPIVOTDATA("[Measures].[Jrnl Posting Am]",'Historical Summary Cube'!$AA$5,"[Accounting Period].[Fisc Yr]","[Accounting Period].[Fisc Yr].&amp;[2023]","[Object].[Object Group]","[Object].[Object Group].&amp;[38]","[Object].[Obj Group Nm]","[Object].[Obj Group Nm].&amp;[SALARIES AND WAGES]"),0)</f>
        <v>2414.38</v>
      </c>
      <c r="U39" s="55"/>
      <c r="V39" s="55"/>
    </row>
    <row r="40" spans="1:22" s="19" customFormat="1" ht="15.5" x14ac:dyDescent="0.35">
      <c r="A40" s="27" t="s">
        <v>55</v>
      </c>
      <c r="B40" s="30" t="s">
        <v>80</v>
      </c>
      <c r="C40" s="49"/>
      <c r="D40" s="49"/>
      <c r="E40" s="25">
        <f>IFERROR(GETPIVOTDATA("[Measures].[Jrnl Posting Am]",'Historical Summary Cube'!$AA$5,"[Accounting Period].[Fisc Yr]","[Accounting Period].[Fisc Yr].&amp;[2008]","[Object].[Object Group]","[Object].[Object Group].&amp;[39]","[Object].[Obj Group Nm]","[Object].[Obj Group Nm].&amp;[FRINGE BENEFITS]"),0)</f>
        <v>333547.76000000007</v>
      </c>
      <c r="F40" s="25">
        <f>IFERROR(GETPIVOTDATA("[Measures].[Jrnl Posting Am]",'Historical Summary Cube'!$AA$5,"[Accounting Period].[Fisc Yr]","[Accounting Period].[Fisc Yr].&amp;[2009]","[Object].[Object Group]","[Object].[Object Group].&amp;[39]","[Object].[Obj Group Nm]","[Object].[Obj Group Nm].&amp;[FRINGE BENEFITS]"),0)</f>
        <v>358668.53000000009</v>
      </c>
      <c r="G40" s="25">
        <f>IFERROR(GETPIVOTDATA("[Measures].[Jrnl Posting Am]",'Historical Summary Cube'!$AA$5,"[Accounting Period].[Fisc Yr]","[Accounting Period].[Fisc Yr].&amp;[2010]","[Object].[Object Group]","[Object].[Object Group].&amp;[39]","[Object].[Obj Group Nm]","[Object].[Obj Group Nm].&amp;[FRINGE BENEFITS]"),0)</f>
        <v>346819.87</v>
      </c>
      <c r="H40" s="25">
        <f>IFERROR(GETPIVOTDATA("[Measures].[Jrnl Posting Am]",'Historical Summary Cube'!$AA$5,"[Accounting Period].[Fisc Yr]","[Accounting Period].[Fisc Yr].&amp;[2011]","[Object].[Object Group]","[Object].[Object Group].&amp;[39]","[Object].[Obj Group Nm]","[Object].[Obj Group Nm].&amp;[FRINGE BENEFITS]"),0)</f>
        <v>366894.06000000006</v>
      </c>
      <c r="I40" s="25">
        <f>IFERROR(GETPIVOTDATA("[Measures].[Jrnl Posting Am]",'Historical Summary Cube'!$AA$5,"[Accounting Period].[Fisc Yr]","[Accounting Period].[Fisc Yr].&amp;[2012]","[Object].[Object Group]","[Object].[Object Group].&amp;[39]","[Object].[Obj Group Nm]","[Object].[Obj Group Nm].&amp;[FRINGE BENEFITS]"),0)</f>
        <v>358521.33999999997</v>
      </c>
      <c r="J40" s="25">
        <f>IFERROR(GETPIVOTDATA("[Measures].[Jrnl Posting Am]",'Historical Summary Cube'!$AA$5,"[Accounting Period].[Fisc Yr]","[Accounting Period].[Fisc Yr].&amp;[2013]","[Object].[Object Group]","[Object].[Object Group].&amp;[39]","[Object].[Obj Group Nm]","[Object].[Obj Group Nm].&amp;[FRINGE BENEFITS]"),0)</f>
        <v>364636.84</v>
      </c>
      <c r="K40" s="25">
        <f>IFERROR(GETPIVOTDATA("[Measures].[Jrnl Posting Am]",'Historical Summary Cube'!$AA$5,"[Accounting Period].[Fisc Yr]","[Accounting Period].[Fisc Yr].&amp;[2014]","[Object].[Object Group]","[Object].[Object Group].&amp;[39]","[Object].[Obj Group Nm]","[Object].[Obj Group Nm].&amp;[FRINGE BENEFITS]"),0)</f>
        <v>402229</v>
      </c>
      <c r="L40" s="25">
        <f>IFERROR(GETPIVOTDATA("[Measures].[Jrnl Posting Am]",'Historical Summary Cube'!$AA$5,"[Accounting Period].[Fisc Yr]","[Accounting Period].[Fisc Yr].&amp;[2015]","[Object].[Object Group]","[Object].[Object Group].&amp;[39]","[Object].[Obj Group Nm]","[Object].[Obj Group Nm].&amp;[FRINGE BENEFITS]"),0)</f>
        <v>418671.76999999996</v>
      </c>
      <c r="M40" s="25">
        <f>IFERROR(GETPIVOTDATA("[Measures].[Jrnl Posting Am]",'Historical Summary Cube'!$AA$5,"[Accounting Period].[Fisc Yr]","[Accounting Period].[Fisc Yr].&amp;[2016]","[Object].[Object Group]","[Object].[Object Group].&amp;[39]","[Object].[Obj Group Nm]","[Object].[Obj Group Nm].&amp;[FRINGE BENEFITS]"),0)</f>
        <v>424849.48000000004</v>
      </c>
      <c r="N40" s="25">
        <f>IFERROR(GETPIVOTDATA("[Measures].[Jrnl Posting Am]",'Historical Summary Cube'!$AA$5,"[Accounting Period].[Fisc Yr]","[Accounting Period].[Fisc Yr].&amp;[2017]","[Object].[Object Group]","[Object].[Object Group].&amp;[39]","[Object].[Obj Group Nm]","[Object].[Obj Group Nm].&amp;[FRINGE BENEFITS]"),0)</f>
        <v>435463.01999999996</v>
      </c>
      <c r="O40" s="25">
        <f>IFERROR(GETPIVOTDATA("[Measures].[Jrnl Posting Am]",'Historical Summary Cube'!$AA$5,"[Accounting Period].[Fisc Yr]","[Accounting Period].[Fisc Yr].&amp;[2018]","[Object].[Object Group]","[Object].[Object Group].&amp;[39]","[Object].[Obj Group Nm]","[Object].[Obj Group Nm].&amp;[FRINGE BENEFITS]"),0)</f>
        <v>454949.36999999982</v>
      </c>
      <c r="P40" s="25">
        <f>IFERROR(GETPIVOTDATA("[Measures].[Jrnl Posting Am]",'Historical Summary Cube'!$AA$5,"[Accounting Period].[Fisc Yr]","[Accounting Period].[Fisc Yr].&amp;[2019]","[Object].[Object Group]","[Object].[Object Group].&amp;[39]","[Object].[Obj Group Nm]","[Object].[Obj Group Nm].&amp;[FRINGE BENEFITS]"),0)</f>
        <v>474202.87999999995</v>
      </c>
      <c r="Q40" s="25">
        <f>IFERROR(GETPIVOTDATA("[Measures].[Jrnl Posting Am]",'Historical Summary Cube'!$AA$5,"[Accounting Period].[Fisc Yr]","[Accounting Period].[Fisc Yr].&amp;[2020]","[Object].[Object Group]","[Object].[Object Group].&amp;[39]","[Object].[Obj Group Nm]","[Object].[Obj Group Nm].&amp;[FRINGE BENEFITS]"),0)</f>
        <v>452474.25000000006</v>
      </c>
      <c r="R40" s="25">
        <f>IFERROR(GETPIVOTDATA("[Measures].[Jrnl Posting Am]",'Historical Summary Cube'!$AA$5,"[Accounting Period].[Fisc Yr]","[Accounting Period].[Fisc Yr].&amp;[2021]","[Object].[Object Group]","[Object].[Object Group].&amp;[39]","[Object].[Obj Group Nm]","[Object].[Obj Group Nm].&amp;[FRINGE BENEFITS]"),0)</f>
        <v>451681.83000000007</v>
      </c>
      <c r="S40" s="25">
        <f>IFERROR(GETPIVOTDATA("[Measures].[Jrnl Posting Am]",'Historical Summary Cube'!$AA$5,"[Accounting Period].[Fisc Yr]","[Accounting Period].[Fisc Yr].&amp;[2022]","[Object].[Object Group]","[Object].[Object Group].&amp;[39]","[Object].[Obj Group Nm]","[Object].[Obj Group Nm].&amp;[FRINGE BENEFITS]"),0)</f>
        <v>440315.9</v>
      </c>
      <c r="T40" s="25">
        <f>IFERROR(GETPIVOTDATA("[Measures].[Jrnl Posting Am]",'Historical Summary Cube'!$AA$5,"[Accounting Period].[Fisc Yr]","[Accounting Period].[Fisc Yr].&amp;[2023]","[Object].[Object Group]","[Object].[Object Group].&amp;[39]","[Object].[Obj Group Nm]","[Object].[Obj Group Nm].&amp;[FRINGE BENEFITS]"),0)</f>
        <v>397009.68000000011</v>
      </c>
      <c r="U40" s="55"/>
      <c r="V40" s="55"/>
    </row>
    <row r="41" spans="1:22" s="19" customFormat="1" ht="15.5" x14ac:dyDescent="0.35">
      <c r="A41" s="27" t="s">
        <v>56</v>
      </c>
      <c r="B41" s="30" t="s">
        <v>81</v>
      </c>
      <c r="C41" s="49"/>
      <c r="D41" s="49"/>
      <c r="E41" s="25">
        <f>IFERROR(GETPIVOTDATA("[Measures].[Jrnl Posting Am]",'Historical Summary Cube'!$AA$5,"[Accounting Period].[Fisc Yr]","[Accounting Period].[Fisc Yr].&amp;[2008]","[Object].[Object Group]","[Object].[Object Group].&amp;[40]","[Object].[Obj Group Nm]","[Object].[Obj Group Nm].&amp;[PROF. SERVICES, NOT BY STATE]"),0)</f>
        <v>55813.479999999996</v>
      </c>
      <c r="F41" s="25">
        <f>IFERROR(GETPIVOTDATA("[Measures].[Jrnl Posting Am]",'Historical Summary Cube'!$AA$5,"[Accounting Period].[Fisc Yr]","[Accounting Period].[Fisc Yr].&amp;[2009]","[Object].[Object Group]","[Object].[Object Group].&amp;[40]","[Object].[Obj Group Nm]","[Object].[Obj Group Nm].&amp;[PROF. SERVICES, NOT BY STATE]"),0)</f>
        <v>23371.040000000001</v>
      </c>
      <c r="G41" s="25">
        <f>IFERROR(GETPIVOTDATA("[Measures].[Jrnl Posting Am]",'Historical Summary Cube'!$AA$5,"[Accounting Period].[Fisc Yr]","[Accounting Period].[Fisc Yr].&amp;[2010]","[Object].[Object Group]","[Object].[Object Group].&amp;[40]","[Object].[Obj Group Nm]","[Object].[Obj Group Nm].&amp;[PROF. SERVICES, NOT BY STATE]"),0)</f>
        <v>41292.409999999996</v>
      </c>
      <c r="H41" s="25">
        <f>IFERROR(GETPIVOTDATA("[Measures].[Jrnl Posting Am]",'Historical Summary Cube'!$AA$5,"[Accounting Period].[Fisc Yr]","[Accounting Period].[Fisc Yr].&amp;[2011]","[Object].[Object Group]","[Object].[Object Group].&amp;[40]","[Object].[Obj Group Nm]","[Object].[Obj Group Nm].&amp;[PROF. SERVICES, NOT BY STATE]"),0)</f>
        <v>53813.619999999988</v>
      </c>
      <c r="I41" s="25">
        <f>IFERROR(GETPIVOTDATA("[Measures].[Jrnl Posting Am]",'Historical Summary Cube'!$AA$5,"[Accounting Period].[Fisc Yr]","[Accounting Period].[Fisc Yr].&amp;[2012]","[Object].[Object Group]","[Object].[Object Group].&amp;[40]","[Object].[Obj Group Nm]","[Object].[Obj Group Nm].&amp;[PROF. SERVICES, NOT BY STATE]"),0)</f>
        <v>41050.279999999992</v>
      </c>
      <c r="J41" s="25">
        <f>IFERROR(GETPIVOTDATA("[Measures].[Jrnl Posting Am]",'Historical Summary Cube'!$AA$5,"[Accounting Period].[Fisc Yr]","[Accounting Period].[Fisc Yr].&amp;[2013]","[Object].[Object Group]","[Object].[Object Group].&amp;[40]","[Object].[Obj Group Nm]","[Object].[Obj Group Nm].&amp;[PROF. SERVICES, NOT BY STATE]"),0)</f>
        <v>20804.820000000007</v>
      </c>
      <c r="K41" s="25">
        <f>IFERROR(GETPIVOTDATA("[Measures].[Jrnl Posting Am]",'Historical Summary Cube'!$AA$5,"[Accounting Period].[Fisc Yr]","[Accounting Period].[Fisc Yr].&amp;[2014]","[Object].[Object Group]","[Object].[Object Group].&amp;[40]","[Object].[Obj Group Nm]","[Object].[Obj Group Nm].&amp;[PROF. SERVICES, NOT BY STATE]"),0)</f>
        <v>30605.200000000012</v>
      </c>
      <c r="L41" s="25">
        <f>IFERROR(GETPIVOTDATA("[Measures].[Jrnl Posting Am]",'Historical Summary Cube'!$AA$5,"[Accounting Period].[Fisc Yr]","[Accounting Period].[Fisc Yr].&amp;[2015]","[Object].[Object Group]","[Object].[Object Group].&amp;[40]","[Object].[Obj Group Nm]","[Object].[Obj Group Nm].&amp;[PROF. SERVICES, NOT BY STATE]"),0)</f>
        <v>28244.499999999996</v>
      </c>
      <c r="M41" s="25">
        <f>IFERROR(GETPIVOTDATA("[Measures].[Jrnl Posting Am]",'Historical Summary Cube'!$AA$5,"[Accounting Period].[Fisc Yr]","[Accounting Period].[Fisc Yr].&amp;[2016]","[Object].[Object Group]","[Object].[Object Group].&amp;[40]","[Object].[Obj Group Nm]","[Object].[Obj Group Nm].&amp;[PROF. SERVICES, NOT BY STATE]"),0)</f>
        <v>38597.08</v>
      </c>
      <c r="N41" s="25">
        <f>IFERROR(GETPIVOTDATA("[Measures].[Jrnl Posting Am]",'Historical Summary Cube'!$AA$5,"[Accounting Period].[Fisc Yr]","[Accounting Period].[Fisc Yr].&amp;[2017]","[Object].[Object Group]","[Object].[Object Group].&amp;[40]","[Object].[Obj Group Nm]","[Object].[Obj Group Nm].&amp;[PROF. SERVICES, NOT BY STATE]"),0)</f>
        <v>52058.390000000007</v>
      </c>
      <c r="O41" s="25">
        <f>IFERROR(GETPIVOTDATA("[Measures].[Jrnl Posting Am]",'Historical Summary Cube'!$AA$5,"[Accounting Period].[Fisc Yr]","[Accounting Period].[Fisc Yr].&amp;[2018]","[Object].[Object Group]","[Object].[Object Group].&amp;[40]","[Object].[Obj Group Nm]","[Object].[Obj Group Nm].&amp;[PROF. SERVICES, NOT BY STATE]"),0)</f>
        <v>46789.370000000017</v>
      </c>
      <c r="P41" s="25">
        <f>IFERROR(GETPIVOTDATA("[Measures].[Jrnl Posting Am]",'Historical Summary Cube'!$AA$5,"[Accounting Period].[Fisc Yr]","[Accounting Period].[Fisc Yr].&amp;[2019]","[Object].[Object Group]","[Object].[Object Group].&amp;[40]","[Object].[Obj Group Nm]","[Object].[Obj Group Nm].&amp;[PROF. SERVICES, NOT BY STATE]"),0)</f>
        <v>33534.410000000003</v>
      </c>
      <c r="Q41" s="25">
        <f>IFERROR(GETPIVOTDATA("[Measures].[Jrnl Posting Am]",'Historical Summary Cube'!$AA$5,"[Accounting Period].[Fisc Yr]","[Accounting Period].[Fisc Yr].&amp;[2020]","[Object].[Object Group]","[Object].[Object Group].&amp;[40]","[Object].[Obj Group Nm]","[Object].[Obj Group Nm].&amp;[PROF. SERVICES, NOT BY STATE]"),0)</f>
        <v>14941.44</v>
      </c>
      <c r="R41" s="25">
        <f>IFERROR(GETPIVOTDATA("[Measures].[Jrnl Posting Am]",'Historical Summary Cube'!$AA$5,"[Accounting Period].[Fisc Yr]","[Accounting Period].[Fisc Yr].&amp;[2021]","[Object].[Object Group]","[Object].[Object Group].&amp;[40]","[Object].[Obj Group Nm]","[Object].[Obj Group Nm].&amp;[PROF. SERVICES, NOT BY STATE]"),0)</f>
        <v>19075.159999999993</v>
      </c>
      <c r="S41" s="25">
        <f>IFERROR(GETPIVOTDATA("[Measures].[Jrnl Posting Am]",'Historical Summary Cube'!$AA$5,"[Accounting Period].[Fisc Yr]","[Accounting Period].[Fisc Yr].&amp;[2022]","[Object].[Object Group]","[Object].[Object Group].&amp;[40]","[Object].[Obj Group Nm]","[Object].[Obj Group Nm].&amp;[PROF. SERVICES, NOT BY STATE]"),0)</f>
        <v>100630.24000000002</v>
      </c>
      <c r="T41" s="25">
        <f>IFERROR(GETPIVOTDATA("[Measures].[Jrnl Posting Am]",'Historical Summary Cube'!$AA$5,"[Accounting Period].[Fisc Yr]","[Accounting Period].[Fisc Yr].&amp;[2023]","[Object].[Object Group]","[Object].[Object Group].&amp;[40]","[Object].[Obj Group Nm]","[Object].[Obj Group Nm].&amp;[PROF. SERVICES, NOT BY STATE]"),0)</f>
        <v>62699</v>
      </c>
      <c r="U41" s="55"/>
      <c r="V41" s="55"/>
    </row>
    <row r="42" spans="1:22" s="19" customFormat="1" ht="15.5" x14ac:dyDescent="0.35">
      <c r="A42" s="27" t="s">
        <v>57</v>
      </c>
      <c r="B42" s="30" t="s">
        <v>82</v>
      </c>
      <c r="C42" s="49"/>
      <c r="D42" s="49"/>
      <c r="E42" s="25">
        <f>IFERROR(GETPIVOTDATA("[Measures].[Jrnl Posting Am]",'Historical Summary Cube'!$AA$5,"[Accounting Period].[Fisc Yr]","[Accounting Period].[Fisc Yr].&amp;[2008]","[Object].[Object Group]","[Object].[Object Group].&amp;[41]","[Object].[Obj Group Nm]","[Object].[Obj Group Nm].&amp;[PROF. SERVICES, BY STATE]"),0)</f>
        <v>608</v>
      </c>
      <c r="F42" s="25">
        <f>IFERROR(GETPIVOTDATA("[Measures].[Jrnl Posting Am]",'Historical Summary Cube'!$AA$5,"[Accounting Period].[Fisc Yr]","[Accounting Period].[Fisc Yr].&amp;[2009]","[Object].[Object Group]","[Object].[Object Group].&amp;[41]","[Object].[Obj Group Nm]","[Object].[Obj Group Nm].&amp;[PROF. SERVICES, BY STATE]"),0)</f>
        <v>1837.5</v>
      </c>
      <c r="G42" s="25">
        <f>IFERROR(GETPIVOTDATA("[Measures].[Jrnl Posting Am]",'Historical Summary Cube'!$AA$5,"[Accounting Period].[Fisc Yr]","[Accounting Period].[Fisc Yr].&amp;[2010]","[Object].[Object Group]","[Object].[Object Group].&amp;[41]","[Object].[Obj Group Nm]","[Object].[Obj Group Nm].&amp;[PROF. SERVICES, BY STATE]"),0)</f>
        <v>750</v>
      </c>
      <c r="H42" s="25">
        <f>IFERROR(GETPIVOTDATA("[Measures].[Jrnl Posting Am]",'Historical Summary Cube'!$AA$5,"[Accounting Period].[Fisc Yr]","[Accounting Period].[Fisc Yr].&amp;[2011]","[Object].[Object Group]","[Object].[Object Group].&amp;[41]","[Object].[Obj Group Nm]","[Object].[Obj Group Nm].&amp;[PROF. SERVICES, BY STATE]"),0)</f>
        <v>235</v>
      </c>
      <c r="I42" s="25">
        <f>IFERROR(GETPIVOTDATA("[Measures].[Jrnl Posting Am]",'Historical Summary Cube'!$AA$5,"[Accounting Period].[Fisc Yr]","[Accounting Period].[Fisc Yr].&amp;[2012]","[Object].[Object Group]","[Object].[Object Group].&amp;[41]","[Object].[Obj Group Nm]","[Object].[Obj Group Nm].&amp;[PROF. SERVICES, BY STATE]"),0)</f>
        <v>0</v>
      </c>
      <c r="J42" s="25">
        <f>IFERROR(GETPIVOTDATA("[Measures].[Jrnl Posting Am]",'Historical Summary Cube'!$AA$5,"[Accounting Period].[Fisc Yr]","[Accounting Period].[Fisc Yr].&amp;[2013]","[Object].[Object Group]","[Object].[Object Group].&amp;[41]","[Object].[Obj Group Nm]","[Object].[Obj Group Nm].&amp;[PROF. SERVICES, BY STATE]"),0)</f>
        <v>0</v>
      </c>
      <c r="K42" s="25">
        <f>IFERROR(GETPIVOTDATA("[Measures].[Jrnl Posting Am]",'Historical Summary Cube'!$AA$5,"[Accounting Period].[Fisc Yr]","[Accounting Period].[Fisc Yr].&amp;[2014]","[Object].[Object Group]","[Object].[Object Group].&amp;[41]","[Object].[Obj Group Nm]","[Object].[Obj Group Nm].&amp;[PROF. SERVICES, BY STATE]"),0)</f>
        <v>0</v>
      </c>
      <c r="L42" s="25">
        <f>IFERROR(GETPIVOTDATA("[Measures].[Jrnl Posting Am]",'Historical Summary Cube'!$AA$5,"[Accounting Period].[Fisc Yr]","[Accounting Period].[Fisc Yr].&amp;[2015]","[Object].[Object Group]","[Object].[Object Group].&amp;[41]","[Object].[Obj Group Nm]","[Object].[Obj Group Nm].&amp;[PROF. SERVICES, BY STATE]"),0)</f>
        <v>0</v>
      </c>
      <c r="M42" s="25">
        <f>IFERROR(GETPIVOTDATA("[Measures].[Jrnl Posting Am]",'Historical Summary Cube'!$AA$5,"[Accounting Period].[Fisc Yr]","[Accounting Period].[Fisc Yr].&amp;[2016]","[Object].[Object Group]","[Object].[Object Group].&amp;[41]","[Object].[Obj Group Nm]","[Object].[Obj Group Nm].&amp;[PROF. SERVICES, BY STATE]"),0)</f>
        <v>0</v>
      </c>
      <c r="N42" s="25">
        <f>IFERROR(GETPIVOTDATA("[Measures].[Jrnl Posting Am]",'Historical Summary Cube'!$AA$5,"[Accounting Period].[Fisc Yr]","[Accounting Period].[Fisc Yr].&amp;[2017]","[Object].[Object Group]","[Object].[Object Group].&amp;[41]","[Object].[Obj Group Nm]","[Object].[Obj Group Nm].&amp;[PROF. SERVICES, BY STATE]"),0)</f>
        <v>0</v>
      </c>
      <c r="O42" s="25">
        <f>IFERROR(GETPIVOTDATA("[Measures].[Jrnl Posting Am]",'Historical Summary Cube'!$AA$5,"[Accounting Period].[Fisc Yr]","[Accounting Period].[Fisc Yr].&amp;[2018]","[Object].[Object Group]","[Object].[Object Group].&amp;[41]","[Object].[Obj Group Nm]","[Object].[Obj Group Nm].&amp;[PROF. SERVICES, BY STATE]"),0)</f>
        <v>0</v>
      </c>
      <c r="P42" s="25">
        <f>IFERROR(GETPIVOTDATA("[Measures].[Jrnl Posting Am]",'Historical Summary Cube'!$AA$5,"[Accounting Period].[Fisc Yr]","[Accounting Period].[Fisc Yr].&amp;[2019]","[Object].[Object Group]","[Object].[Object Group].&amp;[41]","[Object].[Obj Group Nm]","[Object].[Obj Group Nm].&amp;[PROF. SERVICES, BY STATE]"),0)</f>
        <v>0</v>
      </c>
      <c r="Q42" s="25">
        <f>IFERROR(GETPIVOTDATA("[Measures].[Jrnl Posting Am]",'Historical Summary Cube'!$AA$5,"[Accounting Period].[Fisc Yr]","[Accounting Period].[Fisc Yr].&amp;[2020]","[Object].[Object Group]","[Object].[Object Group].&amp;[41]","[Object].[Obj Group Nm]","[Object].[Obj Group Nm].&amp;[PROF. SERVICES, BY STATE]"),0)</f>
        <v>0</v>
      </c>
      <c r="R42" s="25">
        <f>IFERROR(GETPIVOTDATA("[Measures].[Jrnl Posting Am]",'Historical Summary Cube'!$AA$5,"[Accounting Period].[Fisc Yr]","[Accounting Period].[Fisc Yr].&amp;[2021]","[Object].[Object Group]","[Object].[Object Group].&amp;[41]","[Object].[Obj Group Nm]","[Object].[Obj Group Nm].&amp;[PROF. SERVICES, BY STATE]"),0)</f>
        <v>0</v>
      </c>
      <c r="S42" s="25">
        <f>IFERROR(GETPIVOTDATA("[Measures].[Jrnl Posting Am]",'Historical Summary Cube'!$AA$5,"[Accounting Period].[Fisc Yr]","[Accounting Period].[Fisc Yr].&amp;[2022]","[Object].[Object Group]","[Object].[Object Group].&amp;[41]","[Object].[Obj Group Nm]","[Object].[Obj Group Nm].&amp;[PROF. SERVICES, BY STATE]"),0)</f>
        <v>0</v>
      </c>
      <c r="T42" s="25">
        <f>IFERROR(GETPIVOTDATA("[Measures].[Jrnl Posting Am]",'Historical Summary Cube'!$AA$5,"[Accounting Period].[Fisc Yr]","[Accounting Period].[Fisc Yr].&amp;[2023]","[Object].[Object Group]","[Object].[Object Group].&amp;[41]","[Object].[Obj Group Nm]","[Object].[Obj Group Nm].&amp;[PROF. SERVICES, BY STATE]"),0)</f>
        <v>0</v>
      </c>
      <c r="U42" s="55"/>
      <c r="V42" s="55"/>
    </row>
    <row r="43" spans="1:22" s="19" customFormat="1" ht="15.5" x14ac:dyDescent="0.35">
      <c r="A43" s="27" t="s">
        <v>58</v>
      </c>
      <c r="B43" s="30" t="s">
        <v>83</v>
      </c>
      <c r="C43" s="49"/>
      <c r="D43" s="49"/>
      <c r="E43" s="25">
        <f>IFERROR(GETPIVOTDATA("[Measures].[Jrnl Posting Am]",'Historical Summary Cube'!$AA$5,"[Accounting Period].[Fisc Yr]","[Accounting Period].[Fisc Yr].&amp;[2008]","[Object].[Object Group]","[Object].[Object Group].&amp;[42]","[Object].[Obj Group Nm]","[Object].[Obj Group Nm].&amp;[TRAVEL EXPENSES, IN STATE]"),0)</f>
        <v>12415.54</v>
      </c>
      <c r="F43" s="25">
        <f>IFERROR(GETPIVOTDATA("[Measures].[Jrnl Posting Am]",'Historical Summary Cube'!$AA$5,"[Accounting Period].[Fisc Yr]","[Accounting Period].[Fisc Yr].&amp;[2009]","[Object].[Object Group]","[Object].[Object Group].&amp;[42]","[Object].[Obj Group Nm]","[Object].[Obj Group Nm].&amp;[TRAVEL EXPENSES, IN STATE]"),0)</f>
        <v>1892.5699999999997</v>
      </c>
      <c r="G43" s="25">
        <f>IFERROR(GETPIVOTDATA("[Measures].[Jrnl Posting Am]",'Historical Summary Cube'!$AA$5,"[Accounting Period].[Fisc Yr]","[Accounting Period].[Fisc Yr].&amp;[2010]","[Object].[Object Group]","[Object].[Object Group].&amp;[42]","[Object].[Obj Group Nm]","[Object].[Obj Group Nm].&amp;[TRAVEL EXPENSES, IN STATE]"),0)</f>
        <v>4180.3700000000026</v>
      </c>
      <c r="H43" s="25">
        <f>IFERROR(GETPIVOTDATA("[Measures].[Jrnl Posting Am]",'Historical Summary Cube'!$AA$5,"[Accounting Period].[Fisc Yr]","[Accounting Period].[Fisc Yr].&amp;[2011]","[Object].[Object Group]","[Object].[Object Group].&amp;[42]","[Object].[Obj Group Nm]","[Object].[Obj Group Nm].&amp;[TRAVEL EXPENSES, IN STATE]"),0)</f>
        <v>4738.8500000000004</v>
      </c>
      <c r="I43" s="25">
        <f>IFERROR(GETPIVOTDATA("[Measures].[Jrnl Posting Am]",'Historical Summary Cube'!$AA$5,"[Accounting Period].[Fisc Yr]","[Accounting Period].[Fisc Yr].&amp;[2012]","[Object].[Object Group]","[Object].[Object Group].&amp;[42]","[Object].[Obj Group Nm]","[Object].[Obj Group Nm].&amp;[TRAVEL EXPENSES, IN STATE]"),0)</f>
        <v>2226.44</v>
      </c>
      <c r="J43" s="25">
        <f>IFERROR(GETPIVOTDATA("[Measures].[Jrnl Posting Am]",'Historical Summary Cube'!$AA$5,"[Accounting Period].[Fisc Yr]","[Accounting Period].[Fisc Yr].&amp;[2013]","[Object].[Object Group]","[Object].[Object Group].&amp;[42]","[Object].[Obj Group Nm]","[Object].[Obj Group Nm].&amp;[TRAVEL EXPENSES, IN STATE]"),0)</f>
        <v>2942.9399999999996</v>
      </c>
      <c r="K43" s="25">
        <f>IFERROR(GETPIVOTDATA("[Measures].[Jrnl Posting Am]",'Historical Summary Cube'!$AA$5,"[Accounting Period].[Fisc Yr]","[Accounting Period].[Fisc Yr].&amp;[2014]","[Object].[Object Group]","[Object].[Object Group].&amp;[42]","[Object].[Obj Group Nm]","[Object].[Obj Group Nm].&amp;[TRAVEL EXPENSES, IN STATE]"),0)</f>
        <v>2645.64</v>
      </c>
      <c r="L43" s="25">
        <f>IFERROR(GETPIVOTDATA("[Measures].[Jrnl Posting Am]",'Historical Summary Cube'!$AA$5,"[Accounting Period].[Fisc Yr]","[Accounting Period].[Fisc Yr].&amp;[2015]","[Object].[Object Group]","[Object].[Object Group].&amp;[42]","[Object].[Obj Group Nm]","[Object].[Obj Group Nm].&amp;[TRAVEL EXPENSES, IN STATE]"),0)</f>
        <v>2713.6700000000005</v>
      </c>
      <c r="M43" s="25">
        <f>IFERROR(GETPIVOTDATA("[Measures].[Jrnl Posting Am]",'Historical Summary Cube'!$AA$5,"[Accounting Period].[Fisc Yr]","[Accounting Period].[Fisc Yr].&amp;[2016]","[Object].[Object Group]","[Object].[Object Group].&amp;[42]","[Object].[Obj Group Nm]","[Object].[Obj Group Nm].&amp;[TRAVEL EXPENSES, IN STATE]"),0)</f>
        <v>2573</v>
      </c>
      <c r="N43" s="25">
        <f>IFERROR(GETPIVOTDATA("[Measures].[Jrnl Posting Am]",'Historical Summary Cube'!$AA$5,"[Accounting Period].[Fisc Yr]","[Accounting Period].[Fisc Yr].&amp;[2017]","[Object].[Object Group]","[Object].[Object Group].&amp;[42]","[Object].[Obj Group Nm]","[Object].[Obj Group Nm].&amp;[TRAVEL EXPENSES, IN STATE]"),0)</f>
        <v>3232.4</v>
      </c>
      <c r="O43" s="25">
        <f>IFERROR(GETPIVOTDATA("[Measures].[Jrnl Posting Am]",'Historical Summary Cube'!$AA$5,"[Accounting Period].[Fisc Yr]","[Accounting Period].[Fisc Yr].&amp;[2018]","[Object].[Object Group]","[Object].[Object Group].&amp;[42]","[Object].[Obj Group Nm]","[Object].[Obj Group Nm].&amp;[TRAVEL EXPENSES, IN STATE]"),0)</f>
        <v>1947.1700000000003</v>
      </c>
      <c r="P43" s="25">
        <f>IFERROR(GETPIVOTDATA("[Measures].[Jrnl Posting Am]",'Historical Summary Cube'!$AA$5,"[Accounting Period].[Fisc Yr]","[Accounting Period].[Fisc Yr].&amp;[2019]","[Object].[Object Group]","[Object].[Object Group].&amp;[42]","[Object].[Obj Group Nm]","[Object].[Obj Group Nm].&amp;[TRAVEL EXPENSES, IN STATE]"),0)</f>
        <v>3292.9099999999994</v>
      </c>
      <c r="Q43" s="25">
        <f>IFERROR(GETPIVOTDATA("[Measures].[Jrnl Posting Am]",'Historical Summary Cube'!$AA$5,"[Accounting Period].[Fisc Yr]","[Accounting Period].[Fisc Yr].&amp;[2020]","[Object].[Object Group]","[Object].[Object Group].&amp;[42]","[Object].[Obj Group Nm]","[Object].[Obj Group Nm].&amp;[TRAVEL EXPENSES, IN STATE]"),0)</f>
        <v>4310.99</v>
      </c>
      <c r="R43" s="25">
        <f>IFERROR(GETPIVOTDATA("[Measures].[Jrnl Posting Am]",'Historical Summary Cube'!$AA$5,"[Accounting Period].[Fisc Yr]","[Accounting Period].[Fisc Yr].&amp;[2021]","[Object].[Object Group]","[Object].[Object Group].&amp;[42]","[Object].[Obj Group Nm]","[Object].[Obj Group Nm].&amp;[TRAVEL EXPENSES, IN STATE]"),0)</f>
        <v>446.59999999999997</v>
      </c>
      <c r="S43" s="25">
        <f>IFERROR(GETPIVOTDATA("[Measures].[Jrnl Posting Am]",'Historical Summary Cube'!$AA$5,"[Accounting Period].[Fisc Yr]","[Accounting Period].[Fisc Yr].&amp;[2022]","[Object].[Object Group]","[Object].[Object Group].&amp;[42]","[Object].[Obj Group Nm]","[Object].[Obj Group Nm].&amp;[TRAVEL EXPENSES, IN STATE]"),0)</f>
        <v>284.27</v>
      </c>
      <c r="T43" s="25">
        <f>IFERROR(GETPIVOTDATA("[Measures].[Jrnl Posting Am]",'Historical Summary Cube'!$AA$5,"[Accounting Period].[Fisc Yr]","[Accounting Period].[Fisc Yr].&amp;[2023]","[Object].[Object Group]","[Object].[Object Group].&amp;[42]","[Object].[Obj Group Nm]","[Object].[Obj Group Nm].&amp;[TRAVEL EXPENSES, IN STATE]"),0)</f>
        <v>1107.07</v>
      </c>
      <c r="U43" s="55"/>
      <c r="V43" s="55"/>
    </row>
    <row r="44" spans="1:22" s="19" customFormat="1" ht="15.5" x14ac:dyDescent="0.35">
      <c r="A44" s="27" t="s">
        <v>59</v>
      </c>
      <c r="B44" s="30" t="s">
        <v>84</v>
      </c>
      <c r="C44" s="49"/>
      <c r="D44" s="49"/>
      <c r="E44" s="25">
        <f>IFERROR(GETPIVOTDATA("[Measures].[Jrnl Posting Am]",'Historical Summary Cube'!$AA$5,"[Accounting Period].[Fisc Yr]","[Accounting Period].[Fisc Yr].&amp;[2008]","[Object].[Object Group]","[Object].[Object Group].&amp;[43]","[Object].[Obj Group Nm]","[Object].[Obj Group Nm].&amp;[TRAVEL EXPENSES, OUT OF STATE]"),0)</f>
        <v>2331.6999999999998</v>
      </c>
      <c r="F44" s="25">
        <f>IFERROR(GETPIVOTDATA("[Measures].[Jrnl Posting Am]",'Historical Summary Cube'!$AA$5,"[Accounting Period].[Fisc Yr]","[Accounting Period].[Fisc Yr].&amp;[2009]","[Object].[Object Group]","[Object].[Object Group].&amp;[43]","[Object].[Obj Group Nm]","[Object].[Obj Group Nm].&amp;[TRAVEL EXPENSES, OUT OF STATE]"),0)</f>
        <v>3009.2200000000003</v>
      </c>
      <c r="G44" s="25">
        <f>IFERROR(GETPIVOTDATA("[Measures].[Jrnl Posting Am]",'Historical Summary Cube'!$AA$5,"[Accounting Period].[Fisc Yr]","[Accounting Period].[Fisc Yr].&amp;[2010]","[Object].[Object Group]","[Object].[Object Group].&amp;[43]","[Object].[Obj Group Nm]","[Object].[Obj Group Nm].&amp;[TRAVEL EXPENSES, OUT OF STATE]"),0)</f>
        <v>2852.5499999999997</v>
      </c>
      <c r="H44" s="25">
        <f>IFERROR(GETPIVOTDATA("[Measures].[Jrnl Posting Am]",'Historical Summary Cube'!$AA$5,"[Accounting Period].[Fisc Yr]","[Accounting Period].[Fisc Yr].&amp;[2011]","[Object].[Object Group]","[Object].[Object Group].&amp;[43]","[Object].[Obj Group Nm]","[Object].[Obj Group Nm].&amp;[TRAVEL EXPENSES, OUT OF STATE]"),0)</f>
        <v>7650.8799999999992</v>
      </c>
      <c r="I44" s="25">
        <f>IFERROR(GETPIVOTDATA("[Measures].[Jrnl Posting Am]",'Historical Summary Cube'!$AA$5,"[Accounting Period].[Fisc Yr]","[Accounting Period].[Fisc Yr].&amp;[2012]","[Object].[Object Group]","[Object].[Object Group].&amp;[43]","[Object].[Obj Group Nm]","[Object].[Obj Group Nm].&amp;[TRAVEL EXPENSES, OUT OF STATE]"),0)</f>
        <v>8554.52</v>
      </c>
      <c r="J44" s="25">
        <f>IFERROR(GETPIVOTDATA("[Measures].[Jrnl Posting Am]",'Historical Summary Cube'!$AA$5,"[Accounting Period].[Fisc Yr]","[Accounting Period].[Fisc Yr].&amp;[2013]","[Object].[Object Group]","[Object].[Object Group].&amp;[43]","[Object].[Obj Group Nm]","[Object].[Obj Group Nm].&amp;[TRAVEL EXPENSES, OUT OF STATE]"),0)</f>
        <v>2204.62</v>
      </c>
      <c r="K44" s="25">
        <f>IFERROR(GETPIVOTDATA("[Measures].[Jrnl Posting Am]",'Historical Summary Cube'!$AA$5,"[Accounting Period].[Fisc Yr]","[Accounting Period].[Fisc Yr].&amp;[2014]","[Object].[Object Group]","[Object].[Object Group].&amp;[43]","[Object].[Obj Group Nm]","[Object].[Obj Group Nm].&amp;[TRAVEL EXPENSES, OUT OF STATE]"),0)</f>
        <v>5783.05</v>
      </c>
      <c r="L44" s="25">
        <f>IFERROR(GETPIVOTDATA("[Measures].[Jrnl Posting Am]",'Historical Summary Cube'!$AA$5,"[Accounting Period].[Fisc Yr]","[Accounting Period].[Fisc Yr].&amp;[2015]","[Object].[Object Group]","[Object].[Object Group].&amp;[43]","[Object].[Obj Group Nm]","[Object].[Obj Group Nm].&amp;[TRAVEL EXPENSES, OUT OF STATE]"),0)</f>
        <v>4234.33</v>
      </c>
      <c r="M44" s="25">
        <f>IFERROR(GETPIVOTDATA("[Measures].[Jrnl Posting Am]",'Historical Summary Cube'!$AA$5,"[Accounting Period].[Fisc Yr]","[Accounting Period].[Fisc Yr].&amp;[2016]","[Object].[Object Group]","[Object].[Object Group].&amp;[43]","[Object].[Obj Group Nm]","[Object].[Obj Group Nm].&amp;[TRAVEL EXPENSES, OUT OF STATE]"),0)</f>
        <v>8081.5300000000007</v>
      </c>
      <c r="N44" s="25">
        <f>IFERROR(GETPIVOTDATA("[Measures].[Jrnl Posting Am]",'Historical Summary Cube'!$AA$5,"[Accounting Period].[Fisc Yr]","[Accounting Period].[Fisc Yr].&amp;[2017]","[Object].[Object Group]","[Object].[Object Group].&amp;[43]","[Object].[Obj Group Nm]","[Object].[Obj Group Nm].&amp;[TRAVEL EXPENSES, OUT OF STATE]"),0)</f>
        <v>5154.3799999999992</v>
      </c>
      <c r="O44" s="25">
        <f>IFERROR(GETPIVOTDATA("[Measures].[Jrnl Posting Am]",'Historical Summary Cube'!$AA$5,"[Accounting Period].[Fisc Yr]","[Accounting Period].[Fisc Yr].&amp;[2018]","[Object].[Object Group]","[Object].[Object Group].&amp;[43]","[Object].[Obj Group Nm]","[Object].[Obj Group Nm].&amp;[TRAVEL EXPENSES, OUT OF STATE]"),0)</f>
        <v>6931.6900000000023</v>
      </c>
      <c r="P44" s="25">
        <f>IFERROR(GETPIVOTDATA("[Measures].[Jrnl Posting Am]",'Historical Summary Cube'!$AA$5,"[Accounting Period].[Fisc Yr]","[Accounting Period].[Fisc Yr].&amp;[2019]","[Object].[Object Group]","[Object].[Object Group].&amp;[43]","[Object].[Obj Group Nm]","[Object].[Obj Group Nm].&amp;[TRAVEL EXPENSES, OUT OF STATE]"),0)</f>
        <v>12080.220000000003</v>
      </c>
      <c r="Q44" s="25">
        <f>IFERROR(GETPIVOTDATA("[Measures].[Jrnl Posting Am]",'Historical Summary Cube'!$AA$5,"[Accounting Period].[Fisc Yr]","[Accounting Period].[Fisc Yr].&amp;[2020]","[Object].[Object Group]","[Object].[Object Group].&amp;[43]","[Object].[Obj Group Nm]","[Object].[Obj Group Nm].&amp;[TRAVEL EXPENSES, OUT OF STATE]"),0)</f>
        <v>4938.4799999999996</v>
      </c>
      <c r="R44" s="25">
        <f>IFERROR(GETPIVOTDATA("[Measures].[Jrnl Posting Am]",'Historical Summary Cube'!$AA$5,"[Accounting Period].[Fisc Yr]","[Accounting Period].[Fisc Yr].&amp;[2021]","[Object].[Object Group]","[Object].[Object Group].&amp;[43]","[Object].[Obj Group Nm]","[Object].[Obj Group Nm].&amp;[TRAVEL EXPENSES, OUT OF STATE]"),0)</f>
        <v>0</v>
      </c>
      <c r="S44" s="25">
        <f>IFERROR(GETPIVOTDATA("[Measures].[Jrnl Posting Am]",'Historical Summary Cube'!$AA$5,"[Accounting Period].[Fisc Yr]","[Accounting Period].[Fisc Yr].&amp;[2022]","[Object].[Object Group]","[Object].[Object Group].&amp;[43]","[Object].[Obj Group Nm]","[Object].[Obj Group Nm].&amp;[TRAVEL EXPENSES, OUT OF STATE]"),0)</f>
        <v>266.86</v>
      </c>
      <c r="T44" s="25">
        <f>IFERROR(GETPIVOTDATA("[Measures].[Jrnl Posting Am]",'Historical Summary Cube'!$AA$5,"[Accounting Period].[Fisc Yr]","[Accounting Period].[Fisc Yr].&amp;[2023]","[Object].[Object Group]","[Object].[Object Group].&amp;[43]","[Object].[Obj Group Nm]","[Object].[Obj Group Nm].&amp;[TRAVEL EXPENSES, OUT OF STATE]"),0)</f>
        <v>4601.7199999999993</v>
      </c>
      <c r="U44" s="55"/>
      <c r="V44" s="55"/>
    </row>
    <row r="45" spans="1:22" s="19" customFormat="1" ht="15.5" x14ac:dyDescent="0.35">
      <c r="A45" s="27" t="s">
        <v>60</v>
      </c>
      <c r="B45" s="30" t="s">
        <v>85</v>
      </c>
      <c r="C45" s="49"/>
      <c r="D45" s="49"/>
      <c r="E45" s="25">
        <f>IFERROR(GETPIVOTDATA("[Measures].[Jrnl Posting Am]",'Historical Summary Cube'!$AA$5,"[Accounting Period].[Fisc Yr]","[Accounting Period].[Fisc Yr].&amp;[2008]","[Object].[Object Group]","[Object].[Object Group].&amp;[44]","[Object].[Obj Group Nm]","[Object].[Obj Group Nm].&amp;[STATE VEHICLES OPERATION]"),0)</f>
        <v>0</v>
      </c>
      <c r="F45" s="25">
        <f>IFERROR(GETPIVOTDATA("[Measures].[Jrnl Posting Am]",'Historical Summary Cube'!$AA$5,"[Accounting Period].[Fisc Yr]","[Accounting Period].[Fisc Yr].&amp;[2009]","[Object].[Object Group]","[Object].[Object Group].&amp;[44]","[Object].[Obj Group Nm]","[Object].[Obj Group Nm].&amp;[STATE VEHICLES OPERATION]"),0)</f>
        <v>0</v>
      </c>
      <c r="G45" s="25">
        <f>IFERROR(GETPIVOTDATA("[Measures].[Jrnl Posting Am]",'Historical Summary Cube'!$AA$5,"[Accounting Period].[Fisc Yr]","[Accounting Period].[Fisc Yr].&amp;[2010]","[Object].[Object Group]","[Object].[Object Group].&amp;[44]","[Object].[Obj Group Nm]","[Object].[Obj Group Nm].&amp;[STATE VEHICLES OPERATION]"),0)</f>
        <v>0</v>
      </c>
      <c r="H45" s="25">
        <f>IFERROR(GETPIVOTDATA("[Measures].[Jrnl Posting Am]",'Historical Summary Cube'!$AA$5,"[Accounting Period].[Fisc Yr]","[Accounting Period].[Fisc Yr].&amp;[2011]","[Object].[Object Group]","[Object].[Object Group].&amp;[44]","[Object].[Obj Group Nm]","[Object].[Obj Group Nm].&amp;[STATE VEHICLES OPERATION]"),0)</f>
        <v>0</v>
      </c>
      <c r="I45" s="25">
        <f>IFERROR(GETPIVOTDATA("[Measures].[Jrnl Posting Am]",'Historical Summary Cube'!$AA$5,"[Accounting Period].[Fisc Yr]","[Accounting Period].[Fisc Yr].&amp;[2012]","[Object].[Object Group]","[Object].[Object Group].&amp;[44]","[Object].[Obj Group Nm]","[Object].[Obj Group Nm].&amp;[STATE VEHICLES OPERATION]"),0)</f>
        <v>0</v>
      </c>
      <c r="J45" s="25">
        <f>IFERROR(GETPIVOTDATA("[Measures].[Jrnl Posting Am]",'Historical Summary Cube'!$AA$5,"[Accounting Period].[Fisc Yr]","[Accounting Period].[Fisc Yr].&amp;[2013]","[Object].[Object Group]","[Object].[Object Group].&amp;[44]","[Object].[Obj Group Nm]","[Object].[Obj Group Nm].&amp;[STATE VEHICLES OPERATION]"),0)</f>
        <v>0</v>
      </c>
      <c r="K45" s="25">
        <f>IFERROR(GETPIVOTDATA("[Measures].[Jrnl Posting Am]",'Historical Summary Cube'!$AA$5,"[Accounting Period].[Fisc Yr]","[Accounting Period].[Fisc Yr].&amp;[2014]","[Object].[Object Group]","[Object].[Object Group].&amp;[44]","[Object].[Obj Group Nm]","[Object].[Obj Group Nm].&amp;[STATE VEHICLES OPERATION]"),0)</f>
        <v>0</v>
      </c>
      <c r="L45" s="25">
        <f>IFERROR(GETPIVOTDATA("[Measures].[Jrnl Posting Am]",'Historical Summary Cube'!$AA$5,"[Accounting Period].[Fisc Yr]","[Accounting Period].[Fisc Yr].&amp;[2015]","[Object].[Object Group]","[Object].[Object Group].&amp;[44]","[Object].[Obj Group Nm]","[Object].[Obj Group Nm].&amp;[STATE VEHICLES OPERATION]"),0)</f>
        <v>0</v>
      </c>
      <c r="M45" s="25">
        <f>IFERROR(GETPIVOTDATA("[Measures].[Jrnl Posting Am]",'Historical Summary Cube'!$AA$5,"[Accounting Period].[Fisc Yr]","[Accounting Period].[Fisc Yr].&amp;[2016]","[Object].[Object Group]","[Object].[Object Group].&amp;[44]","[Object].[Obj Group Nm]","[Object].[Obj Group Nm].&amp;[STATE VEHICLES OPERATION]"),0)</f>
        <v>35.72</v>
      </c>
      <c r="N45" s="25">
        <f>IFERROR(GETPIVOTDATA("[Measures].[Jrnl Posting Am]",'Historical Summary Cube'!$AA$5,"[Accounting Period].[Fisc Yr]","[Accounting Period].[Fisc Yr].&amp;[2017]","[Object].[Object Group]","[Object].[Object Group].&amp;[44]","[Object].[Obj Group Nm]","[Object].[Obj Group Nm].&amp;[STATE VEHICLES OPERATION]"),0)</f>
        <v>0</v>
      </c>
      <c r="O45" s="25">
        <f>IFERROR(GETPIVOTDATA("[Measures].[Jrnl Posting Am]",'Historical Summary Cube'!$AA$5,"[Accounting Period].[Fisc Yr]","[Accounting Period].[Fisc Yr].&amp;[2018]","[Object].[Object Group]","[Object].[Object Group].&amp;[44]","[Object].[Obj Group Nm]","[Object].[Obj Group Nm].&amp;[STATE VEHICLES OPERATION]"),0)</f>
        <v>7</v>
      </c>
      <c r="P45" s="25">
        <f>IFERROR(GETPIVOTDATA("[Measures].[Jrnl Posting Am]",'Historical Summary Cube'!$AA$5,"[Accounting Period].[Fisc Yr]","[Accounting Period].[Fisc Yr].&amp;[2019]","[Object].[Object Group]","[Object].[Object Group].&amp;[44]","[Object].[Obj Group Nm]","[Object].[Obj Group Nm].&amp;[STATE VEHICLES OPERATION]"),0)</f>
        <v>0</v>
      </c>
      <c r="Q45" s="25">
        <f>IFERROR(GETPIVOTDATA("[Measures].[Jrnl Posting Am]",'Historical Summary Cube'!$AA$5,"[Accounting Period].[Fisc Yr]","[Accounting Period].[Fisc Yr].&amp;[2020]","[Object].[Object Group]","[Object].[Object Group].&amp;[44]","[Object].[Obj Group Nm]","[Object].[Obj Group Nm].&amp;[STATE VEHICLES OPERATION]"),0)</f>
        <v>0</v>
      </c>
      <c r="R45" s="25">
        <f>IFERROR(GETPIVOTDATA("[Measures].[Jrnl Posting Am]",'Historical Summary Cube'!$AA$5,"[Accounting Period].[Fisc Yr]","[Accounting Period].[Fisc Yr].&amp;[2021]","[Object].[Object Group]","[Object].[Object Group].&amp;[44]","[Object].[Obj Group Nm]","[Object].[Obj Group Nm].&amp;[STATE VEHICLES OPERATION]"),0)</f>
        <v>0</v>
      </c>
      <c r="S45" s="25">
        <f>IFERROR(GETPIVOTDATA("[Measures].[Jrnl Posting Am]",'Historical Summary Cube'!$AA$5,"[Accounting Period].[Fisc Yr]","[Accounting Period].[Fisc Yr].&amp;[2022]","[Object].[Object Group]","[Object].[Object Group].&amp;[44]","[Object].[Obj Group Nm]","[Object].[Obj Group Nm].&amp;[STATE VEHICLES OPERATION]"),0)</f>
        <v>0</v>
      </c>
      <c r="T45" s="25">
        <f>IFERROR(GETPIVOTDATA("[Measures].[Jrnl Posting Am]",'Historical Summary Cube'!$AA$5,"[Accounting Period].[Fisc Yr]","[Accounting Period].[Fisc Yr].&amp;[2023]","[Object].[Object Group]","[Object].[Object Group].&amp;[44]","[Object].[Obj Group Nm]","[Object].[Obj Group Nm].&amp;[STATE VEHICLES OPERATION]"),0)</f>
        <v>0</v>
      </c>
      <c r="U45" s="55"/>
      <c r="V45" s="55"/>
    </row>
    <row r="46" spans="1:22" s="19" customFormat="1" ht="15.5" x14ac:dyDescent="0.35">
      <c r="A46" s="27" t="s">
        <v>61</v>
      </c>
      <c r="B46" s="30" t="s">
        <v>86</v>
      </c>
      <c r="C46" s="49"/>
      <c r="D46" s="49"/>
      <c r="E46" s="25">
        <f>IFERROR(GETPIVOTDATA("[Measures].[Jrnl Posting Am]",'Historical Summary Cube'!$AA$5,"[Accounting Period].[Fisc Yr]","[Accounting Period].[Fisc Yr].&amp;[2008]","[Object].[Object Group]","[Object].[Object Group].&amp;[45]","[Object].[Obj Group Nm]","[Object].[Obj Group Nm].&amp;[UTILITY SERVICES]"),0)</f>
        <v>99.63000000000001</v>
      </c>
      <c r="F46" s="25">
        <f>IFERROR(GETPIVOTDATA("[Measures].[Jrnl Posting Am]",'Historical Summary Cube'!$AA$5,"[Accounting Period].[Fisc Yr]","[Accounting Period].[Fisc Yr].&amp;[2009]","[Object].[Object Group]","[Object].[Object Group].&amp;[45]","[Object].[Obj Group Nm]","[Object].[Obj Group Nm].&amp;[UTILITY SERVICES]"),0)</f>
        <v>94.75</v>
      </c>
      <c r="G46" s="25">
        <f>IFERROR(GETPIVOTDATA("[Measures].[Jrnl Posting Am]",'Historical Summary Cube'!$AA$5,"[Accounting Period].[Fisc Yr]","[Accounting Period].[Fisc Yr].&amp;[2010]","[Object].[Object Group]","[Object].[Object Group].&amp;[45]","[Object].[Obj Group Nm]","[Object].[Obj Group Nm].&amp;[UTILITY SERVICES]"),0)</f>
        <v>100.18999999999998</v>
      </c>
      <c r="H46" s="25">
        <f>IFERROR(GETPIVOTDATA("[Measures].[Jrnl Posting Am]",'Historical Summary Cube'!$AA$5,"[Accounting Period].[Fisc Yr]","[Accounting Period].[Fisc Yr].&amp;[2011]","[Object].[Object Group]","[Object].[Object Group].&amp;[45]","[Object].[Obj Group Nm]","[Object].[Obj Group Nm].&amp;[UTILITY SERVICES]"),0)</f>
        <v>101.25999999999998</v>
      </c>
      <c r="I46" s="25">
        <f>IFERROR(GETPIVOTDATA("[Measures].[Jrnl Posting Am]",'Historical Summary Cube'!$AA$5,"[Accounting Period].[Fisc Yr]","[Accounting Period].[Fisc Yr].&amp;[2012]","[Object].[Object Group]","[Object].[Object Group].&amp;[45]","[Object].[Obj Group Nm]","[Object].[Obj Group Nm].&amp;[UTILITY SERVICES]"),0)</f>
        <v>27.669999999999998</v>
      </c>
      <c r="J46" s="25">
        <f>IFERROR(GETPIVOTDATA("[Measures].[Jrnl Posting Am]",'Historical Summary Cube'!$AA$5,"[Accounting Period].[Fisc Yr]","[Accounting Period].[Fisc Yr].&amp;[2013]","[Object].[Object Group]","[Object].[Object Group].&amp;[45]","[Object].[Obj Group Nm]","[Object].[Obj Group Nm].&amp;[UTILITY SERVICES]"),0)</f>
        <v>0</v>
      </c>
      <c r="K46" s="25">
        <f>IFERROR(GETPIVOTDATA("[Measures].[Jrnl Posting Am]",'Historical Summary Cube'!$AA$5,"[Accounting Period].[Fisc Yr]","[Accounting Period].[Fisc Yr].&amp;[2014]","[Object].[Object Group]","[Object].[Object Group].&amp;[45]","[Object].[Obj Group Nm]","[Object].[Obj Group Nm].&amp;[UTILITY SERVICES]"),0)</f>
        <v>0</v>
      </c>
      <c r="L46" s="25">
        <f>IFERROR(GETPIVOTDATA("[Measures].[Jrnl Posting Am]",'Historical Summary Cube'!$AA$5,"[Accounting Period].[Fisc Yr]","[Accounting Period].[Fisc Yr].&amp;[2015]","[Object].[Object Group]","[Object].[Object Group].&amp;[45]","[Object].[Obj Group Nm]","[Object].[Obj Group Nm].&amp;[UTILITY SERVICES]"),0)</f>
        <v>0</v>
      </c>
      <c r="M46" s="25">
        <f>IFERROR(GETPIVOTDATA("[Measures].[Jrnl Posting Am]",'Historical Summary Cube'!$AA$5,"[Accounting Period].[Fisc Yr]","[Accounting Period].[Fisc Yr].&amp;[2016]","[Object].[Object Group]","[Object].[Object Group].&amp;[45]","[Object].[Obj Group Nm]","[Object].[Obj Group Nm].&amp;[UTILITY SERVICES]"),0)</f>
        <v>0</v>
      </c>
      <c r="N46" s="25">
        <f>IFERROR(GETPIVOTDATA("[Measures].[Jrnl Posting Am]",'Historical Summary Cube'!$AA$5,"[Accounting Period].[Fisc Yr]","[Accounting Period].[Fisc Yr].&amp;[2017]","[Object].[Object Group]","[Object].[Object Group].&amp;[45]","[Object].[Obj Group Nm]","[Object].[Obj Group Nm].&amp;[UTILITY SERVICES]"),0)</f>
        <v>0</v>
      </c>
      <c r="O46" s="25">
        <f>IFERROR(GETPIVOTDATA("[Measures].[Jrnl Posting Am]",'Historical Summary Cube'!$AA$5,"[Accounting Period].[Fisc Yr]","[Accounting Period].[Fisc Yr].&amp;[2018]","[Object].[Object Group]","[Object].[Object Group].&amp;[45]","[Object].[Obj Group Nm]","[Object].[Obj Group Nm].&amp;[UTILITY SERVICES]"),0)</f>
        <v>0</v>
      </c>
      <c r="P46" s="25">
        <f>IFERROR(GETPIVOTDATA("[Measures].[Jrnl Posting Am]",'Historical Summary Cube'!$AA$5,"[Accounting Period].[Fisc Yr]","[Accounting Period].[Fisc Yr].&amp;[2019]","[Object].[Object Group]","[Object].[Object Group].&amp;[45]","[Object].[Obj Group Nm]","[Object].[Obj Group Nm].&amp;[UTILITY SERVICES]"),0)</f>
        <v>0</v>
      </c>
      <c r="Q46" s="25">
        <f>IFERROR(GETPIVOTDATA("[Measures].[Jrnl Posting Am]",'Historical Summary Cube'!$AA$5,"[Accounting Period].[Fisc Yr]","[Accounting Period].[Fisc Yr].&amp;[2020]","[Object].[Object Group]","[Object].[Object Group].&amp;[45]","[Object].[Obj Group Nm]","[Object].[Obj Group Nm].&amp;[UTILITY SERVICES]"),0)</f>
        <v>0</v>
      </c>
      <c r="R46" s="25">
        <f>IFERROR(GETPIVOTDATA("[Measures].[Jrnl Posting Am]",'Historical Summary Cube'!$AA$5,"[Accounting Period].[Fisc Yr]","[Accounting Period].[Fisc Yr].&amp;[2021]","[Object].[Object Group]","[Object].[Object Group].&amp;[45]","[Object].[Obj Group Nm]","[Object].[Obj Group Nm].&amp;[UTILITY SERVICES]"),0)</f>
        <v>19.940000000000001</v>
      </c>
      <c r="S46" s="25">
        <f>IFERROR(GETPIVOTDATA("[Measures].[Jrnl Posting Am]",'Historical Summary Cube'!$AA$5,"[Accounting Period].[Fisc Yr]","[Accounting Period].[Fisc Yr].&amp;[2022]","[Object].[Object Group]","[Object].[Object Group].&amp;[45]","[Object].[Obj Group Nm]","[Object].[Obj Group Nm].&amp;[UTILITY SERVICES]"),0)</f>
        <v>0</v>
      </c>
      <c r="T46" s="25">
        <f>IFERROR(GETPIVOTDATA("[Measures].[Jrnl Posting Am]",'Historical Summary Cube'!$AA$5,"[Accounting Period].[Fisc Yr]","[Accounting Period].[Fisc Yr].&amp;[2023]","[Object].[Object Group]","[Object].[Object Group].&amp;[45]","[Object].[Obj Group Nm]","[Object].[Obj Group Nm].&amp;[UTILITY SERVICES]"),0)</f>
        <v>0</v>
      </c>
      <c r="U46" s="55"/>
      <c r="V46" s="55"/>
    </row>
    <row r="47" spans="1:22" s="19" customFormat="1" ht="15.5" x14ac:dyDescent="0.35">
      <c r="A47" s="27" t="s">
        <v>62</v>
      </c>
      <c r="B47" s="30" t="s">
        <v>87</v>
      </c>
      <c r="C47" s="49"/>
      <c r="D47" s="49"/>
      <c r="E47" s="25">
        <f>IFERROR(GETPIVOTDATA("[Measures].[Jrnl Posting Am]",'Historical Summary Cube'!$AA$5,"[Accounting Period].[Fisc Yr]","[Accounting Period].[Fisc Yr].&amp;[2008]","[Object].[Object Group]","[Object].[Object Group].&amp;[46]","[Object].[Obj Group Nm]","[Object].[Obj Group Nm].&amp;[RENTS]"),0)</f>
        <v>6341.329999999999</v>
      </c>
      <c r="F47" s="25">
        <f>IFERROR(GETPIVOTDATA("[Measures].[Jrnl Posting Am]",'Historical Summary Cube'!$AA$5,"[Accounting Period].[Fisc Yr]","[Accounting Period].[Fisc Yr].&amp;[2009]","[Object].[Object Group]","[Object].[Object Group].&amp;[46]","[Object].[Obj Group Nm]","[Object].[Obj Group Nm].&amp;[RENTS]"),0)</f>
        <v>7813.8300000000008</v>
      </c>
      <c r="G47" s="25">
        <f>IFERROR(GETPIVOTDATA("[Measures].[Jrnl Posting Am]",'Historical Summary Cube'!$AA$5,"[Accounting Period].[Fisc Yr]","[Accounting Period].[Fisc Yr].&amp;[2010]","[Object].[Object Group]","[Object].[Object Group].&amp;[46]","[Object].[Obj Group Nm]","[Object].[Obj Group Nm].&amp;[RENTS]"),0)</f>
        <v>12963.7</v>
      </c>
      <c r="H47" s="25">
        <f>IFERROR(GETPIVOTDATA("[Measures].[Jrnl Posting Am]",'Historical Summary Cube'!$AA$5,"[Accounting Period].[Fisc Yr]","[Accounting Period].[Fisc Yr].&amp;[2011]","[Object].[Object Group]","[Object].[Object Group].&amp;[46]","[Object].[Obj Group Nm]","[Object].[Obj Group Nm].&amp;[RENTS]"),0)</f>
        <v>15713.18</v>
      </c>
      <c r="I47" s="25">
        <f>IFERROR(GETPIVOTDATA("[Measures].[Jrnl Posting Am]",'Historical Summary Cube'!$AA$5,"[Accounting Period].[Fisc Yr]","[Accounting Period].[Fisc Yr].&amp;[2012]","[Object].[Object Group]","[Object].[Object Group].&amp;[46]","[Object].[Obj Group Nm]","[Object].[Obj Group Nm].&amp;[RENTS]"),0)</f>
        <v>13275.68</v>
      </c>
      <c r="J47" s="25">
        <f>IFERROR(GETPIVOTDATA("[Measures].[Jrnl Posting Am]",'Historical Summary Cube'!$AA$5,"[Accounting Period].[Fisc Yr]","[Accounting Period].[Fisc Yr].&amp;[2013]","[Object].[Object Group]","[Object].[Object Group].&amp;[46]","[Object].[Obj Group Nm]","[Object].[Obj Group Nm].&amp;[RENTS]"),0)</f>
        <v>15305.899999999998</v>
      </c>
      <c r="K47" s="25">
        <f>IFERROR(GETPIVOTDATA("[Measures].[Jrnl Posting Am]",'Historical Summary Cube'!$AA$5,"[Accounting Period].[Fisc Yr]","[Accounting Period].[Fisc Yr].&amp;[2014]","[Object].[Object Group]","[Object].[Object Group].&amp;[46]","[Object].[Obj Group Nm]","[Object].[Obj Group Nm].&amp;[RENTS]"),0)</f>
        <v>11931.130000000001</v>
      </c>
      <c r="L47" s="25">
        <f>IFERROR(GETPIVOTDATA("[Measures].[Jrnl Posting Am]",'Historical Summary Cube'!$AA$5,"[Accounting Period].[Fisc Yr]","[Accounting Period].[Fisc Yr].&amp;[2015]","[Object].[Object Group]","[Object].[Object Group].&amp;[46]","[Object].[Obj Group Nm]","[Object].[Obj Group Nm].&amp;[RENTS]"),0)</f>
        <v>8052.8700000000008</v>
      </c>
      <c r="M47" s="25">
        <f>IFERROR(GETPIVOTDATA("[Measures].[Jrnl Posting Am]",'Historical Summary Cube'!$AA$5,"[Accounting Period].[Fisc Yr]","[Accounting Period].[Fisc Yr].&amp;[2016]","[Object].[Object Group]","[Object].[Object Group].&amp;[46]","[Object].[Obj Group Nm]","[Object].[Obj Group Nm].&amp;[RENTS]"),0)</f>
        <v>9422.26</v>
      </c>
      <c r="N47" s="25">
        <f>IFERROR(GETPIVOTDATA("[Measures].[Jrnl Posting Am]",'Historical Summary Cube'!$AA$5,"[Accounting Period].[Fisc Yr]","[Accounting Period].[Fisc Yr].&amp;[2017]","[Object].[Object Group]","[Object].[Object Group].&amp;[46]","[Object].[Obj Group Nm]","[Object].[Obj Group Nm].&amp;[RENTS]"),0)</f>
        <v>12340.089999999998</v>
      </c>
      <c r="O47" s="25">
        <f>IFERROR(GETPIVOTDATA("[Measures].[Jrnl Posting Am]",'Historical Summary Cube'!$AA$5,"[Accounting Period].[Fisc Yr]","[Accounting Period].[Fisc Yr].&amp;[2018]","[Object].[Object Group]","[Object].[Object Group].&amp;[46]","[Object].[Obj Group Nm]","[Object].[Obj Group Nm].&amp;[RENTS]"),0)</f>
        <v>12427.230000000001</v>
      </c>
      <c r="P47" s="25">
        <f>IFERROR(GETPIVOTDATA("[Measures].[Jrnl Posting Am]",'Historical Summary Cube'!$AA$5,"[Accounting Period].[Fisc Yr]","[Accounting Period].[Fisc Yr].&amp;[2019]","[Object].[Object Group]","[Object].[Object Group].&amp;[46]","[Object].[Obj Group Nm]","[Object].[Obj Group Nm].&amp;[RENTS]"),0)</f>
        <v>12378.369999999999</v>
      </c>
      <c r="Q47" s="25">
        <f>IFERROR(GETPIVOTDATA("[Measures].[Jrnl Posting Am]",'Historical Summary Cube'!$AA$5,"[Accounting Period].[Fisc Yr]","[Accounting Period].[Fisc Yr].&amp;[2020]","[Object].[Object Group]","[Object].[Object Group].&amp;[46]","[Object].[Obj Group Nm]","[Object].[Obj Group Nm].&amp;[RENTS]"),0)</f>
        <v>18652.109999999997</v>
      </c>
      <c r="R47" s="25">
        <f>IFERROR(GETPIVOTDATA("[Measures].[Jrnl Posting Am]",'Historical Summary Cube'!$AA$5,"[Accounting Period].[Fisc Yr]","[Accounting Period].[Fisc Yr].&amp;[2021]","[Object].[Object Group]","[Object].[Object Group].&amp;[46]","[Object].[Obj Group Nm]","[Object].[Obj Group Nm].&amp;[RENTS]"),0)</f>
        <v>14111.71</v>
      </c>
      <c r="S47" s="25">
        <f>IFERROR(GETPIVOTDATA("[Measures].[Jrnl Posting Am]",'Historical Summary Cube'!$AA$5,"[Accounting Period].[Fisc Yr]","[Accounting Period].[Fisc Yr].&amp;[2022]","[Object].[Object Group]","[Object].[Object Group].&amp;[46]","[Object].[Obj Group Nm]","[Object].[Obj Group Nm].&amp;[RENTS]"),0)</f>
        <v>14704.88</v>
      </c>
      <c r="T47" s="25">
        <f>IFERROR(GETPIVOTDATA("[Measures].[Jrnl Posting Am]",'Historical Summary Cube'!$AA$5,"[Accounting Period].[Fisc Yr]","[Accounting Period].[Fisc Yr].&amp;[2023]","[Object].[Object Group]","[Object].[Object Group].&amp;[46]","[Object].[Obj Group Nm]","[Object].[Obj Group Nm].&amp;[RENTS]"),0)</f>
        <v>12994.909999999998</v>
      </c>
      <c r="U47" s="55"/>
      <c r="V47" s="55"/>
    </row>
    <row r="48" spans="1:22" s="19" customFormat="1" ht="15.5" x14ac:dyDescent="0.35">
      <c r="A48" s="27" t="s">
        <v>63</v>
      </c>
      <c r="B48" s="30" t="s">
        <v>88</v>
      </c>
      <c r="C48" s="49"/>
      <c r="D48" s="49"/>
      <c r="E48" s="25">
        <f>IFERROR(GETPIVOTDATA("[Measures].[Jrnl Posting Am]",'Historical Summary Cube'!$AA$5,"[Accounting Period].[Fisc Yr]","[Accounting Period].[Fisc Yr].&amp;[2008]","[Object].[Object Group]","[Object].[Object Group].&amp;[47]","[Object].[Obj Group Nm]","[Object].[Obj Group Nm].&amp;[REPAIRS]"),0)</f>
        <v>0</v>
      </c>
      <c r="F48" s="25">
        <f>IFERROR(GETPIVOTDATA("[Measures].[Jrnl Posting Am]",'Historical Summary Cube'!$AA$5,"[Accounting Period].[Fisc Yr]","[Accounting Period].[Fisc Yr].&amp;[2009]","[Object].[Object Group]","[Object].[Object Group].&amp;[47]","[Object].[Obj Group Nm]","[Object].[Obj Group Nm].&amp;[REPAIRS]"),0)</f>
        <v>0</v>
      </c>
      <c r="G48" s="25">
        <f>IFERROR(GETPIVOTDATA("[Measures].[Jrnl Posting Am]",'Historical Summary Cube'!$AA$5,"[Accounting Period].[Fisc Yr]","[Accounting Period].[Fisc Yr].&amp;[2010]","[Object].[Object Group]","[Object].[Object Group].&amp;[47]","[Object].[Obj Group Nm]","[Object].[Obj Group Nm].&amp;[REPAIRS]"),0)</f>
        <v>15</v>
      </c>
      <c r="H48" s="25">
        <f>IFERROR(GETPIVOTDATA("[Measures].[Jrnl Posting Am]",'Historical Summary Cube'!$AA$5,"[Accounting Period].[Fisc Yr]","[Accounting Period].[Fisc Yr].&amp;[2011]","[Object].[Object Group]","[Object].[Object Group].&amp;[47]","[Object].[Obj Group Nm]","[Object].[Obj Group Nm].&amp;[REPAIRS]"),0)</f>
        <v>0</v>
      </c>
      <c r="I48" s="25">
        <f>IFERROR(GETPIVOTDATA("[Measures].[Jrnl Posting Am]",'Historical Summary Cube'!$AA$5,"[Accounting Period].[Fisc Yr]","[Accounting Period].[Fisc Yr].&amp;[2012]","[Object].[Object Group]","[Object].[Object Group].&amp;[47]","[Object].[Obj Group Nm]","[Object].[Obj Group Nm].&amp;[REPAIRS]"),0)</f>
        <v>0</v>
      </c>
      <c r="J48" s="25">
        <f>IFERROR(GETPIVOTDATA("[Measures].[Jrnl Posting Am]",'Historical Summary Cube'!$AA$5,"[Accounting Period].[Fisc Yr]","[Accounting Period].[Fisc Yr].&amp;[2013]","[Object].[Object Group]","[Object].[Object Group].&amp;[47]","[Object].[Obj Group Nm]","[Object].[Obj Group Nm].&amp;[REPAIRS]"),0)</f>
        <v>0</v>
      </c>
      <c r="K48" s="25">
        <f>IFERROR(GETPIVOTDATA("[Measures].[Jrnl Posting Am]",'Historical Summary Cube'!$AA$5,"[Accounting Period].[Fisc Yr]","[Accounting Period].[Fisc Yr].&amp;[2014]","[Object].[Object Group]","[Object].[Object Group].&amp;[47]","[Object].[Obj Group Nm]","[Object].[Obj Group Nm].&amp;[REPAIRS]"),0)</f>
        <v>99.95</v>
      </c>
      <c r="L48" s="25">
        <f>IFERROR(GETPIVOTDATA("[Measures].[Jrnl Posting Am]",'Historical Summary Cube'!$AA$5,"[Accounting Period].[Fisc Yr]","[Accounting Period].[Fisc Yr].&amp;[2015]","[Object].[Object Group]","[Object].[Object Group].&amp;[47]","[Object].[Obj Group Nm]","[Object].[Obj Group Nm].&amp;[REPAIRS]"),0)</f>
        <v>107.91</v>
      </c>
      <c r="M48" s="25">
        <f>IFERROR(GETPIVOTDATA("[Measures].[Jrnl Posting Am]",'Historical Summary Cube'!$AA$5,"[Accounting Period].[Fisc Yr]","[Accounting Period].[Fisc Yr].&amp;[2016]","[Object].[Object Group]","[Object].[Object Group].&amp;[47]","[Object].[Obj Group Nm]","[Object].[Obj Group Nm].&amp;[REPAIRS]"),0)</f>
        <v>0</v>
      </c>
      <c r="N48" s="25">
        <f>IFERROR(GETPIVOTDATA("[Measures].[Jrnl Posting Am]",'Historical Summary Cube'!$AA$5,"[Accounting Period].[Fisc Yr]","[Accounting Period].[Fisc Yr].&amp;[2017]","[Object].[Object Group]","[Object].[Object Group].&amp;[47]","[Object].[Obj Group Nm]","[Object].[Obj Group Nm].&amp;[REPAIRS]"),0)</f>
        <v>42.66</v>
      </c>
      <c r="O48" s="25">
        <f>IFERROR(GETPIVOTDATA("[Measures].[Jrnl Posting Am]",'Historical Summary Cube'!$AA$5,"[Accounting Period].[Fisc Yr]","[Accounting Period].[Fisc Yr].&amp;[2018]","[Object].[Object Group]","[Object].[Object Group].&amp;[47]","[Object].[Obj Group Nm]","[Object].[Obj Group Nm].&amp;[REPAIRS]"),0)</f>
        <v>0</v>
      </c>
      <c r="P48" s="25">
        <f>IFERROR(GETPIVOTDATA("[Measures].[Jrnl Posting Am]",'Historical Summary Cube'!$AA$5,"[Accounting Period].[Fisc Yr]","[Accounting Period].[Fisc Yr].&amp;[2019]","[Object].[Object Group]","[Object].[Object Group].&amp;[47]","[Object].[Obj Group Nm]","[Object].[Obj Group Nm].&amp;[REPAIRS]"),0)</f>
        <v>0</v>
      </c>
      <c r="Q48" s="25">
        <f>IFERROR(GETPIVOTDATA("[Measures].[Jrnl Posting Am]",'Historical Summary Cube'!$AA$5,"[Accounting Period].[Fisc Yr]","[Accounting Period].[Fisc Yr].&amp;[2020]","[Object].[Object Group]","[Object].[Object Group].&amp;[47]","[Object].[Obj Group Nm]","[Object].[Obj Group Nm].&amp;[REPAIRS]"),0)</f>
        <v>0</v>
      </c>
      <c r="R48" s="25">
        <f>IFERROR(GETPIVOTDATA("[Measures].[Jrnl Posting Am]",'Historical Summary Cube'!$AA$5,"[Accounting Period].[Fisc Yr]","[Accounting Period].[Fisc Yr].&amp;[2021]","[Object].[Object Group]","[Object].[Object Group].&amp;[47]","[Object].[Obj Group Nm]","[Object].[Obj Group Nm].&amp;[REPAIRS]"),0)</f>
        <v>0</v>
      </c>
      <c r="S48" s="25">
        <f>IFERROR(GETPIVOTDATA("[Measures].[Jrnl Posting Am]",'Historical Summary Cube'!$AA$5,"[Accounting Period].[Fisc Yr]","[Accounting Period].[Fisc Yr].&amp;[2022]","[Object].[Object Group]","[Object].[Object Group].&amp;[47]","[Object].[Obj Group Nm]","[Object].[Obj Group Nm].&amp;[REPAIRS]"),0)</f>
        <v>0</v>
      </c>
      <c r="T48" s="25">
        <f>IFERROR(GETPIVOTDATA("[Measures].[Jrnl Posting Am]",'Historical Summary Cube'!$AA$5,"[Accounting Period].[Fisc Yr]","[Accounting Period].[Fisc Yr].&amp;[2023]","[Object].[Object Group]","[Object].[Object Group].&amp;[47]","[Object].[Obj Group Nm]","[Object].[Obj Group Nm].&amp;[REPAIRS]"),0)</f>
        <v>0</v>
      </c>
      <c r="U48" s="55"/>
      <c r="V48" s="55"/>
    </row>
    <row r="49" spans="1:22" s="19" customFormat="1" ht="15.5" x14ac:dyDescent="0.35">
      <c r="A49" s="27" t="s">
        <v>64</v>
      </c>
      <c r="B49" s="30" t="s">
        <v>89</v>
      </c>
      <c r="C49" s="49"/>
      <c r="D49" s="49"/>
      <c r="E49" s="25">
        <f>IFERROR(GETPIVOTDATA("[Measures].[Jrnl Posting Am]",'Historical Summary Cube'!$AA$5,"[Accounting Period].[Fisc Yr]","[Accounting Period].[Fisc Yr].&amp;[2008]","[Object].[Object Group]","[Object].[Object Group].&amp;[48]","[Object].[Obj Group Nm]","[Object].[Obj Group Nm].&amp;[INSURANCE]"),0)</f>
        <v>978.47</v>
      </c>
      <c r="F49" s="25">
        <f>IFERROR(GETPIVOTDATA("[Measures].[Jrnl Posting Am]",'Historical Summary Cube'!$AA$5,"[Accounting Period].[Fisc Yr]","[Accounting Period].[Fisc Yr].&amp;[2009]","[Object].[Object Group]","[Object].[Object Group].&amp;[48]","[Object].[Obj Group Nm]","[Object].[Obj Group Nm].&amp;[INSURANCE]"),0)</f>
        <v>965.15000000000009</v>
      </c>
      <c r="G49" s="25">
        <f>IFERROR(GETPIVOTDATA("[Measures].[Jrnl Posting Am]",'Historical Summary Cube'!$AA$5,"[Accounting Period].[Fisc Yr]","[Accounting Period].[Fisc Yr].&amp;[2010]","[Object].[Object Group]","[Object].[Object Group].&amp;[48]","[Object].[Obj Group Nm]","[Object].[Obj Group Nm].&amp;[INSURANCE]"),0)</f>
        <v>934.53</v>
      </c>
      <c r="H49" s="25">
        <f>IFERROR(GETPIVOTDATA("[Measures].[Jrnl Posting Am]",'Historical Summary Cube'!$AA$5,"[Accounting Period].[Fisc Yr]","[Accounting Period].[Fisc Yr].&amp;[2011]","[Object].[Object Group]","[Object].[Object Group].&amp;[48]","[Object].[Obj Group Nm]","[Object].[Obj Group Nm].&amp;[INSURANCE]"),0)</f>
        <v>15</v>
      </c>
      <c r="I49" s="25">
        <f>IFERROR(GETPIVOTDATA("[Measures].[Jrnl Posting Am]",'Historical Summary Cube'!$AA$5,"[Accounting Period].[Fisc Yr]","[Accounting Period].[Fisc Yr].&amp;[2012]","[Object].[Object Group]","[Object].[Object Group].&amp;[48]","[Object].[Obj Group Nm]","[Object].[Obj Group Nm].&amp;[INSURANCE]"),0)</f>
        <v>1382.5600000000002</v>
      </c>
      <c r="J49" s="25">
        <f>IFERROR(GETPIVOTDATA("[Measures].[Jrnl Posting Am]",'Historical Summary Cube'!$AA$5,"[Accounting Period].[Fisc Yr]","[Accounting Period].[Fisc Yr].&amp;[2013]","[Object].[Object Group]","[Object].[Object Group].&amp;[48]","[Object].[Obj Group Nm]","[Object].[Obj Group Nm].&amp;[INSURANCE]"),0)</f>
        <v>276.61</v>
      </c>
      <c r="K49" s="25">
        <f>IFERROR(GETPIVOTDATA("[Measures].[Jrnl Posting Am]",'Historical Summary Cube'!$AA$5,"[Accounting Period].[Fisc Yr]","[Accounting Period].[Fisc Yr].&amp;[2014]","[Object].[Object Group]","[Object].[Object Group].&amp;[48]","[Object].[Obj Group Nm]","[Object].[Obj Group Nm].&amp;[INSURANCE]"),0)</f>
        <v>1147.3999999999999</v>
      </c>
      <c r="L49" s="25">
        <f>IFERROR(GETPIVOTDATA("[Measures].[Jrnl Posting Am]",'Historical Summary Cube'!$AA$5,"[Accounting Period].[Fisc Yr]","[Accounting Period].[Fisc Yr].&amp;[2015]","[Object].[Object Group]","[Object].[Object Group].&amp;[48]","[Object].[Obj Group Nm]","[Object].[Obj Group Nm].&amp;[INSURANCE]"),0)</f>
        <v>1325.83</v>
      </c>
      <c r="M49" s="25">
        <f>IFERROR(GETPIVOTDATA("[Measures].[Jrnl Posting Am]",'Historical Summary Cube'!$AA$5,"[Accounting Period].[Fisc Yr]","[Accounting Period].[Fisc Yr].&amp;[2016]","[Object].[Object Group]","[Object].[Object Group].&amp;[48]","[Object].[Obj Group Nm]","[Object].[Obj Group Nm].&amp;[INSURANCE]"),0)</f>
        <v>1583.7099999999998</v>
      </c>
      <c r="N49" s="25">
        <f>IFERROR(GETPIVOTDATA("[Measures].[Jrnl Posting Am]",'Historical Summary Cube'!$AA$5,"[Accounting Period].[Fisc Yr]","[Accounting Period].[Fisc Yr].&amp;[2017]","[Object].[Object Group]","[Object].[Object Group].&amp;[48]","[Object].[Obj Group Nm]","[Object].[Obj Group Nm].&amp;[INSURANCE]"),0)</f>
        <v>1891.88</v>
      </c>
      <c r="O49" s="25">
        <f>IFERROR(GETPIVOTDATA("[Measures].[Jrnl Posting Am]",'Historical Summary Cube'!$AA$5,"[Accounting Period].[Fisc Yr]","[Accounting Period].[Fisc Yr].&amp;[2018]","[Object].[Object Group]","[Object].[Object Group].&amp;[48]","[Object].[Obj Group Nm]","[Object].[Obj Group Nm].&amp;[INSURANCE]"),0)</f>
        <v>3116.24</v>
      </c>
      <c r="P49" s="25">
        <f>IFERROR(GETPIVOTDATA("[Measures].[Jrnl Posting Am]",'Historical Summary Cube'!$AA$5,"[Accounting Period].[Fisc Yr]","[Accounting Period].[Fisc Yr].&amp;[2019]","[Object].[Object Group]","[Object].[Object Group].&amp;[48]","[Object].[Obj Group Nm]","[Object].[Obj Group Nm].&amp;[INSURANCE]"),0)</f>
        <v>2629.72</v>
      </c>
      <c r="Q49" s="25">
        <f>IFERROR(GETPIVOTDATA("[Measures].[Jrnl Posting Am]",'Historical Summary Cube'!$AA$5,"[Accounting Period].[Fisc Yr]","[Accounting Period].[Fisc Yr].&amp;[2020]","[Object].[Object Group]","[Object].[Object Group].&amp;[48]","[Object].[Obj Group Nm]","[Object].[Obj Group Nm].&amp;[INSURANCE]"),0)</f>
        <v>2629.7999999999997</v>
      </c>
      <c r="R49" s="25">
        <f>IFERROR(GETPIVOTDATA("[Measures].[Jrnl Posting Am]",'Historical Summary Cube'!$AA$5,"[Accounting Period].[Fisc Yr]","[Accounting Period].[Fisc Yr].&amp;[2021]","[Object].[Object Group]","[Object].[Object Group].&amp;[48]","[Object].[Obj Group Nm]","[Object].[Obj Group Nm].&amp;[INSURANCE]"),0)</f>
        <v>2867</v>
      </c>
      <c r="S49" s="25">
        <f>IFERROR(GETPIVOTDATA("[Measures].[Jrnl Posting Am]",'Historical Summary Cube'!$AA$5,"[Accounting Period].[Fisc Yr]","[Accounting Period].[Fisc Yr].&amp;[2022]","[Object].[Object Group]","[Object].[Object Group].&amp;[48]","[Object].[Obj Group Nm]","[Object].[Obj Group Nm].&amp;[INSURANCE]"),0)</f>
        <v>3514.78</v>
      </c>
      <c r="T49" s="25">
        <f>IFERROR(GETPIVOTDATA("[Measures].[Jrnl Posting Am]",'Historical Summary Cube'!$AA$5,"[Accounting Period].[Fisc Yr]","[Accounting Period].[Fisc Yr].&amp;[2023]","[Object].[Object Group]","[Object].[Object Group].&amp;[48]","[Object].[Obj Group Nm]","[Object].[Obj Group Nm].&amp;[INSURANCE]"),0)</f>
        <v>3811.61</v>
      </c>
      <c r="U49" s="55"/>
      <c r="V49" s="55"/>
    </row>
    <row r="50" spans="1:22" s="19" customFormat="1" ht="15.5" x14ac:dyDescent="0.35">
      <c r="A50" s="27" t="s">
        <v>65</v>
      </c>
      <c r="B50" s="30" t="s">
        <v>90</v>
      </c>
      <c r="C50" s="49"/>
      <c r="D50" s="49"/>
      <c r="E50" s="25">
        <f>IFERROR(GETPIVOTDATA("[Measures].[Jrnl Posting Am]",'Historical Summary Cube'!$AA$5,"[Accounting Period].[Fisc Yr]","[Accounting Period].[Fisc Yr].&amp;[2008]","[Object].[Object Group]","[Object].[Object Group].&amp;[49]","[Object].[Obj Group Nm]","[Object].[Obj Group Nm].&amp;[GENERAL OPERATIONS]"),0)</f>
        <v>34840.490000000005</v>
      </c>
      <c r="F50" s="25">
        <f>IFERROR(GETPIVOTDATA("[Measures].[Jrnl Posting Am]",'Historical Summary Cube'!$AA$5,"[Accounting Period].[Fisc Yr]","[Accounting Period].[Fisc Yr].&amp;[2009]","[Object].[Object Group]","[Object].[Object Group].&amp;[49]","[Object].[Obj Group Nm]","[Object].[Obj Group Nm].&amp;[GENERAL OPERATIONS]"),0)</f>
        <v>17798.29</v>
      </c>
      <c r="G50" s="25">
        <f>IFERROR(GETPIVOTDATA("[Measures].[Jrnl Posting Am]",'Historical Summary Cube'!$AA$5,"[Accounting Period].[Fisc Yr]","[Accounting Period].[Fisc Yr].&amp;[2010]","[Object].[Object Group]","[Object].[Object Group].&amp;[49]","[Object].[Obj Group Nm]","[Object].[Obj Group Nm].&amp;[GENERAL OPERATIONS]"),0)</f>
        <v>29393.52</v>
      </c>
      <c r="H50" s="25">
        <f>IFERROR(GETPIVOTDATA("[Measures].[Jrnl Posting Am]",'Historical Summary Cube'!$AA$5,"[Accounting Period].[Fisc Yr]","[Accounting Period].[Fisc Yr].&amp;[2011]","[Object].[Object Group]","[Object].[Object Group].&amp;[49]","[Object].[Obj Group Nm]","[Object].[Obj Group Nm].&amp;[GENERAL OPERATIONS]"),0)</f>
        <v>35092.81</v>
      </c>
      <c r="I50" s="25">
        <f>IFERROR(GETPIVOTDATA("[Measures].[Jrnl Posting Am]",'Historical Summary Cube'!$AA$5,"[Accounting Period].[Fisc Yr]","[Accounting Period].[Fisc Yr].&amp;[2012]","[Object].[Object Group]","[Object].[Object Group].&amp;[49]","[Object].[Obj Group Nm]","[Object].[Obj Group Nm].&amp;[GENERAL OPERATIONS]"),0)</f>
        <v>17566.36</v>
      </c>
      <c r="J50" s="25">
        <f>IFERROR(GETPIVOTDATA("[Measures].[Jrnl Posting Am]",'Historical Summary Cube'!$AA$5,"[Accounting Period].[Fisc Yr]","[Accounting Period].[Fisc Yr].&amp;[2013]","[Object].[Object Group]","[Object].[Object Group].&amp;[49]","[Object].[Obj Group Nm]","[Object].[Obj Group Nm].&amp;[GENERAL OPERATIONS]"),0)</f>
        <v>35736.100000000013</v>
      </c>
      <c r="K50" s="25">
        <f>IFERROR(GETPIVOTDATA("[Measures].[Jrnl Posting Am]",'Historical Summary Cube'!$AA$5,"[Accounting Period].[Fisc Yr]","[Accounting Period].[Fisc Yr].&amp;[2014]","[Object].[Object Group]","[Object].[Object Group].&amp;[49]","[Object].[Obj Group Nm]","[Object].[Obj Group Nm].&amp;[GENERAL OPERATIONS]"),0)</f>
        <v>24985.269999999993</v>
      </c>
      <c r="L50" s="25">
        <f>IFERROR(GETPIVOTDATA("[Measures].[Jrnl Posting Am]",'Historical Summary Cube'!$AA$5,"[Accounting Period].[Fisc Yr]","[Accounting Period].[Fisc Yr].&amp;[2015]","[Object].[Object Group]","[Object].[Object Group].&amp;[49]","[Object].[Obj Group Nm]","[Object].[Obj Group Nm].&amp;[GENERAL OPERATIONS]"),0)</f>
        <v>28662.380000000005</v>
      </c>
      <c r="M50" s="25">
        <f>IFERROR(GETPIVOTDATA("[Measures].[Jrnl Posting Am]",'Historical Summary Cube'!$AA$5,"[Accounting Period].[Fisc Yr]","[Accounting Period].[Fisc Yr].&amp;[2016]","[Object].[Object Group]","[Object].[Object Group].&amp;[49]","[Object].[Obj Group Nm]","[Object].[Obj Group Nm].&amp;[GENERAL OPERATIONS]"),0)</f>
        <v>30661.830000000005</v>
      </c>
      <c r="N50" s="25">
        <f>IFERROR(GETPIVOTDATA("[Measures].[Jrnl Posting Am]",'Historical Summary Cube'!$AA$5,"[Accounting Period].[Fisc Yr]","[Accounting Period].[Fisc Yr].&amp;[2017]","[Object].[Object Group]","[Object].[Object Group].&amp;[49]","[Object].[Obj Group Nm]","[Object].[Obj Group Nm].&amp;[GENERAL OPERATIONS]"),0)</f>
        <v>19558.16</v>
      </c>
      <c r="O50" s="25">
        <f>IFERROR(GETPIVOTDATA("[Measures].[Jrnl Posting Am]",'Historical Summary Cube'!$AA$5,"[Accounting Period].[Fisc Yr]","[Accounting Period].[Fisc Yr].&amp;[2018]","[Object].[Object Group]","[Object].[Object Group].&amp;[49]","[Object].[Obj Group Nm]","[Object].[Obj Group Nm].&amp;[GENERAL OPERATIONS]"),0)</f>
        <v>34919.629999999997</v>
      </c>
      <c r="P50" s="25">
        <f>IFERROR(GETPIVOTDATA("[Measures].[Jrnl Posting Am]",'Historical Summary Cube'!$AA$5,"[Accounting Period].[Fisc Yr]","[Accounting Period].[Fisc Yr].&amp;[2019]","[Object].[Object Group]","[Object].[Object Group].&amp;[49]","[Object].[Obj Group Nm]","[Object].[Obj Group Nm].&amp;[GENERAL OPERATIONS]"),0)</f>
        <v>61036.729999999996</v>
      </c>
      <c r="Q50" s="25">
        <f>IFERROR(GETPIVOTDATA("[Measures].[Jrnl Posting Am]",'Historical Summary Cube'!$AA$5,"[Accounting Period].[Fisc Yr]","[Accounting Period].[Fisc Yr].&amp;[2020]","[Object].[Object Group]","[Object].[Object Group].&amp;[49]","[Object].[Obj Group Nm]","[Object].[Obj Group Nm].&amp;[GENERAL OPERATIONS]"),0)</f>
        <v>50322.66</v>
      </c>
      <c r="R50" s="25">
        <f>IFERROR(GETPIVOTDATA("[Measures].[Jrnl Posting Am]",'Historical Summary Cube'!$AA$5,"[Accounting Period].[Fisc Yr]","[Accounting Period].[Fisc Yr].&amp;[2021]","[Object].[Object Group]","[Object].[Object Group].&amp;[49]","[Object].[Obj Group Nm]","[Object].[Obj Group Nm].&amp;[GENERAL OPERATIONS]"),0)</f>
        <v>41686.35</v>
      </c>
      <c r="S50" s="25">
        <f>IFERROR(GETPIVOTDATA("[Measures].[Jrnl Posting Am]",'Historical Summary Cube'!$AA$5,"[Accounting Period].[Fisc Yr]","[Accounting Period].[Fisc Yr].&amp;[2022]","[Object].[Object Group]","[Object].[Object Group].&amp;[49]","[Object].[Obj Group Nm]","[Object].[Obj Group Nm].&amp;[GENERAL OPERATIONS]"),0)</f>
        <v>62289.1</v>
      </c>
      <c r="T50" s="25">
        <f>IFERROR(GETPIVOTDATA("[Measures].[Jrnl Posting Am]",'Historical Summary Cube'!$AA$5,"[Accounting Period].[Fisc Yr]","[Accounting Period].[Fisc Yr].&amp;[2023]","[Object].[Object Group]","[Object].[Object Group].&amp;[49]","[Object].[Obj Group Nm]","[Object].[Obj Group Nm].&amp;[GENERAL OPERATIONS]"),0)</f>
        <v>46156.219999999994</v>
      </c>
      <c r="U50" s="55"/>
      <c r="V50" s="55"/>
    </row>
    <row r="51" spans="1:22" s="19" customFormat="1" ht="15.5" x14ac:dyDescent="0.35">
      <c r="A51" s="27" t="s">
        <v>66</v>
      </c>
      <c r="B51" s="30" t="s">
        <v>91</v>
      </c>
      <c r="C51" s="49"/>
      <c r="D51" s="49"/>
      <c r="E51" s="25">
        <f>IFERROR(GETPIVOTDATA("[Measures].[Jrnl Posting Am]",'Historical Summary Cube'!$AA$5,"[Accounting Period].[Fisc Yr]","[Accounting Period].[Fisc Yr].&amp;[2008]","[Object].[Object Group]","[Object].[Object Group].&amp;[50]","[Object].[Obj Group Nm]","[Object].[Obj Group Nm].&amp;[EMPLOYEE TRAINING]"),0)</f>
        <v>60</v>
      </c>
      <c r="F51" s="25">
        <f>IFERROR(GETPIVOTDATA("[Measures].[Jrnl Posting Am]",'Historical Summary Cube'!$AA$5,"[Accounting Period].[Fisc Yr]","[Accounting Period].[Fisc Yr].&amp;[2009]","[Object].[Object Group]","[Object].[Object Group].&amp;[50]","[Object].[Obj Group Nm]","[Object].[Obj Group Nm].&amp;[EMPLOYEE TRAINING]"),0)</f>
        <v>1521.99</v>
      </c>
      <c r="G51" s="25">
        <f>IFERROR(GETPIVOTDATA("[Measures].[Jrnl Posting Am]",'Historical Summary Cube'!$AA$5,"[Accounting Period].[Fisc Yr]","[Accounting Period].[Fisc Yr].&amp;[2010]","[Object].[Object Group]","[Object].[Object Group].&amp;[50]","[Object].[Obj Group Nm]","[Object].[Obj Group Nm].&amp;[EMPLOYEE TRAINING]"),0)</f>
        <v>758.52</v>
      </c>
      <c r="H51" s="25">
        <f>IFERROR(GETPIVOTDATA("[Measures].[Jrnl Posting Am]",'Historical Summary Cube'!$AA$5,"[Accounting Period].[Fisc Yr]","[Accounting Period].[Fisc Yr].&amp;[2011]","[Object].[Object Group]","[Object].[Object Group].&amp;[50]","[Object].[Obj Group Nm]","[Object].[Obj Group Nm].&amp;[EMPLOYEE TRAINING]"),0)</f>
        <v>860</v>
      </c>
      <c r="I51" s="25">
        <f>IFERROR(GETPIVOTDATA("[Measures].[Jrnl Posting Am]",'Historical Summary Cube'!$AA$5,"[Accounting Period].[Fisc Yr]","[Accounting Period].[Fisc Yr].&amp;[2012]","[Object].[Object Group]","[Object].[Object Group].&amp;[50]","[Object].[Obj Group Nm]","[Object].[Obj Group Nm].&amp;[EMPLOYEE TRAINING]"),0)</f>
        <v>176</v>
      </c>
      <c r="J51" s="25">
        <f>IFERROR(GETPIVOTDATA("[Measures].[Jrnl Posting Am]",'Historical Summary Cube'!$AA$5,"[Accounting Period].[Fisc Yr]","[Accounting Period].[Fisc Yr].&amp;[2013]","[Object].[Object Group]","[Object].[Object Group].&amp;[50]","[Object].[Obj Group Nm]","[Object].[Obj Group Nm].&amp;[EMPLOYEE TRAINING]"),0)</f>
        <v>175</v>
      </c>
      <c r="K51" s="25">
        <f>IFERROR(GETPIVOTDATA("[Measures].[Jrnl Posting Am]",'Historical Summary Cube'!$AA$5,"[Accounting Period].[Fisc Yr]","[Accounting Period].[Fisc Yr].&amp;[2014]","[Object].[Object Group]","[Object].[Object Group].&amp;[50]","[Object].[Obj Group Nm]","[Object].[Obj Group Nm].&amp;[EMPLOYEE TRAINING]"),0)</f>
        <v>979</v>
      </c>
      <c r="L51" s="25">
        <f>IFERROR(GETPIVOTDATA("[Measures].[Jrnl Posting Am]",'Historical Summary Cube'!$AA$5,"[Accounting Period].[Fisc Yr]","[Accounting Period].[Fisc Yr].&amp;[2015]","[Object].[Object Group]","[Object].[Object Group].&amp;[50]","[Object].[Obj Group Nm]","[Object].[Obj Group Nm].&amp;[EMPLOYEE TRAINING]"),0)</f>
        <v>745</v>
      </c>
      <c r="M51" s="25">
        <f>IFERROR(GETPIVOTDATA("[Measures].[Jrnl Posting Am]",'Historical Summary Cube'!$AA$5,"[Accounting Period].[Fisc Yr]","[Accounting Period].[Fisc Yr].&amp;[2016]","[Object].[Object Group]","[Object].[Object Group].&amp;[50]","[Object].[Obj Group Nm]","[Object].[Obj Group Nm].&amp;[EMPLOYEE TRAINING]"),0)</f>
        <v>0</v>
      </c>
      <c r="N51" s="25">
        <f>IFERROR(GETPIVOTDATA("[Measures].[Jrnl Posting Am]",'Historical Summary Cube'!$AA$5,"[Accounting Period].[Fisc Yr]","[Accounting Period].[Fisc Yr].&amp;[2017]","[Object].[Object Group]","[Object].[Object Group].&amp;[50]","[Object].[Obj Group Nm]","[Object].[Obj Group Nm].&amp;[EMPLOYEE TRAINING]"),0)</f>
        <v>134.24</v>
      </c>
      <c r="O51" s="25">
        <f>IFERROR(GETPIVOTDATA("[Measures].[Jrnl Posting Am]",'Historical Summary Cube'!$AA$5,"[Accounting Period].[Fisc Yr]","[Accounting Period].[Fisc Yr].&amp;[2018]","[Object].[Object Group]","[Object].[Object Group].&amp;[50]","[Object].[Obj Group Nm]","[Object].[Obj Group Nm].&amp;[EMPLOYEE TRAINING]"),0)</f>
        <v>910</v>
      </c>
      <c r="P51" s="25">
        <f>IFERROR(GETPIVOTDATA("[Measures].[Jrnl Posting Am]",'Historical Summary Cube'!$AA$5,"[Accounting Period].[Fisc Yr]","[Accounting Period].[Fisc Yr].&amp;[2019]","[Object].[Object Group]","[Object].[Object Group].&amp;[50]","[Object].[Obj Group Nm]","[Object].[Obj Group Nm].&amp;[EMPLOYEE TRAINING]"),0)</f>
        <v>55</v>
      </c>
      <c r="Q51" s="25">
        <f>IFERROR(GETPIVOTDATA("[Measures].[Jrnl Posting Am]",'Historical Summary Cube'!$AA$5,"[Accounting Period].[Fisc Yr]","[Accounting Period].[Fisc Yr].&amp;[2020]","[Object].[Object Group]","[Object].[Object Group].&amp;[50]","[Object].[Obj Group Nm]","[Object].[Obj Group Nm].&amp;[EMPLOYEE TRAINING]"),0)</f>
        <v>1262.75</v>
      </c>
      <c r="R51" s="25">
        <f>IFERROR(GETPIVOTDATA("[Measures].[Jrnl Posting Am]",'Historical Summary Cube'!$AA$5,"[Accounting Period].[Fisc Yr]","[Accounting Period].[Fisc Yr].&amp;[2021]","[Object].[Object Group]","[Object].[Object Group].&amp;[50]","[Object].[Obj Group Nm]","[Object].[Obj Group Nm].&amp;[EMPLOYEE TRAINING]"),0)</f>
        <v>1117</v>
      </c>
      <c r="S51" s="25">
        <f>IFERROR(GETPIVOTDATA("[Measures].[Jrnl Posting Am]",'Historical Summary Cube'!$AA$5,"[Accounting Period].[Fisc Yr]","[Accounting Period].[Fisc Yr].&amp;[2022]","[Object].[Object Group]","[Object].[Object Group].&amp;[50]","[Object].[Obj Group Nm]","[Object].[Obj Group Nm].&amp;[EMPLOYEE TRAINING]"),0)</f>
        <v>369</v>
      </c>
      <c r="T51" s="25">
        <f>IFERROR(GETPIVOTDATA("[Measures].[Jrnl Posting Am]",'Historical Summary Cube'!$AA$5,"[Accounting Period].[Fisc Yr]","[Accounting Period].[Fisc Yr].&amp;[2023]","[Object].[Object Group]","[Object].[Object Group].&amp;[50]","[Object].[Obj Group Nm]","[Object].[Obj Group Nm].&amp;[EMPLOYEE TRAINING]"),0)</f>
        <v>131.34</v>
      </c>
      <c r="U51" s="55"/>
      <c r="V51" s="55"/>
    </row>
    <row r="52" spans="1:22" s="19" customFormat="1" ht="15.5" x14ac:dyDescent="0.35">
      <c r="A52" s="27" t="s">
        <v>67</v>
      </c>
      <c r="B52" s="30" t="s">
        <v>92</v>
      </c>
      <c r="C52" s="49"/>
      <c r="D52" s="49"/>
      <c r="E52" s="25">
        <f>IFERROR(GETPIVOTDATA("[Measures].[Jrnl Posting Am]",'Historical Summary Cube'!$AA$5,"[Accounting Period].[Fisc Yr]","[Accounting Period].[Fisc Yr].&amp;[2008]","[Object].[Object Group]","[Object].[Object Group].&amp;[51]","[Object].[Obj Group Nm]","[Object].[Obj Group Nm].&amp;[COMMODITIES - FOOD]"),0)</f>
        <v>212.80999999999997</v>
      </c>
      <c r="F52" s="25">
        <f>IFERROR(GETPIVOTDATA("[Measures].[Jrnl Posting Am]",'Historical Summary Cube'!$AA$5,"[Accounting Period].[Fisc Yr]","[Accounting Period].[Fisc Yr].&amp;[2009]","[Object].[Object Group]","[Object].[Object Group].&amp;[51]","[Object].[Obj Group Nm]","[Object].[Obj Group Nm].&amp;[COMMODITIES - FOOD]"),0)</f>
        <v>320.54000000000002</v>
      </c>
      <c r="G52" s="25">
        <f>IFERROR(GETPIVOTDATA("[Measures].[Jrnl Posting Am]",'Historical Summary Cube'!$AA$5,"[Accounting Period].[Fisc Yr]","[Accounting Period].[Fisc Yr].&amp;[2010]","[Object].[Object Group]","[Object].[Object Group].&amp;[51]","[Object].[Obj Group Nm]","[Object].[Obj Group Nm].&amp;[COMMODITIES - FOOD]"),0)</f>
        <v>579.34</v>
      </c>
      <c r="H52" s="25">
        <f>IFERROR(GETPIVOTDATA("[Measures].[Jrnl Posting Am]",'Historical Summary Cube'!$AA$5,"[Accounting Period].[Fisc Yr]","[Accounting Period].[Fisc Yr].&amp;[2011]","[Object].[Object Group]","[Object].[Object Group].&amp;[51]","[Object].[Obj Group Nm]","[Object].[Obj Group Nm].&amp;[COMMODITIES - FOOD]"),0)</f>
        <v>396.05</v>
      </c>
      <c r="I52" s="25">
        <f>IFERROR(GETPIVOTDATA("[Measures].[Jrnl Posting Am]",'Historical Summary Cube'!$AA$5,"[Accounting Period].[Fisc Yr]","[Accounting Period].[Fisc Yr].&amp;[2012]","[Object].[Object Group]","[Object].[Object Group].&amp;[51]","[Object].[Obj Group Nm]","[Object].[Obj Group Nm].&amp;[COMMODITIES - FOOD]"),0)</f>
        <v>431.24</v>
      </c>
      <c r="J52" s="25">
        <f>IFERROR(GETPIVOTDATA("[Measures].[Jrnl Posting Am]",'Historical Summary Cube'!$AA$5,"[Accounting Period].[Fisc Yr]","[Accounting Period].[Fisc Yr].&amp;[2013]","[Object].[Object Group]","[Object].[Object Group].&amp;[51]","[Object].[Obj Group Nm]","[Object].[Obj Group Nm].&amp;[COMMODITIES - FOOD]"),0)</f>
        <v>1664.0200000000002</v>
      </c>
      <c r="K52" s="25">
        <f>IFERROR(GETPIVOTDATA("[Measures].[Jrnl Posting Am]",'Historical Summary Cube'!$AA$5,"[Accounting Period].[Fisc Yr]","[Accounting Period].[Fisc Yr].&amp;[2014]","[Object].[Object Group]","[Object].[Object Group].&amp;[51]","[Object].[Obj Group Nm]","[Object].[Obj Group Nm].&amp;[COMMODITIES - FOOD]"),0)</f>
        <v>432.53999999999996</v>
      </c>
      <c r="L52" s="25">
        <f>IFERROR(GETPIVOTDATA("[Measures].[Jrnl Posting Am]",'Historical Summary Cube'!$AA$5,"[Accounting Period].[Fisc Yr]","[Accounting Period].[Fisc Yr].&amp;[2015]","[Object].[Object Group]","[Object].[Object Group].&amp;[51]","[Object].[Obj Group Nm]","[Object].[Obj Group Nm].&amp;[COMMODITIES - FOOD]"),0)</f>
        <v>315.5</v>
      </c>
      <c r="M52" s="25">
        <f>IFERROR(GETPIVOTDATA("[Measures].[Jrnl Posting Am]",'Historical Summary Cube'!$AA$5,"[Accounting Period].[Fisc Yr]","[Accounting Period].[Fisc Yr].&amp;[2016]","[Object].[Object Group]","[Object].[Object Group].&amp;[51]","[Object].[Obj Group Nm]","[Object].[Obj Group Nm].&amp;[COMMODITIES - FOOD]"),0)</f>
        <v>342.46999999999997</v>
      </c>
      <c r="N52" s="25">
        <f>IFERROR(GETPIVOTDATA("[Measures].[Jrnl Posting Am]",'Historical Summary Cube'!$AA$5,"[Accounting Period].[Fisc Yr]","[Accounting Period].[Fisc Yr].&amp;[2017]","[Object].[Object Group]","[Object].[Object Group].&amp;[51]","[Object].[Obj Group Nm]","[Object].[Obj Group Nm].&amp;[COMMODITIES - FOOD]"),0)</f>
        <v>450.97999999999996</v>
      </c>
      <c r="O52" s="25">
        <f>IFERROR(GETPIVOTDATA("[Measures].[Jrnl Posting Am]",'Historical Summary Cube'!$AA$5,"[Accounting Period].[Fisc Yr]","[Accounting Period].[Fisc Yr].&amp;[2018]","[Object].[Object Group]","[Object].[Object Group].&amp;[51]","[Object].[Obj Group Nm]","[Object].[Obj Group Nm].&amp;[COMMODITIES - FOOD]"),0)</f>
        <v>190.06</v>
      </c>
      <c r="P52" s="25">
        <f>IFERROR(GETPIVOTDATA("[Measures].[Jrnl Posting Am]",'Historical Summary Cube'!$AA$5,"[Accounting Period].[Fisc Yr]","[Accounting Period].[Fisc Yr].&amp;[2019]","[Object].[Object Group]","[Object].[Object Group].&amp;[51]","[Object].[Obj Group Nm]","[Object].[Obj Group Nm].&amp;[COMMODITIES - FOOD]"),0)</f>
        <v>535.02</v>
      </c>
      <c r="Q52" s="25">
        <f>IFERROR(GETPIVOTDATA("[Measures].[Jrnl Posting Am]",'Historical Summary Cube'!$AA$5,"[Accounting Period].[Fisc Yr]","[Accounting Period].[Fisc Yr].&amp;[2020]","[Object].[Object Group]","[Object].[Object Group].&amp;[51]","[Object].[Obj Group Nm]","[Object].[Obj Group Nm].&amp;[COMMODITIES - FOOD]"),0)</f>
        <v>526.79999999999995</v>
      </c>
      <c r="R52" s="25">
        <f>IFERROR(GETPIVOTDATA("[Measures].[Jrnl Posting Am]",'Historical Summary Cube'!$AA$5,"[Accounting Period].[Fisc Yr]","[Accounting Period].[Fisc Yr].&amp;[2021]","[Object].[Object Group]","[Object].[Object Group].&amp;[51]","[Object].[Obj Group Nm]","[Object].[Obj Group Nm].&amp;[COMMODITIES - FOOD]"),0)</f>
        <v>0</v>
      </c>
      <c r="S52" s="25">
        <f>IFERROR(GETPIVOTDATA("[Measures].[Jrnl Posting Am]",'Historical Summary Cube'!$AA$5,"[Accounting Period].[Fisc Yr]","[Accounting Period].[Fisc Yr].&amp;[2022]","[Object].[Object Group]","[Object].[Object Group].&amp;[51]","[Object].[Obj Group Nm]","[Object].[Obj Group Nm].&amp;[COMMODITIES - FOOD]"),0)</f>
        <v>0</v>
      </c>
      <c r="T52" s="25">
        <f>IFERROR(GETPIVOTDATA("[Measures].[Jrnl Posting Am]",'Historical Summary Cube'!$AA$5,"[Accounting Period].[Fisc Yr]","[Accounting Period].[Fisc Yr].&amp;[2023]","[Object].[Object Group]","[Object].[Object Group].&amp;[51]","[Object].[Obj Group Nm]","[Object].[Obj Group Nm].&amp;[COMMODITIES - FOOD]"),0)</f>
        <v>133.75</v>
      </c>
      <c r="U52" s="55"/>
      <c r="V52" s="55"/>
    </row>
    <row r="53" spans="1:22" s="19" customFormat="1" ht="15.5" x14ac:dyDescent="0.35">
      <c r="A53" s="27" t="s">
        <v>68</v>
      </c>
      <c r="B53" s="30" t="s">
        <v>93</v>
      </c>
      <c r="C53" s="49"/>
      <c r="D53" s="49"/>
      <c r="E53" s="25">
        <f>IFERROR(GETPIVOTDATA("[Measures].[Jrnl Posting Am]",'Historical Summary Cube'!$AA$5,"[Accounting Period].[Fisc Yr]","[Accounting Period].[Fisc Yr].&amp;[2008]","[Object].[Object Group]","[Object].[Object Group].&amp;[53]","[Object].[Obj Group Nm]","[Object].[Obj Group Nm].&amp;[TECHNOLOGY]"),0)</f>
        <v>738.05999999999972</v>
      </c>
      <c r="F53" s="25">
        <f>IFERROR(GETPIVOTDATA("[Measures].[Jrnl Posting Am]",'Historical Summary Cube'!$AA$5,"[Accounting Period].[Fisc Yr]","[Accounting Period].[Fisc Yr].&amp;[2009]","[Object].[Object Group]","[Object].[Object Group].&amp;[53]","[Object].[Obj Group Nm]","[Object].[Obj Group Nm].&amp;[TECHNOLOGY]"),0)</f>
        <v>398.26000000000005</v>
      </c>
      <c r="G53" s="25">
        <f>IFERROR(GETPIVOTDATA("[Measures].[Jrnl Posting Am]",'Historical Summary Cube'!$AA$5,"[Accounting Period].[Fisc Yr]","[Accounting Period].[Fisc Yr].&amp;[2010]","[Object].[Object Group]","[Object].[Object Group].&amp;[53]","[Object].[Obj Group Nm]","[Object].[Obj Group Nm].&amp;[TECHNOLOGY]"),0)</f>
        <v>25.889999999999873</v>
      </c>
      <c r="H53" s="25">
        <f>IFERROR(GETPIVOTDATA("[Measures].[Jrnl Posting Am]",'Historical Summary Cube'!$AA$5,"[Accounting Period].[Fisc Yr]","[Accounting Period].[Fisc Yr].&amp;[2011]","[Object].[Object Group]","[Object].[Object Group].&amp;[53]","[Object].[Obj Group Nm]","[Object].[Obj Group Nm].&amp;[TECHNOLOGY]"),0)</f>
        <v>-2.8421709430404007E-14</v>
      </c>
      <c r="I53" s="25">
        <f>IFERROR(GETPIVOTDATA("[Measures].[Jrnl Posting Am]",'Historical Summary Cube'!$AA$5,"[Accounting Period].[Fisc Yr]","[Accounting Period].[Fisc Yr].&amp;[2012]","[Object].[Object Group]","[Object].[Object Group].&amp;[53]","[Object].[Obj Group Nm]","[Object].[Obj Group Nm].&amp;[TECHNOLOGY]"),0)</f>
        <v>1134</v>
      </c>
      <c r="J53" s="25">
        <f>IFERROR(GETPIVOTDATA("[Measures].[Jrnl Posting Am]",'Historical Summary Cube'!$AA$5,"[Accounting Period].[Fisc Yr]","[Accounting Period].[Fisc Yr].&amp;[2013]","[Object].[Object Group]","[Object].[Object Group].&amp;[53]","[Object].[Obj Group Nm]","[Object].[Obj Group Nm].&amp;[TECHNOLOGY]"),0)</f>
        <v>0</v>
      </c>
      <c r="K53" s="25">
        <f>IFERROR(GETPIVOTDATA("[Measures].[Jrnl Posting Am]",'Historical Summary Cube'!$AA$5,"[Accounting Period].[Fisc Yr]","[Accounting Period].[Fisc Yr].&amp;[2014]","[Object].[Object Group]","[Object].[Object Group].&amp;[53]","[Object].[Obj Group Nm]","[Object].[Obj Group Nm].&amp;[TECHNOLOGY]"),0)</f>
        <v>897.64</v>
      </c>
      <c r="L53" s="25">
        <f>IFERROR(GETPIVOTDATA("[Measures].[Jrnl Posting Am]",'Historical Summary Cube'!$AA$5,"[Accounting Period].[Fisc Yr]","[Accounting Period].[Fisc Yr].&amp;[2015]","[Object].[Object Group]","[Object].[Object Group].&amp;[53]","[Object].[Obj Group Nm]","[Object].[Obj Group Nm].&amp;[TECHNOLOGY]"),0)</f>
        <v>87868.77</v>
      </c>
      <c r="M53" s="25">
        <f>IFERROR(GETPIVOTDATA("[Measures].[Jrnl Posting Am]",'Historical Summary Cube'!$AA$5,"[Accounting Period].[Fisc Yr]","[Accounting Period].[Fisc Yr].&amp;[2016]","[Object].[Object Group]","[Object].[Object Group].&amp;[53]","[Object].[Obj Group Nm]","[Object].[Obj Group Nm].&amp;[TECHNOLOGY]"),0)</f>
        <v>576461.19999999995</v>
      </c>
      <c r="N53" s="25">
        <f>IFERROR(GETPIVOTDATA("[Measures].[Jrnl Posting Am]",'Historical Summary Cube'!$AA$5,"[Accounting Period].[Fisc Yr]","[Accounting Period].[Fisc Yr].&amp;[2017]","[Object].[Object Group]","[Object].[Object Group].&amp;[53]","[Object].[Obj Group Nm]","[Object].[Obj Group Nm].&amp;[TECHNOLOGY]"),0)</f>
        <v>670046.71</v>
      </c>
      <c r="O53" s="25">
        <f>IFERROR(GETPIVOTDATA("[Measures].[Jrnl Posting Am]",'Historical Summary Cube'!$AA$5,"[Accounting Period].[Fisc Yr]","[Accounting Period].[Fisc Yr].&amp;[2018]","[Object].[Object Group]","[Object].[Object Group].&amp;[53]","[Object].[Obj Group Nm]","[Object].[Obj Group Nm].&amp;[TECHNOLOGY]"),0)</f>
        <v>305223.4599999999</v>
      </c>
      <c r="P53" s="25">
        <f>IFERROR(GETPIVOTDATA("[Measures].[Jrnl Posting Am]",'Historical Summary Cube'!$AA$5,"[Accounting Period].[Fisc Yr]","[Accounting Period].[Fisc Yr].&amp;[2019]","[Object].[Object Group]","[Object].[Object Group].&amp;[53]","[Object].[Obj Group Nm]","[Object].[Obj Group Nm].&amp;[TECHNOLOGY]"),0)</f>
        <v>99717.409999999974</v>
      </c>
      <c r="Q53" s="25">
        <f>IFERROR(GETPIVOTDATA("[Measures].[Jrnl Posting Am]",'Historical Summary Cube'!$AA$5,"[Accounting Period].[Fisc Yr]","[Accounting Period].[Fisc Yr].&amp;[2020]","[Object].[Object Group]","[Object].[Object Group].&amp;[53]","[Object].[Obj Group Nm]","[Object].[Obj Group Nm].&amp;[TECHNOLOGY]"),0)</f>
        <v>125546.96</v>
      </c>
      <c r="R53" s="25">
        <f>IFERROR(GETPIVOTDATA("[Measures].[Jrnl Posting Am]",'Historical Summary Cube'!$AA$5,"[Accounting Period].[Fisc Yr]","[Accounting Period].[Fisc Yr].&amp;[2021]","[Object].[Object Group]","[Object].[Object Group].&amp;[53]","[Object].[Obj Group Nm]","[Object].[Obj Group Nm].&amp;[TECHNOLOGY]"),0)</f>
        <v>157272.18</v>
      </c>
      <c r="S53" s="25">
        <f>IFERROR(GETPIVOTDATA("[Measures].[Jrnl Posting Am]",'Historical Summary Cube'!$AA$5,"[Accounting Period].[Fisc Yr]","[Accounting Period].[Fisc Yr].&amp;[2022]","[Object].[Object Group]","[Object].[Object Group].&amp;[53]","[Object].[Obj Group Nm]","[Object].[Obj Group Nm].&amp;[TECHNOLOGY]"),0)</f>
        <v>129518.88</v>
      </c>
      <c r="T53" s="25">
        <f>IFERROR(GETPIVOTDATA("[Measures].[Jrnl Posting Am]",'Historical Summary Cube'!$AA$5,"[Accounting Period].[Fisc Yr]","[Accounting Period].[Fisc Yr].&amp;[2023]","[Object].[Object Group]","[Object].[Object Group].&amp;[53]","[Object].[Obj Group Nm]","[Object].[Obj Group Nm].&amp;[TECHNOLOGY]"),0)</f>
        <v>126144.92000000001</v>
      </c>
      <c r="U53" s="55"/>
      <c r="V53" s="55"/>
    </row>
    <row r="54" spans="1:22" s="19" customFormat="1" ht="15.5" x14ac:dyDescent="0.35">
      <c r="A54" s="27" t="s">
        <v>69</v>
      </c>
      <c r="B54" s="30" t="s">
        <v>94</v>
      </c>
      <c r="C54" s="49"/>
      <c r="D54" s="49"/>
      <c r="E54" s="25">
        <f>IFERROR(GETPIVOTDATA("[Measures].[Jrnl Posting Am]",'Historical Summary Cube'!$AA$5,"[Accounting Period].[Fisc Yr]","[Accounting Period].[Fisc Yr].&amp;[2008]","[Object].[Object Group]","[Object].[Object Group].&amp;[54]","[Object].[Obj Group Nm]","[Object].[Obj Group Nm].&amp;[CLOTHING]"),0)</f>
        <v>0</v>
      </c>
      <c r="F54" s="25">
        <f>IFERROR(GETPIVOTDATA("[Measures].[Jrnl Posting Am]",'Historical Summary Cube'!$AA$5,"[Accounting Period].[Fisc Yr]","[Accounting Period].[Fisc Yr].&amp;[2009]","[Object].[Object Group]","[Object].[Object Group].&amp;[54]","[Object].[Obj Group Nm]","[Object].[Obj Group Nm].&amp;[CLOTHING]"),0)</f>
        <v>0</v>
      </c>
      <c r="G54" s="25">
        <f>IFERROR(GETPIVOTDATA("[Measures].[Jrnl Posting Am]",'Historical Summary Cube'!$AA$5,"[Accounting Period].[Fisc Yr]","[Accounting Period].[Fisc Yr].&amp;[2010]","[Object].[Object Group]","[Object].[Object Group].&amp;[54]","[Object].[Obj Group Nm]","[Object].[Obj Group Nm].&amp;[CLOTHING]"),0)</f>
        <v>0</v>
      </c>
      <c r="H54" s="25">
        <f>IFERROR(GETPIVOTDATA("[Measures].[Jrnl Posting Am]",'Historical Summary Cube'!$AA$5,"[Accounting Period].[Fisc Yr]","[Accounting Period].[Fisc Yr].&amp;[2011]","[Object].[Object Group]","[Object].[Object Group].&amp;[54]","[Object].[Obj Group Nm]","[Object].[Obj Group Nm].&amp;[CLOTHING]"),0)</f>
        <v>0</v>
      </c>
      <c r="I54" s="25">
        <f>IFERROR(GETPIVOTDATA("[Measures].[Jrnl Posting Am]",'Historical Summary Cube'!$AA$5,"[Accounting Period].[Fisc Yr]","[Accounting Period].[Fisc Yr].&amp;[2012]","[Object].[Object Group]","[Object].[Object Group].&amp;[54]","[Object].[Obj Group Nm]","[Object].[Obj Group Nm].&amp;[CLOTHING]"),0)</f>
        <v>0</v>
      </c>
      <c r="J54" s="25">
        <f>IFERROR(GETPIVOTDATA("[Measures].[Jrnl Posting Am]",'Historical Summary Cube'!$AA$5,"[Accounting Period].[Fisc Yr]","[Accounting Period].[Fisc Yr].&amp;[2013]","[Object].[Object Group]","[Object].[Object Group].&amp;[54]","[Object].[Obj Group Nm]","[Object].[Obj Group Nm].&amp;[CLOTHING]"),0)</f>
        <v>0</v>
      </c>
      <c r="K54" s="25">
        <f>IFERROR(GETPIVOTDATA("[Measures].[Jrnl Posting Am]",'Historical Summary Cube'!$AA$5,"[Accounting Period].[Fisc Yr]","[Accounting Period].[Fisc Yr].&amp;[2014]","[Object].[Object Group]","[Object].[Object Group].&amp;[54]","[Object].[Obj Group Nm]","[Object].[Obj Group Nm].&amp;[CLOTHING]"),0)</f>
        <v>0</v>
      </c>
      <c r="L54" s="25">
        <f>IFERROR(GETPIVOTDATA("[Measures].[Jrnl Posting Am]",'Historical Summary Cube'!$AA$5,"[Accounting Period].[Fisc Yr]","[Accounting Period].[Fisc Yr].&amp;[2015]","[Object].[Object Group]","[Object].[Object Group].&amp;[54]","[Object].[Obj Group Nm]","[Object].[Obj Group Nm].&amp;[CLOTHING]"),0)</f>
        <v>0</v>
      </c>
      <c r="M54" s="25">
        <f>IFERROR(GETPIVOTDATA("[Measures].[Jrnl Posting Am]",'Historical Summary Cube'!$AA$5,"[Accounting Period].[Fisc Yr]","[Accounting Period].[Fisc Yr].&amp;[2016]","[Object].[Object Group]","[Object].[Object Group].&amp;[54]","[Object].[Obj Group Nm]","[Object].[Obj Group Nm].&amp;[CLOTHING]"),0)</f>
        <v>0</v>
      </c>
      <c r="N54" s="25">
        <f>IFERROR(GETPIVOTDATA("[Measures].[Jrnl Posting Am]",'Historical Summary Cube'!$AA$5,"[Accounting Period].[Fisc Yr]","[Accounting Period].[Fisc Yr].&amp;[2017]","[Object].[Object Group]","[Object].[Object Group].&amp;[54]","[Object].[Obj Group Nm]","[Object].[Obj Group Nm].&amp;[CLOTHING]"),0)</f>
        <v>0</v>
      </c>
      <c r="O54" s="25">
        <f>IFERROR(GETPIVOTDATA("[Measures].[Jrnl Posting Am]",'Historical Summary Cube'!$AA$5,"[Accounting Period].[Fisc Yr]","[Accounting Period].[Fisc Yr].&amp;[2018]","[Object].[Object Group]","[Object].[Object Group].&amp;[54]","[Object].[Obj Group Nm]","[Object].[Obj Group Nm].&amp;[CLOTHING]"),0)</f>
        <v>219.7</v>
      </c>
      <c r="P54" s="25">
        <f>IFERROR(GETPIVOTDATA("[Measures].[Jrnl Posting Am]",'Historical Summary Cube'!$AA$5,"[Accounting Period].[Fisc Yr]","[Accounting Period].[Fisc Yr].&amp;[2019]","[Object].[Object Group]","[Object].[Object Group].&amp;[54]","[Object].[Obj Group Nm]","[Object].[Obj Group Nm].&amp;[CLOTHING]"),0)</f>
        <v>280.54000000000002</v>
      </c>
      <c r="Q54" s="25">
        <f>IFERROR(GETPIVOTDATA("[Measures].[Jrnl Posting Am]",'Historical Summary Cube'!$AA$5,"[Accounting Period].[Fisc Yr]","[Accounting Period].[Fisc Yr].&amp;[2020]","[Object].[Object Group]","[Object].[Object Group].&amp;[54]","[Object].[Obj Group Nm]","[Object].[Obj Group Nm].&amp;[CLOTHING]"),0)</f>
        <v>736.8</v>
      </c>
      <c r="R54" s="25">
        <f>IFERROR(GETPIVOTDATA("[Measures].[Jrnl Posting Am]",'Historical Summary Cube'!$AA$5,"[Accounting Period].[Fisc Yr]","[Accounting Period].[Fisc Yr].&amp;[2021]","[Object].[Object Group]","[Object].[Object Group].&amp;[54]","[Object].[Obj Group Nm]","[Object].[Obj Group Nm].&amp;[CLOTHING]"),0)</f>
        <v>0</v>
      </c>
      <c r="S54" s="25">
        <f>IFERROR(GETPIVOTDATA("[Measures].[Jrnl Posting Am]",'Historical Summary Cube'!$AA$5,"[Accounting Period].[Fisc Yr]","[Accounting Period].[Fisc Yr].&amp;[2022]","[Object].[Object Group]","[Object].[Object Group].&amp;[54]","[Object].[Obj Group Nm]","[Object].[Obj Group Nm].&amp;[CLOTHING]"),0)</f>
        <v>321.89999999999998</v>
      </c>
      <c r="T54" s="25">
        <f>IFERROR(GETPIVOTDATA("[Measures].[Jrnl Posting Am]",'Historical Summary Cube'!$AA$5,"[Accounting Period].[Fisc Yr]","[Accounting Period].[Fisc Yr].&amp;[2023]","[Object].[Object Group]","[Object].[Object Group].&amp;[54]","[Object].[Obj Group Nm]","[Object].[Obj Group Nm].&amp;[CLOTHING]"),0)</f>
        <v>0</v>
      </c>
      <c r="U54" s="55"/>
      <c r="V54" s="55"/>
    </row>
    <row r="55" spans="1:22" s="19" customFormat="1" ht="15.5" x14ac:dyDescent="0.35">
      <c r="A55" s="27" t="s">
        <v>70</v>
      </c>
      <c r="B55" s="30" t="s">
        <v>142</v>
      </c>
      <c r="C55" s="49"/>
      <c r="D55" s="49"/>
      <c r="E55" s="25">
        <f>IFERROR(GETPIVOTDATA("[Measures].[Jrnl Posting Am]",'Historical Summary Cube'!$AA$5,"[Accounting Period].[Fisc Yr]","[Accounting Period].[Fisc Yr].&amp;[2008]","[Object].[Object Group]","[Object].[Object Group].&amp;[55]","[Object].[Obj Group Nm]","[Object].[Obj Group Nm].&amp;[EQUIPMENT AND TECHNOLOGY]"),0)</f>
        <v>0</v>
      </c>
      <c r="F55" s="25">
        <f>IFERROR(GETPIVOTDATA("[Measures].[Jrnl Posting Am]",'Historical Summary Cube'!$AA$5,"[Accounting Period].[Fisc Yr]","[Accounting Period].[Fisc Yr].&amp;[2009]","[Object].[Object Group]","[Object].[Object Group].&amp;[55]","[Object].[Obj Group Nm]","[Object].[Obj Group Nm].&amp;[EQUIPMENT AND TECHNOLOGY]"),0)</f>
        <v>449.49</v>
      </c>
      <c r="G55" s="25">
        <f>IFERROR(GETPIVOTDATA("[Measures].[Jrnl Posting Am]",'Historical Summary Cube'!$AA$5,"[Accounting Period].[Fisc Yr]","[Accounting Period].[Fisc Yr].&amp;[2010]","[Object].[Object Group]","[Object].[Object Group].&amp;[55]","[Object].[Obj Group Nm]","[Object].[Obj Group Nm].&amp;[EQUIPMENT AND TECHNOLOGY]"),0)</f>
        <v>0</v>
      </c>
      <c r="H55" s="25">
        <f>IFERROR(GETPIVOTDATA("[Measures].[Jrnl Posting Am]",'Historical Summary Cube'!$AA$5,"[Accounting Period].[Fisc Yr]","[Accounting Period].[Fisc Yr].&amp;[2011]","[Object].[Object Group]","[Object].[Object Group].&amp;[55]","[Object].[Obj Group Nm]","[Object].[Obj Group Nm].&amp;[EQUIPMENT AND TECHNOLOGY]"),0)</f>
        <v>0</v>
      </c>
      <c r="I55" s="25">
        <f>IFERROR(GETPIVOTDATA("[Measures].[Jrnl Posting Am]",'Historical Summary Cube'!$AA$5,"[Accounting Period].[Fisc Yr]","[Accounting Period].[Fisc Yr].&amp;[2012]","[Object].[Object Group]","[Object].[Object Group].&amp;[55]","[Object].[Obj Group Nm]","[Object].[Obj Group Nm].&amp;[EQUIPMENT AND TECHNOLOGY]"),0)</f>
        <v>115.98</v>
      </c>
      <c r="J55" s="25">
        <f>IFERROR(GETPIVOTDATA("[Measures].[Jrnl Posting Am]",'Historical Summary Cube'!$AA$5,"[Accounting Period].[Fisc Yr]","[Accounting Period].[Fisc Yr].&amp;[2013]","[Object].[Object Group]","[Object].[Object Group].&amp;[55]","[Object].[Obj Group Nm]","[Object].[Obj Group Nm].&amp;[EQUIPMENT AND TECHNOLOGY]"),0)</f>
        <v>0</v>
      </c>
      <c r="K55" s="25">
        <f>IFERROR(GETPIVOTDATA("[Measures].[Jrnl Posting Am]",'Historical Summary Cube'!$AA$5,"[Accounting Period].[Fisc Yr]","[Accounting Period].[Fisc Yr].&amp;[2014]","[Object].[Object Group]","[Object].[Object Group].&amp;[55]","[Object].[Obj Group Nm]","[Object].[Obj Group Nm].&amp;[EQUIPMENT AND TECHNOLOGY]"),0)</f>
        <v>0</v>
      </c>
      <c r="L55" s="25">
        <f>IFERROR(GETPIVOTDATA("[Measures].[Jrnl Posting Am]",'Historical Summary Cube'!$AA$5,"[Accounting Period].[Fisc Yr]","[Accounting Period].[Fisc Yr].&amp;[2015]","[Object].[Object Group]","[Object].[Object Group].&amp;[55]","[Object].[Obj Group Nm]","[Object].[Obj Group Nm].&amp;[EQUIPMENT AND TECHNOLOGY]"),0)</f>
        <v>0</v>
      </c>
      <c r="M55" s="25">
        <f>IFERROR(GETPIVOTDATA("[Measures].[Jrnl Posting Am]",'Historical Summary Cube'!$AA$5,"[Accounting Period].[Fisc Yr]","[Accounting Period].[Fisc Yr].&amp;[2016]","[Object].[Object Group]","[Object].[Object Group].&amp;[55]","[Object].[Obj Group Nm]","[Object].[Obj Group Nm].&amp;[EQUIPMENT AND TECHNOLOGY]"),0)</f>
        <v>351.36</v>
      </c>
      <c r="N55" s="25">
        <f>IFERROR(GETPIVOTDATA("[Measures].[Jrnl Posting Am]",'Historical Summary Cube'!$AA$5,"[Accounting Period].[Fisc Yr]","[Accounting Period].[Fisc Yr].&amp;[2017]","[Object].[Object Group]","[Object].[Object Group].&amp;[55]","[Object].[Obj Group Nm]","[Object].[Obj Group Nm].&amp;[EQUIPMENT AND TECHNOLOGY]"),0)</f>
        <v>378.63</v>
      </c>
      <c r="O55" s="25">
        <f>IFERROR(GETPIVOTDATA("[Measures].[Jrnl Posting Am]",'Historical Summary Cube'!$AA$5,"[Accounting Period].[Fisc Yr]","[Accounting Period].[Fisc Yr].&amp;[2018]","[Object].[Object Group]","[Object].[Object Group].&amp;[55]","[Object].[Obj Group Nm]","[Object].[Obj Group Nm].&amp;[EQUIPMENT AND TECHNOLOGY]"),0)</f>
        <v>0</v>
      </c>
      <c r="P55" s="25">
        <f>IFERROR(GETPIVOTDATA("[Measures].[Jrnl Posting Am]",'Historical Summary Cube'!$AA$5,"[Accounting Period].[Fisc Yr]","[Accounting Period].[Fisc Yr].&amp;[2019]","[Object].[Object Group]","[Object].[Object Group].&amp;[55]","[Object].[Obj Group Nm]","[Object].[Obj Group Nm].&amp;[EQUIPMENT AND TECHNOLOGY]"),0)</f>
        <v>1000.68</v>
      </c>
      <c r="Q55" s="25">
        <f>IFERROR(GETPIVOTDATA("[Measures].[Jrnl Posting Am]",'Historical Summary Cube'!$AA$5,"[Accounting Period].[Fisc Yr]","[Accounting Period].[Fisc Yr].&amp;[2020]","[Object].[Object Group]","[Object].[Object Group].&amp;[55]","[Object].[Obj Group Nm]","[Object].[Obj Group Nm].&amp;[EQUIPMENT AND TECHNOLOGY]"),0)</f>
        <v>1165.3700000000001</v>
      </c>
      <c r="R55" s="25">
        <f>IFERROR(GETPIVOTDATA("[Measures].[Jrnl Posting Am]",'Historical Summary Cube'!$AA$5,"[Accounting Period].[Fisc Yr]","[Accounting Period].[Fisc Yr].&amp;[2021]","[Object].[Object Group]","[Object].[Object Group].&amp;[55]","[Object].[Obj Group Nm]","[Object].[Obj Group Nm].&amp;[EQUIPMENT AND TECHNOLOGY]"),0)</f>
        <v>1547.8400000000001</v>
      </c>
      <c r="S55" s="25">
        <f>IFERROR(GETPIVOTDATA("[Measures].[Jrnl Posting Am]",'Historical Summary Cube'!$AA$5,"[Accounting Period].[Fisc Yr]","[Accounting Period].[Fisc Yr].&amp;[2022]","[Object].[Object Group]","[Object].[Object Group].&amp;[55]","[Object].[Obj Group Nm]","[Object].[Obj Group Nm].&amp;[EQUIPMENT AND TECHNOLOGY]"),0)</f>
        <v>3631.36</v>
      </c>
      <c r="T55" s="25">
        <f>IFERROR(GETPIVOTDATA("[Measures].[Jrnl Posting Am]",'Historical Summary Cube'!$AA$5,"[Accounting Period].[Fisc Yr]","[Accounting Period].[Fisc Yr].&amp;[2023]","[Object].[Object Group]","[Object].[Object Group].&amp;[55]","[Object].[Obj Group Nm]","[Object].[Obj Group Nm].&amp;[EQUIPMENT AND TECHNOLOGY]"),0)</f>
        <v>3518.4999999999995</v>
      </c>
      <c r="U55" s="55"/>
      <c r="V55" s="55"/>
    </row>
    <row r="56" spans="1:22" s="19" customFormat="1" ht="15.5" x14ac:dyDescent="0.35">
      <c r="A56" s="27" t="s">
        <v>71</v>
      </c>
      <c r="B56" s="30" t="s">
        <v>96</v>
      </c>
      <c r="C56" s="49"/>
      <c r="D56" s="49"/>
      <c r="E56" s="25">
        <f>IFERROR(GETPIVOTDATA("[Measures].[Jrnl Posting Am]",'Historical Summary Cube'!$AA$5,"[Accounting Period].[Fisc Yr]","[Accounting Period].[Fisc Yr].&amp;[2008]","[Object].[Object Group]","[Object].[Object Group].&amp;[56]","[Object].[Obj Group Nm]","[Object].[Obj Group Nm].&amp;[OFFICE &amp; OTHER SUPPLIES]"),0)</f>
        <v>2593.7599999999993</v>
      </c>
      <c r="F56" s="25">
        <f>IFERROR(GETPIVOTDATA("[Measures].[Jrnl Posting Am]",'Historical Summary Cube'!$AA$5,"[Accounting Period].[Fisc Yr]","[Accounting Period].[Fisc Yr].&amp;[2009]","[Object].[Object Group]","[Object].[Object Group].&amp;[56]","[Object].[Obj Group Nm]","[Object].[Obj Group Nm].&amp;[OFFICE &amp; OTHER SUPPLIES]"),0)</f>
        <v>5888.07</v>
      </c>
      <c r="G56" s="25">
        <f>IFERROR(GETPIVOTDATA("[Measures].[Jrnl Posting Am]",'Historical Summary Cube'!$AA$5,"[Accounting Period].[Fisc Yr]","[Accounting Period].[Fisc Yr].&amp;[2010]","[Object].[Object Group]","[Object].[Object Group].&amp;[56]","[Object].[Obj Group Nm]","[Object].[Obj Group Nm].&amp;[OFFICE &amp; OTHER SUPPLIES]"),0)</f>
        <v>4970.28</v>
      </c>
      <c r="H56" s="25">
        <f>IFERROR(GETPIVOTDATA("[Measures].[Jrnl Posting Am]",'Historical Summary Cube'!$AA$5,"[Accounting Period].[Fisc Yr]","[Accounting Period].[Fisc Yr].&amp;[2011]","[Object].[Object Group]","[Object].[Object Group].&amp;[56]","[Object].[Obj Group Nm]","[Object].[Obj Group Nm].&amp;[OFFICE &amp; OTHER SUPPLIES]"),0)</f>
        <v>5997.4699999999993</v>
      </c>
      <c r="I56" s="25">
        <f>IFERROR(GETPIVOTDATA("[Measures].[Jrnl Posting Am]",'Historical Summary Cube'!$AA$5,"[Accounting Period].[Fisc Yr]","[Accounting Period].[Fisc Yr].&amp;[2012]","[Object].[Object Group]","[Object].[Object Group].&amp;[56]","[Object].[Obj Group Nm]","[Object].[Obj Group Nm].&amp;[OFFICE &amp; OTHER SUPPLIES]"),0)</f>
        <v>4895.08</v>
      </c>
      <c r="J56" s="25">
        <f>IFERROR(GETPIVOTDATA("[Measures].[Jrnl Posting Am]",'Historical Summary Cube'!$AA$5,"[Accounting Period].[Fisc Yr]","[Accounting Period].[Fisc Yr].&amp;[2013]","[Object].[Object Group]","[Object].[Object Group].&amp;[56]","[Object].[Obj Group Nm]","[Object].[Obj Group Nm].&amp;[OFFICE &amp; OTHER SUPPLIES]"),0)</f>
        <v>4932.7300000000005</v>
      </c>
      <c r="K56" s="25">
        <f>IFERROR(GETPIVOTDATA("[Measures].[Jrnl Posting Am]",'Historical Summary Cube'!$AA$5,"[Accounting Period].[Fisc Yr]","[Accounting Period].[Fisc Yr].&amp;[2014]","[Object].[Object Group]","[Object].[Object Group].&amp;[56]","[Object].[Obj Group Nm]","[Object].[Obj Group Nm].&amp;[OFFICE &amp; OTHER SUPPLIES]"),0)</f>
        <v>4568.3499999999985</v>
      </c>
      <c r="L56" s="25">
        <f>IFERROR(GETPIVOTDATA("[Measures].[Jrnl Posting Am]",'Historical Summary Cube'!$AA$5,"[Accounting Period].[Fisc Yr]","[Accounting Period].[Fisc Yr].&amp;[2015]","[Object].[Object Group]","[Object].[Object Group].&amp;[56]","[Object].[Obj Group Nm]","[Object].[Obj Group Nm].&amp;[OFFICE &amp; OTHER SUPPLIES]"),0)</f>
        <v>4584.5300000000016</v>
      </c>
      <c r="M56" s="25">
        <f>IFERROR(GETPIVOTDATA("[Measures].[Jrnl Posting Am]",'Historical Summary Cube'!$AA$5,"[Accounting Period].[Fisc Yr]","[Accounting Period].[Fisc Yr].&amp;[2016]","[Object].[Object Group]","[Object].[Object Group].&amp;[56]","[Object].[Obj Group Nm]","[Object].[Obj Group Nm].&amp;[OFFICE &amp; OTHER SUPPLIES]"),0)</f>
        <v>4750.1000000000004</v>
      </c>
      <c r="N56" s="25">
        <f>IFERROR(GETPIVOTDATA("[Measures].[Jrnl Posting Am]",'Historical Summary Cube'!$AA$5,"[Accounting Period].[Fisc Yr]","[Accounting Period].[Fisc Yr].&amp;[2017]","[Object].[Object Group]","[Object].[Object Group].&amp;[56]","[Object].[Obj Group Nm]","[Object].[Obj Group Nm].&amp;[OFFICE &amp; OTHER SUPPLIES]"),0)</f>
        <v>6006.1299999999983</v>
      </c>
      <c r="O56" s="25">
        <f>IFERROR(GETPIVOTDATA("[Measures].[Jrnl Posting Am]",'Historical Summary Cube'!$AA$5,"[Accounting Period].[Fisc Yr]","[Accounting Period].[Fisc Yr].&amp;[2018]","[Object].[Object Group]","[Object].[Object Group].&amp;[56]","[Object].[Obj Group Nm]","[Object].[Obj Group Nm].&amp;[OFFICE &amp; OTHER SUPPLIES]"),0)</f>
        <v>7411.5199999999995</v>
      </c>
      <c r="P56" s="25">
        <f>IFERROR(GETPIVOTDATA("[Measures].[Jrnl Posting Am]",'Historical Summary Cube'!$AA$5,"[Accounting Period].[Fisc Yr]","[Accounting Period].[Fisc Yr].&amp;[2019]","[Object].[Object Group]","[Object].[Object Group].&amp;[56]","[Object].[Obj Group Nm]","[Object].[Obj Group Nm].&amp;[OFFICE &amp; OTHER SUPPLIES]"),0)</f>
        <v>2117.27</v>
      </c>
      <c r="Q56" s="25">
        <f>IFERROR(GETPIVOTDATA("[Measures].[Jrnl Posting Am]",'Historical Summary Cube'!$AA$5,"[Accounting Period].[Fisc Yr]","[Accounting Period].[Fisc Yr].&amp;[2020]","[Object].[Object Group]","[Object].[Object Group].&amp;[56]","[Object].[Obj Group Nm]","[Object].[Obj Group Nm].&amp;[OFFICE &amp; OTHER SUPPLIES]"),0)</f>
        <v>10440.919999999996</v>
      </c>
      <c r="R56" s="25">
        <f>IFERROR(GETPIVOTDATA("[Measures].[Jrnl Posting Am]",'Historical Summary Cube'!$AA$5,"[Accounting Period].[Fisc Yr]","[Accounting Period].[Fisc Yr].&amp;[2021]","[Object].[Object Group]","[Object].[Object Group].&amp;[56]","[Object].[Obj Group Nm]","[Object].[Obj Group Nm].&amp;[OFFICE &amp; OTHER SUPPLIES]"),0)</f>
        <v>3313.79</v>
      </c>
      <c r="S56" s="25">
        <f>IFERROR(GETPIVOTDATA("[Measures].[Jrnl Posting Am]",'Historical Summary Cube'!$AA$5,"[Accounting Period].[Fisc Yr]","[Accounting Period].[Fisc Yr].&amp;[2022]","[Object].[Object Group]","[Object].[Object Group].&amp;[56]","[Object].[Obj Group Nm]","[Object].[Obj Group Nm].&amp;[OFFICE &amp; OTHER SUPPLIES]"),0)</f>
        <v>3150.59</v>
      </c>
      <c r="T56" s="25">
        <f>IFERROR(GETPIVOTDATA("[Measures].[Jrnl Posting Am]",'Historical Summary Cube'!$AA$5,"[Accounting Period].[Fisc Yr]","[Accounting Period].[Fisc Yr].&amp;[2023]","[Object].[Object Group]","[Object].[Object Group].&amp;[56]","[Object].[Obj Group Nm]","[Object].[Obj Group Nm].&amp;[OFFICE &amp; OTHER SUPPLIES]"),0)</f>
        <v>3539.6899999999996</v>
      </c>
      <c r="U56" s="55"/>
      <c r="V56" s="55"/>
    </row>
    <row r="57" spans="1:22" s="19" customFormat="1" ht="15.5" x14ac:dyDescent="0.35">
      <c r="A57" s="27" t="s">
        <v>72</v>
      </c>
      <c r="B57" s="30" t="s">
        <v>97</v>
      </c>
      <c r="C57" s="49"/>
      <c r="D57" s="49"/>
      <c r="E57" s="25">
        <f>IFERROR(GETPIVOTDATA("[Measures].[Jrnl Posting Am]",'Historical Summary Cube'!$AA$5,"[Accounting Period].[Fisc Yr]","[Accounting Period].[Fisc Yr].&amp;[2008]","[Object].[Object Group]","[Object].[Object Group].&amp;[58]","[Object].[Obj Group Nm]","[Object].[Obj Group Nm].&amp;[HIGHWAY MATERIALS]"),0)</f>
        <v>0</v>
      </c>
      <c r="F57" s="25">
        <f>IFERROR(GETPIVOTDATA("[Measures].[Jrnl Posting Am]",'Historical Summary Cube'!$AA$5,"[Accounting Period].[Fisc Yr]","[Accounting Period].[Fisc Yr].&amp;[2009]","[Object].[Object Group]","[Object].[Object Group].&amp;[58]","[Object].[Obj Group Nm]","[Object].[Obj Group Nm].&amp;[HIGHWAY MATERIALS]"),0)</f>
        <v>0</v>
      </c>
      <c r="G57" s="25">
        <f>IFERROR(GETPIVOTDATA("[Measures].[Jrnl Posting Am]",'Historical Summary Cube'!$AA$5,"[Accounting Period].[Fisc Yr]","[Accounting Period].[Fisc Yr].&amp;[2010]","[Object].[Object Group]","[Object].[Object Group].&amp;[58]","[Object].[Obj Group Nm]","[Object].[Obj Group Nm].&amp;[HIGHWAY MATERIALS]"),0)</f>
        <v>0</v>
      </c>
      <c r="H57" s="25">
        <f>IFERROR(GETPIVOTDATA("[Measures].[Jrnl Posting Am]",'Historical Summary Cube'!$AA$5,"[Accounting Period].[Fisc Yr]","[Accounting Period].[Fisc Yr].&amp;[2011]","[Object].[Object Group]","[Object].[Object Group].&amp;[58]","[Object].[Obj Group Nm]","[Object].[Obj Group Nm].&amp;[HIGHWAY MATERIALS]"),0)</f>
        <v>0</v>
      </c>
      <c r="I57" s="25">
        <f>IFERROR(GETPIVOTDATA("[Measures].[Jrnl Posting Am]",'Historical Summary Cube'!$AA$5,"[Accounting Period].[Fisc Yr]","[Accounting Period].[Fisc Yr].&amp;[2012]","[Object].[Object Group]","[Object].[Object Group].&amp;[58]","[Object].[Obj Group Nm]","[Object].[Obj Group Nm].&amp;[HIGHWAY MATERIALS]"),0)</f>
        <v>0</v>
      </c>
      <c r="J57" s="25">
        <f>IFERROR(GETPIVOTDATA("[Measures].[Jrnl Posting Am]",'Historical Summary Cube'!$AA$5,"[Accounting Period].[Fisc Yr]","[Accounting Period].[Fisc Yr].&amp;[2013]","[Object].[Object Group]","[Object].[Object Group].&amp;[58]","[Object].[Obj Group Nm]","[Object].[Obj Group Nm].&amp;[HIGHWAY MATERIALS]"),0)</f>
        <v>0</v>
      </c>
      <c r="K57" s="25">
        <f>IFERROR(GETPIVOTDATA("[Measures].[Jrnl Posting Am]",'Historical Summary Cube'!$AA$5,"[Accounting Period].[Fisc Yr]","[Accounting Period].[Fisc Yr].&amp;[2014]","[Object].[Object Group]","[Object].[Object Group].&amp;[58]","[Object].[Obj Group Nm]","[Object].[Obj Group Nm].&amp;[HIGHWAY MATERIALS]"),0)</f>
        <v>0</v>
      </c>
      <c r="L57" s="25">
        <f>IFERROR(GETPIVOTDATA("[Measures].[Jrnl Posting Am]",'Historical Summary Cube'!$AA$5,"[Accounting Period].[Fisc Yr]","[Accounting Period].[Fisc Yr].&amp;[2015]","[Object].[Object Group]","[Object].[Object Group].&amp;[58]","[Object].[Obj Group Nm]","[Object].[Obj Group Nm].&amp;[HIGHWAY MATERIALS]"),0)</f>
        <v>0</v>
      </c>
      <c r="M57" s="25">
        <f>IFERROR(GETPIVOTDATA("[Measures].[Jrnl Posting Am]",'Historical Summary Cube'!$AA$5,"[Accounting Period].[Fisc Yr]","[Accounting Period].[Fisc Yr].&amp;[2016]","[Object].[Object Group]","[Object].[Object Group].&amp;[58]","[Object].[Obj Group Nm]","[Object].[Obj Group Nm].&amp;[HIGHWAY MATERIALS]"),0)</f>
        <v>0</v>
      </c>
      <c r="N57" s="25">
        <f>IFERROR(GETPIVOTDATA("[Measures].[Jrnl Posting Am]",'Historical Summary Cube'!$AA$5,"[Accounting Period].[Fisc Yr]","[Accounting Period].[Fisc Yr].&amp;[2017]","[Object].[Object Group]","[Object].[Object Group].&amp;[58]","[Object].[Obj Group Nm]","[Object].[Obj Group Nm].&amp;[HIGHWAY MATERIALS]"),0)</f>
        <v>0</v>
      </c>
      <c r="O57" s="25">
        <f>IFERROR(GETPIVOTDATA("[Measures].[Jrnl Posting Am]",'Historical Summary Cube'!$AA$5,"[Accounting Period].[Fisc Yr]","[Accounting Period].[Fisc Yr].&amp;[2018]","[Object].[Object Group]","[Object].[Object Group].&amp;[58]","[Object].[Obj Group Nm]","[Object].[Obj Group Nm].&amp;[HIGHWAY MATERIALS]"),0)</f>
        <v>0</v>
      </c>
      <c r="P57" s="25">
        <f>IFERROR(GETPIVOTDATA("[Measures].[Jrnl Posting Am]",'Historical Summary Cube'!$AA$5,"[Accounting Period].[Fisc Yr]","[Accounting Period].[Fisc Yr].&amp;[2019]","[Object].[Object Group]","[Object].[Object Group].&amp;[58]","[Object].[Obj Group Nm]","[Object].[Obj Group Nm].&amp;[HIGHWAY MATERIALS]"),0)</f>
        <v>0</v>
      </c>
      <c r="Q57" s="25">
        <f>IFERROR(GETPIVOTDATA("[Measures].[Jrnl Posting Am]",'Historical Summary Cube'!$AA$5,"[Accounting Period].[Fisc Yr]","[Accounting Period].[Fisc Yr].&amp;[2020]","[Object].[Object Group]","[Object].[Object Group].&amp;[58]","[Object].[Obj Group Nm]","[Object].[Obj Group Nm].&amp;[HIGHWAY MATERIALS]"),0)</f>
        <v>0</v>
      </c>
      <c r="R57" s="25">
        <f>IFERROR(GETPIVOTDATA("[Measures].[Jrnl Posting Am]",'Historical Summary Cube'!$AA$5,"[Accounting Period].[Fisc Yr]","[Accounting Period].[Fisc Yr].&amp;[2021]","[Object].[Object Group]","[Object].[Object Group].&amp;[58]","[Object].[Obj Group Nm]","[Object].[Obj Group Nm].&amp;[HIGHWAY MATERIALS]"),0)</f>
        <v>0</v>
      </c>
      <c r="S57" s="25">
        <f>IFERROR(GETPIVOTDATA("[Measures].[Jrnl Posting Am]",'Historical Summary Cube'!$AA$5,"[Accounting Period].[Fisc Yr]","[Accounting Period].[Fisc Yr].&amp;[2022]","[Object].[Object Group]","[Object].[Object Group].&amp;[58]","[Object].[Obj Group Nm]","[Object].[Obj Group Nm].&amp;[HIGHWAY MATERIALS]"),0)</f>
        <v>0</v>
      </c>
      <c r="T57" s="25">
        <f>IFERROR(GETPIVOTDATA("[Measures].[Jrnl Posting Am]",'Historical Summary Cube'!$AA$5,"[Accounting Period].[Fisc Yr]","[Accounting Period].[Fisc Yr].&amp;[2023]","[Object].[Object Group]","[Object].[Object Group].&amp;[58]","[Object].[Obj Group Nm]","[Object].[Obj Group Nm].&amp;[HIGHWAY MATERIALS]"),0)</f>
        <v>0</v>
      </c>
      <c r="U57" s="55"/>
      <c r="V57" s="55"/>
    </row>
    <row r="58" spans="1:22" s="19" customFormat="1" ht="15.5" x14ac:dyDescent="0.35">
      <c r="A58" s="27">
        <v>63</v>
      </c>
      <c r="B58" s="30" t="s">
        <v>128</v>
      </c>
      <c r="C58" s="49"/>
      <c r="D58" s="49"/>
      <c r="E58" s="25">
        <f>IFERROR(GETPIVOTDATA("[Measures].[Jrnl Posting Am]",'Historical Summary Cube'!$AA$5,"[Accounting Period].[Fisc Yr]","[Accounting Period].[Fisc Yr].&amp;[2008]","[Object].[Object Group]","[Object].[Object Group].&amp;[63]","[Object].[Obj Group Nm]","[Object].[Obj Group Nm].&amp;[GRANTS TO CITIES AND TOWNS]"),0)</f>
        <v>0</v>
      </c>
      <c r="F58" s="25">
        <f>IFERROR(GETPIVOTDATA("[Measures].[Jrnl Posting Am]",'Historical Summary Cube'!$AA$5,"[Accounting Period].[Fisc Yr]","[Accounting Period].[Fisc Yr].&amp;[2009]","[Object].[Object Group]","[Object].[Object Group].&amp;[63]","[Object].[Obj Group Nm]","[Object].[Obj Group Nm].&amp;[GRANTS TO CITIES AND TOWNS]"),0)</f>
        <v>0</v>
      </c>
      <c r="G58" s="25">
        <f>IFERROR(GETPIVOTDATA("[Measures].[Jrnl Posting Am]",'Historical Summary Cube'!$AA$5,"[Accounting Period].[Fisc Yr]","[Accounting Period].[Fisc Yr].&amp;[2010]","[Object].[Object Group]","[Object].[Object Group].&amp;[63]","[Object].[Obj Group Nm]","[Object].[Obj Group Nm].&amp;[GRANTS TO CITIES AND TOWNS]"),0)</f>
        <v>0</v>
      </c>
      <c r="H58" s="25">
        <f>IFERROR(GETPIVOTDATA("[Measures].[Jrnl Posting Am]",'Historical Summary Cube'!$AA$5,"[Accounting Period].[Fisc Yr]","[Accounting Period].[Fisc Yr].&amp;[2011]","[Object].[Object Group]","[Object].[Object Group].&amp;[63]","[Object].[Obj Group Nm]","[Object].[Obj Group Nm].&amp;[GRANTS TO CITIES AND TOWNS]"),0)</f>
        <v>0</v>
      </c>
      <c r="I58" s="25">
        <f>IFERROR(GETPIVOTDATA("[Measures].[Jrnl Posting Am]",'Historical Summary Cube'!$AA$5,"[Accounting Period].[Fisc Yr]","[Accounting Period].[Fisc Yr].&amp;[2012]","[Object].[Object Group]","[Object].[Object Group].&amp;[63]","[Object].[Obj Group Nm]","[Object].[Obj Group Nm].&amp;[GRANTS TO CITIES AND TOWNS]"),0)</f>
        <v>0</v>
      </c>
      <c r="J58" s="25">
        <f>IFERROR(GETPIVOTDATA("[Measures].[Jrnl Posting Am]",'Historical Summary Cube'!$AA$5,"[Accounting Period].[Fisc Yr]","[Accounting Period].[Fisc Yr].&amp;[2013]","[Object].[Object Group]","[Object].[Object Group].&amp;[63]","[Object].[Obj Group Nm]","[Object].[Obj Group Nm].&amp;[GRANTS TO CITIES AND TOWNS]"),0)</f>
        <v>0</v>
      </c>
      <c r="K58" s="25">
        <f>IFERROR(GETPIVOTDATA("[Measures].[Jrnl Posting Am]",'Historical Summary Cube'!$AA$5,"[Accounting Period].[Fisc Yr]","[Accounting Period].[Fisc Yr].&amp;[2014]","[Object].[Object Group]","[Object].[Object Group].&amp;[63]","[Object].[Obj Group Nm]","[Object].[Obj Group Nm].&amp;[GRANTS TO CITIES AND TOWNS]"),0)</f>
        <v>50000</v>
      </c>
      <c r="L58" s="25">
        <f>IFERROR(GETPIVOTDATA("[Measures].[Jrnl Posting Am]",'Historical Summary Cube'!$AA$5,"[Accounting Period].[Fisc Yr]","[Accounting Period].[Fisc Yr].&amp;[2015]","[Object].[Object Group]","[Object].[Object Group].&amp;[63]","[Object].[Obj Group Nm]","[Object].[Obj Group Nm].&amp;[GRANTS TO CITIES AND TOWNS]"),0)</f>
        <v>30000</v>
      </c>
      <c r="M58" s="25">
        <f>IFERROR(GETPIVOTDATA("[Measures].[Jrnl Posting Am]",'Historical Summary Cube'!$AA$5,"[Accounting Period].[Fisc Yr]","[Accounting Period].[Fisc Yr].&amp;[2016]","[Object].[Object Group]","[Object].[Object Group].&amp;[63]","[Object].[Obj Group Nm]","[Object].[Obj Group Nm].&amp;[GRANTS TO CITIES AND TOWNS]"),0)</f>
        <v>50000</v>
      </c>
      <c r="N58" s="25">
        <f>IFERROR(GETPIVOTDATA("[Measures].[Jrnl Posting Am]",'Historical Summary Cube'!$AA$5,"[Accounting Period].[Fisc Yr]","[Accounting Period].[Fisc Yr].&amp;[2017]","[Object].[Object Group]","[Object].[Object Group].&amp;[63]","[Object].[Obj Group Nm]","[Object].[Obj Group Nm].&amp;[GRANTS TO CITIES AND TOWNS]"),0)</f>
        <v>0</v>
      </c>
      <c r="O58" s="25">
        <f>IFERROR(GETPIVOTDATA("[Measures].[Jrnl Posting Am]",'Historical Summary Cube'!$AA$5,"[Accounting Period].[Fisc Yr]","[Accounting Period].[Fisc Yr].&amp;[2018]","[Object].[Object Group]","[Object].[Object Group].&amp;[63]","[Object].[Obj Group Nm]","[Object].[Obj Group Nm].&amp;[GRANTS TO CITIES AND TOWNS]"),0)</f>
        <v>0</v>
      </c>
      <c r="P58" s="25">
        <f>IFERROR(GETPIVOTDATA("[Measures].[Jrnl Posting Am]",'Historical Summary Cube'!$AA$5,"[Accounting Period].[Fisc Yr]","[Accounting Period].[Fisc Yr].&amp;[2019]","[Object].[Object Group]","[Object].[Object Group].&amp;[63]","[Object].[Obj Group Nm]","[Object].[Obj Group Nm].&amp;[GRANTS TO CITIES AND TOWNS]"),0)</f>
        <v>25000</v>
      </c>
      <c r="Q58" s="25">
        <f>IFERROR(GETPIVOTDATA("[Measures].[Jrnl Posting Am]",'Historical Summary Cube'!$AA$5,"[Accounting Period].[Fisc Yr]","[Accounting Period].[Fisc Yr].&amp;[2020]","[Object].[Object Group]","[Object].[Object Group].&amp;[63]","[Object].[Obj Group Nm]","[Object].[Obj Group Nm].&amp;[GRANTS TO CITIES AND TOWNS]"),0)</f>
        <v>0</v>
      </c>
      <c r="R58" s="25">
        <f>IFERROR(GETPIVOTDATA("[Measures].[Jrnl Posting Am]",'Historical Summary Cube'!$AA$5,"[Accounting Period].[Fisc Yr]","[Accounting Period].[Fisc Yr].&amp;[2021]","[Object].[Object Group]","[Object].[Object Group].&amp;[63]","[Object].[Obj Group Nm]","[Object].[Obj Group Nm].&amp;[GRANTS TO CITIES AND TOWNS]"),0)</f>
        <v>0</v>
      </c>
      <c r="S58" s="25">
        <f>IFERROR(GETPIVOTDATA("[Measures].[Jrnl Posting Am]",'Historical Summary Cube'!$AA$5,"[Accounting Period].[Fisc Yr]","[Accounting Period].[Fisc Yr].&amp;[2022]","[Object].[Object Group]","[Object].[Object Group].&amp;[63]","[Object].[Obj Group Nm]","[Object].[Obj Group Nm].&amp;[GRANTS TO CITIES AND TOWNS]"),0)</f>
        <v>0</v>
      </c>
      <c r="T58" s="25">
        <f>IFERROR(GETPIVOTDATA("[Measures].[Jrnl Posting Am]",'Historical Summary Cube'!$AA$5,"[Accounting Period].[Fisc Yr]","[Accounting Period].[Fisc Yr].&amp;[2023]","[Object].[Object Group]","[Object].[Object Group].&amp;[63]","[Object].[Obj Group Nm]","[Object].[Obj Group Nm].&amp;[GRANTS TO CITIES AND TOWNS]"),0)</f>
        <v>0</v>
      </c>
      <c r="U58" s="55"/>
      <c r="V58" s="55"/>
    </row>
    <row r="59" spans="1:22" s="19" customFormat="1" ht="15.5" x14ac:dyDescent="0.35">
      <c r="A59" s="27" t="s">
        <v>73</v>
      </c>
      <c r="B59" s="30" t="s">
        <v>98</v>
      </c>
      <c r="C59" s="49"/>
      <c r="D59" s="49"/>
      <c r="E59" s="25">
        <f>IFERROR(GETPIVOTDATA("[Measures].[Jrnl Posting Am]",'Historical Summary Cube'!$AA$5,"[Accounting Period].[Fisc Yr]","[Accounting Period].[Fisc Yr].&amp;[2008]","[Object].[Object Group]","[Object].[Object Group].&amp;[64]","[Object].[Obj Group Nm]","[Object].[Obj Group Nm].&amp;[GRANTS TO PUB AND PRIV ORGNS]"),0)</f>
        <v>73500</v>
      </c>
      <c r="F59" s="25">
        <f>IFERROR(GETPIVOTDATA("[Measures].[Jrnl Posting Am]",'Historical Summary Cube'!$AA$5,"[Accounting Period].[Fisc Yr]","[Accounting Period].[Fisc Yr].&amp;[2009]","[Object].[Object Group]","[Object].[Object Group].&amp;[64]","[Object].[Obj Group Nm]","[Object].[Obj Group Nm].&amp;[GRANTS TO PUB AND PRIV ORGNS]"),0)</f>
        <v>38500</v>
      </c>
      <c r="G59" s="25">
        <f>IFERROR(GETPIVOTDATA("[Measures].[Jrnl Posting Am]",'Historical Summary Cube'!$AA$5,"[Accounting Period].[Fisc Yr]","[Accounting Period].[Fisc Yr].&amp;[2010]","[Object].[Object Group]","[Object].[Object Group].&amp;[64]","[Object].[Obj Group Nm]","[Object].[Obj Group Nm].&amp;[GRANTS TO PUB AND PRIV ORGNS]"),0)</f>
        <v>53538</v>
      </c>
      <c r="H59" s="25">
        <f>IFERROR(GETPIVOTDATA("[Measures].[Jrnl Posting Am]",'Historical Summary Cube'!$AA$5,"[Accounting Period].[Fisc Yr]","[Accounting Period].[Fisc Yr].&amp;[2011]","[Object].[Object Group]","[Object].[Object Group].&amp;[64]","[Object].[Obj Group Nm]","[Object].[Obj Group Nm].&amp;[GRANTS TO PUB AND PRIV ORGNS]"),0)</f>
        <v>17474</v>
      </c>
      <c r="I59" s="25">
        <f>IFERROR(GETPIVOTDATA("[Measures].[Jrnl Posting Am]",'Historical Summary Cube'!$AA$5,"[Accounting Period].[Fisc Yr]","[Accounting Period].[Fisc Yr].&amp;[2012]","[Object].[Object Group]","[Object].[Object Group].&amp;[64]","[Object].[Obj Group Nm]","[Object].[Obj Group Nm].&amp;[GRANTS TO PUB AND PRIV ORGNS]"),0)</f>
        <v>104518</v>
      </c>
      <c r="J59" s="25">
        <f>IFERROR(GETPIVOTDATA("[Measures].[Jrnl Posting Am]",'Historical Summary Cube'!$AA$5,"[Accounting Period].[Fisc Yr]","[Accounting Period].[Fisc Yr].&amp;[2013]","[Object].[Object Group]","[Object].[Object Group].&amp;[64]","[Object].[Obj Group Nm]","[Object].[Obj Group Nm].&amp;[GRANTS TO PUB AND PRIV ORGNS]"),0)</f>
        <v>3500</v>
      </c>
      <c r="K59" s="25">
        <f>IFERROR(GETPIVOTDATA("[Measures].[Jrnl Posting Am]",'Historical Summary Cube'!$AA$5,"[Accounting Period].[Fisc Yr]","[Accounting Period].[Fisc Yr].&amp;[2014]","[Object].[Object Group]","[Object].[Object Group].&amp;[64]","[Object].[Obj Group Nm]","[Object].[Obj Group Nm].&amp;[GRANTS TO PUB AND PRIV ORGNS]"),0)</f>
        <v>130000</v>
      </c>
      <c r="L59" s="25">
        <f>IFERROR(GETPIVOTDATA("[Measures].[Jrnl Posting Am]",'Historical Summary Cube'!$AA$5,"[Accounting Period].[Fisc Yr]","[Accounting Period].[Fisc Yr].&amp;[2015]","[Object].[Object Group]","[Object].[Object Group].&amp;[64]","[Object].[Obj Group Nm]","[Object].[Obj Group Nm].&amp;[GRANTS TO PUB AND PRIV ORGNS]"),0)</f>
        <v>7000</v>
      </c>
      <c r="M59" s="25">
        <f>IFERROR(GETPIVOTDATA("[Measures].[Jrnl Posting Am]",'Historical Summary Cube'!$AA$5,"[Accounting Period].[Fisc Yr]","[Accounting Period].[Fisc Yr].&amp;[2016]","[Object].[Object Group]","[Object].[Object Group].&amp;[64]","[Object].[Obj Group Nm]","[Object].[Obj Group Nm].&amp;[GRANTS TO PUB AND PRIV ORGNS]"),0)</f>
        <v>133675</v>
      </c>
      <c r="N59" s="25">
        <f>IFERROR(GETPIVOTDATA("[Measures].[Jrnl Posting Am]",'Historical Summary Cube'!$AA$5,"[Accounting Period].[Fisc Yr]","[Accounting Period].[Fisc Yr].&amp;[2017]","[Object].[Object Group]","[Object].[Object Group].&amp;[64]","[Object].[Obj Group Nm]","[Object].[Obj Group Nm].&amp;[GRANTS TO PUB AND PRIV ORGNS]"),0)</f>
        <v>0</v>
      </c>
      <c r="O59" s="25">
        <f>IFERROR(GETPIVOTDATA("[Measures].[Jrnl Posting Am]",'Historical Summary Cube'!$AA$5,"[Accounting Period].[Fisc Yr]","[Accounting Period].[Fisc Yr].&amp;[2018]","[Object].[Object Group]","[Object].[Object Group].&amp;[64]","[Object].[Obj Group Nm]","[Object].[Obj Group Nm].&amp;[GRANTS TO PUB AND PRIV ORGNS]"),0)</f>
        <v>11720</v>
      </c>
      <c r="P59" s="25">
        <f>IFERROR(GETPIVOTDATA("[Measures].[Jrnl Posting Am]",'Historical Summary Cube'!$AA$5,"[Accounting Period].[Fisc Yr]","[Accounting Period].[Fisc Yr].&amp;[2019]","[Object].[Object Group]","[Object].[Object Group].&amp;[64]","[Object].[Obj Group Nm]","[Object].[Obj Group Nm].&amp;[GRANTS TO PUB AND PRIV ORGNS]"),0)</f>
        <v>41745.49</v>
      </c>
      <c r="Q59" s="25">
        <f>IFERROR(GETPIVOTDATA("[Measures].[Jrnl Posting Am]",'Historical Summary Cube'!$AA$5,"[Accounting Period].[Fisc Yr]","[Accounting Period].[Fisc Yr].&amp;[2020]","[Object].[Object Group]","[Object].[Object Group].&amp;[64]","[Object].[Obj Group Nm]","[Object].[Obj Group Nm].&amp;[GRANTS TO PUB AND PRIV ORGNS]"),0)</f>
        <v>63647.21</v>
      </c>
      <c r="R59" s="25">
        <f>IFERROR(GETPIVOTDATA("[Measures].[Jrnl Posting Am]",'Historical Summary Cube'!$AA$5,"[Accounting Period].[Fisc Yr]","[Accounting Period].[Fisc Yr].&amp;[2021]","[Object].[Object Group]","[Object].[Object Group].&amp;[64]","[Object].[Obj Group Nm]","[Object].[Obj Group Nm].&amp;[GRANTS TO PUB AND PRIV ORGNS]"),0)</f>
        <v>12072.79</v>
      </c>
      <c r="S59" s="25">
        <f>IFERROR(GETPIVOTDATA("[Measures].[Jrnl Posting Am]",'Historical Summary Cube'!$AA$5,"[Accounting Period].[Fisc Yr]","[Accounting Period].[Fisc Yr].&amp;[2022]","[Object].[Object Group]","[Object].[Object Group].&amp;[64]","[Object].[Obj Group Nm]","[Object].[Obj Group Nm].&amp;[GRANTS TO PUB AND PRIV ORGNS]"),0)</f>
        <v>6432</v>
      </c>
      <c r="T59" s="25">
        <f>IFERROR(GETPIVOTDATA("[Measures].[Jrnl Posting Am]",'Historical Summary Cube'!$AA$5,"[Accounting Period].[Fisc Yr]","[Accounting Period].[Fisc Yr].&amp;[2023]","[Object].[Object Group]","[Object].[Object Group].&amp;[64]","[Object].[Obj Group Nm]","[Object].[Obj Group Nm].&amp;[GRANTS TO PUB AND PRIV ORGNS]"),0)</f>
        <v>6432</v>
      </c>
      <c r="U59" s="55"/>
      <c r="V59" s="55"/>
    </row>
    <row r="60" spans="1:22" s="19" customFormat="1" ht="15.5" x14ac:dyDescent="0.35">
      <c r="A60" s="27" t="s">
        <v>74</v>
      </c>
      <c r="B60" s="30" t="s">
        <v>99</v>
      </c>
      <c r="C60" s="49"/>
      <c r="D60" s="49"/>
      <c r="E60" s="25">
        <f>IFERROR(GETPIVOTDATA("[Measures].[Jrnl Posting Am]",'Historical Summary Cube'!$AA$5,"[Accounting Period].[Fisc Yr]","[Accounting Period].[Fisc Yr].&amp;[2008]","[Object].[Object Group]","[Object].[Object Group].&amp;[67]","[Object].[Obj Group Nm]","[Object].[Obj Group Nm].&amp;[ASSISTANCE AND RELIEF GRANT]"),0)</f>
        <v>0</v>
      </c>
      <c r="F60" s="25">
        <f>IFERROR(GETPIVOTDATA("[Measures].[Jrnl Posting Am]",'Historical Summary Cube'!$AA$5,"[Accounting Period].[Fisc Yr]","[Accounting Period].[Fisc Yr].&amp;[2009]","[Object].[Object Group]","[Object].[Object Group].&amp;[67]","[Object].[Obj Group Nm]","[Object].[Obj Group Nm].&amp;[ASSISTANCE AND RELIEF GRANT]"),0)</f>
        <v>0</v>
      </c>
      <c r="G60" s="25">
        <f>IFERROR(GETPIVOTDATA("[Measures].[Jrnl Posting Am]",'Historical Summary Cube'!$AA$5,"[Accounting Period].[Fisc Yr]","[Accounting Period].[Fisc Yr].&amp;[2010]","[Object].[Object Group]","[Object].[Object Group].&amp;[67]","[Object].[Obj Group Nm]","[Object].[Obj Group Nm].&amp;[ASSISTANCE AND RELIEF GRANT]"),0)</f>
        <v>0</v>
      </c>
      <c r="H60" s="25">
        <f>IFERROR(GETPIVOTDATA("[Measures].[Jrnl Posting Am]",'Historical Summary Cube'!$AA$5,"[Accounting Period].[Fisc Yr]","[Accounting Period].[Fisc Yr].&amp;[2011]","[Object].[Object Group]","[Object].[Object Group].&amp;[67]","[Object].[Obj Group Nm]","[Object].[Obj Group Nm].&amp;[ASSISTANCE AND RELIEF GRANT]"),0)</f>
        <v>0</v>
      </c>
      <c r="I60" s="25">
        <f>IFERROR(GETPIVOTDATA("[Measures].[Jrnl Posting Am]",'Historical Summary Cube'!$AA$5,"[Accounting Period].[Fisc Yr]","[Accounting Period].[Fisc Yr].&amp;[2012]","[Object].[Object Group]","[Object].[Object Group].&amp;[67]","[Object].[Obj Group Nm]","[Object].[Obj Group Nm].&amp;[ASSISTANCE AND RELIEF GRANT]"),0)</f>
        <v>0</v>
      </c>
      <c r="J60" s="25">
        <f>IFERROR(GETPIVOTDATA("[Measures].[Jrnl Posting Am]",'Historical Summary Cube'!$AA$5,"[Accounting Period].[Fisc Yr]","[Accounting Period].[Fisc Yr].&amp;[2013]","[Object].[Object Group]","[Object].[Object Group].&amp;[67]","[Object].[Obj Group Nm]","[Object].[Obj Group Nm].&amp;[ASSISTANCE AND RELIEF GRANT]"),0)</f>
        <v>0</v>
      </c>
      <c r="K60" s="25">
        <f>IFERROR(GETPIVOTDATA("[Measures].[Jrnl Posting Am]",'Historical Summary Cube'!$AA$5,"[Accounting Period].[Fisc Yr]","[Accounting Period].[Fisc Yr].&amp;[2014]","[Object].[Object Group]","[Object].[Object Group].&amp;[67]","[Object].[Obj Group Nm]","[Object].[Obj Group Nm].&amp;[ASSISTANCE AND RELIEF GRANT]"),0)</f>
        <v>0</v>
      </c>
      <c r="L60" s="25">
        <f>IFERROR(GETPIVOTDATA("[Measures].[Jrnl Posting Am]",'Historical Summary Cube'!$AA$5,"[Accounting Period].[Fisc Yr]","[Accounting Period].[Fisc Yr].&amp;[2015]","[Object].[Object Group]","[Object].[Object Group].&amp;[67]","[Object].[Obj Group Nm]","[Object].[Obj Group Nm].&amp;[ASSISTANCE AND RELIEF GRANT]"),0)</f>
        <v>0</v>
      </c>
      <c r="M60" s="25">
        <f>IFERROR(GETPIVOTDATA("[Measures].[Jrnl Posting Am]",'Historical Summary Cube'!$AA$5,"[Accounting Period].[Fisc Yr]","[Accounting Period].[Fisc Yr].&amp;[2016]","[Object].[Object Group]","[Object].[Object Group].&amp;[67]","[Object].[Obj Group Nm]","[Object].[Obj Group Nm].&amp;[ASSISTANCE AND RELIEF GRANT]"),0)</f>
        <v>0</v>
      </c>
      <c r="N60" s="25">
        <f>IFERROR(GETPIVOTDATA("[Measures].[Jrnl Posting Am]",'Historical Summary Cube'!$AA$5,"[Accounting Period].[Fisc Yr]","[Accounting Period].[Fisc Yr].&amp;[2017]","[Object].[Object Group]","[Object].[Object Group].&amp;[67]","[Object].[Obj Group Nm]","[Object].[Obj Group Nm].&amp;[ASSISTANCE AND RELIEF GRANT]"),0)</f>
        <v>0</v>
      </c>
      <c r="O60" s="25">
        <f>IFERROR(GETPIVOTDATA("[Measures].[Jrnl Posting Am]",'Historical Summary Cube'!$AA$5,"[Accounting Period].[Fisc Yr]","[Accounting Period].[Fisc Yr].&amp;[2018]","[Object].[Object Group]","[Object].[Object Group].&amp;[67]","[Object].[Obj Group Nm]","[Object].[Obj Group Nm].&amp;[ASSISTANCE AND RELIEF GRANT]"),0)</f>
        <v>0</v>
      </c>
      <c r="P60" s="25">
        <f>IFERROR(GETPIVOTDATA("[Measures].[Jrnl Posting Am]",'Historical Summary Cube'!$AA$5,"[Accounting Period].[Fisc Yr]","[Accounting Period].[Fisc Yr].&amp;[2019]","[Object].[Object Group]","[Object].[Object Group].&amp;[67]","[Object].[Obj Group Nm]","[Object].[Obj Group Nm].&amp;[ASSISTANCE AND RELIEF GRANT]"),0)</f>
        <v>0</v>
      </c>
      <c r="Q60" s="25">
        <f>IFERROR(GETPIVOTDATA("[Measures].[Jrnl Posting Am]",'Historical Summary Cube'!$AA$5,"[Accounting Period].[Fisc Yr]","[Accounting Period].[Fisc Yr].&amp;[2020]","[Object].[Object Group]","[Object].[Object Group].&amp;[67]","[Object].[Obj Group Nm]","[Object].[Obj Group Nm].&amp;[ASSISTANCE AND RELIEF GRANT]"),0)</f>
        <v>0</v>
      </c>
      <c r="R60" s="25">
        <f>IFERROR(GETPIVOTDATA("[Measures].[Jrnl Posting Am]",'Historical Summary Cube'!$AA$5,"[Accounting Period].[Fisc Yr]","[Accounting Period].[Fisc Yr].&amp;[2021]","[Object].[Object Group]","[Object].[Object Group].&amp;[67]","[Object].[Obj Group Nm]","[Object].[Obj Group Nm].&amp;[ASSISTANCE AND RELIEF GRANT]"),0)</f>
        <v>0</v>
      </c>
      <c r="S60" s="25">
        <f>IFERROR(GETPIVOTDATA("[Measures].[Jrnl Posting Am]",'Historical Summary Cube'!$AA$5,"[Accounting Period].[Fisc Yr]","[Accounting Period].[Fisc Yr].&amp;[2022]","[Object].[Object Group]","[Object].[Object Group].&amp;[67]","[Object].[Obj Group Nm]","[Object].[Obj Group Nm].&amp;[ASSISTANCE AND RELIEF GRANT]"),0)</f>
        <v>0</v>
      </c>
      <c r="T60" s="25">
        <f>IFERROR(GETPIVOTDATA("[Measures].[Jrnl Posting Am]",'Historical Summary Cube'!$AA$5,"[Accounting Period].[Fisc Yr]","[Accounting Period].[Fisc Yr].&amp;[2023]","[Object].[Object Group]","[Object].[Object Group].&amp;[67]","[Object].[Obj Group Nm]","[Object].[Obj Group Nm].&amp;[ASSISTANCE AND RELIEF GRANT]"),0)</f>
        <v>0</v>
      </c>
      <c r="U60" s="55"/>
      <c r="V60" s="55"/>
    </row>
    <row r="61" spans="1:22" s="19" customFormat="1" ht="15.5" x14ac:dyDescent="0.35">
      <c r="A61" s="27" t="s">
        <v>75</v>
      </c>
      <c r="B61" s="30" t="s">
        <v>95</v>
      </c>
      <c r="C61" s="49"/>
      <c r="D61" s="49"/>
      <c r="E61" s="25">
        <f>IFERROR(GETPIVOTDATA("[Measures].[Jrnl Posting Am]",'Historical Summary Cube'!$AA$5,"[Accounting Period].[Fisc Yr]","[Accounting Period].[Fisc Yr].&amp;[2008]","[Object].[Object Group]","[Object].[Object Group].&amp;[72]","[Object].[Obj Group Nm]","[Object].[Obj Group Nm].&amp;[EQUIPMENT]"),0)</f>
        <v>0</v>
      </c>
      <c r="F61" s="25">
        <f>IFERROR(GETPIVOTDATA("[Measures].[Jrnl Posting Am]",'Historical Summary Cube'!$AA$5,"[Accounting Period].[Fisc Yr]","[Accounting Period].[Fisc Yr].&amp;[2009]","[Object].[Object Group]","[Object].[Object Group].&amp;[72]","[Object].[Obj Group Nm]","[Object].[Obj Group Nm].&amp;[EQUIPMENT]"),0)</f>
        <v>0</v>
      </c>
      <c r="G61" s="25">
        <f>IFERROR(GETPIVOTDATA("[Measures].[Jrnl Posting Am]",'Historical Summary Cube'!$AA$5,"[Accounting Period].[Fisc Yr]","[Accounting Period].[Fisc Yr].&amp;[2010]","[Object].[Object Group]","[Object].[Object Group].&amp;[72]","[Object].[Obj Group Nm]","[Object].[Obj Group Nm].&amp;[EQUIPMENT]"),0)</f>
        <v>0</v>
      </c>
      <c r="H61" s="25">
        <f>IFERROR(GETPIVOTDATA("[Measures].[Jrnl Posting Am]",'Historical Summary Cube'!$AA$5,"[Accounting Period].[Fisc Yr]","[Accounting Period].[Fisc Yr].&amp;[2011]","[Object].[Object Group]","[Object].[Object Group].&amp;[72]","[Object].[Obj Group Nm]","[Object].[Obj Group Nm].&amp;[EQUIPMENT]"),0)</f>
        <v>0</v>
      </c>
      <c r="I61" s="25">
        <f>IFERROR(GETPIVOTDATA("[Measures].[Jrnl Posting Am]",'Historical Summary Cube'!$AA$5,"[Accounting Period].[Fisc Yr]","[Accounting Period].[Fisc Yr].&amp;[2012]","[Object].[Object Group]","[Object].[Object Group].&amp;[72]","[Object].[Obj Group Nm]","[Object].[Obj Group Nm].&amp;[EQUIPMENT]"),0)</f>
        <v>0</v>
      </c>
      <c r="J61" s="25">
        <f>IFERROR(GETPIVOTDATA("[Measures].[Jrnl Posting Am]",'Historical Summary Cube'!$AA$5,"[Accounting Period].[Fisc Yr]","[Accounting Period].[Fisc Yr].&amp;[2013]","[Object].[Object Group]","[Object].[Object Group].&amp;[72]","[Object].[Obj Group Nm]","[Object].[Obj Group Nm].&amp;[EQUIPMENT]"),0)</f>
        <v>0</v>
      </c>
      <c r="K61" s="25">
        <f>IFERROR(GETPIVOTDATA("[Measures].[Jrnl Posting Am]",'Historical Summary Cube'!$AA$5,"[Accounting Period].[Fisc Yr]","[Accounting Period].[Fisc Yr].&amp;[2014]","[Object].[Object Group]","[Object].[Object Group].&amp;[72]","[Object].[Obj Group Nm]","[Object].[Obj Group Nm].&amp;[EQUIPMENT]"),0)</f>
        <v>0</v>
      </c>
      <c r="L61" s="25">
        <f>IFERROR(GETPIVOTDATA("[Measures].[Jrnl Posting Am]",'Historical Summary Cube'!$AA$5,"[Accounting Period].[Fisc Yr]","[Accounting Period].[Fisc Yr].&amp;[2015]","[Object].[Object Group]","[Object].[Object Group].&amp;[72]","[Object].[Obj Group Nm]","[Object].[Obj Group Nm].&amp;[EQUIPMENT]"),0)</f>
        <v>0</v>
      </c>
      <c r="M61" s="25">
        <f>IFERROR(GETPIVOTDATA("[Measures].[Jrnl Posting Am]",'Historical Summary Cube'!$AA$5,"[Accounting Period].[Fisc Yr]","[Accounting Period].[Fisc Yr].&amp;[2016]","[Object].[Object Group]","[Object].[Object Group].&amp;[72]","[Object].[Obj Group Nm]","[Object].[Obj Group Nm].&amp;[EQUIPMENT]"),0)</f>
        <v>0</v>
      </c>
      <c r="N61" s="25">
        <f>IFERROR(GETPIVOTDATA("[Measures].[Jrnl Posting Am]",'Historical Summary Cube'!$AA$5,"[Accounting Period].[Fisc Yr]","[Accounting Period].[Fisc Yr].&amp;[2017]","[Object].[Object Group]","[Object].[Object Group].&amp;[72]","[Object].[Obj Group Nm]","[Object].[Obj Group Nm].&amp;[EQUIPMENT]"),0)</f>
        <v>0</v>
      </c>
      <c r="O61" s="25">
        <f>IFERROR(GETPIVOTDATA("[Measures].[Jrnl Posting Am]",'Historical Summary Cube'!$AA$5,"[Accounting Period].[Fisc Yr]","[Accounting Period].[Fisc Yr].&amp;[2018]","[Object].[Object Group]","[Object].[Object Group].&amp;[72]","[Object].[Obj Group Nm]","[Object].[Obj Group Nm].&amp;[EQUIPMENT]"),0)</f>
        <v>0</v>
      </c>
      <c r="P61" s="25">
        <f>IFERROR(GETPIVOTDATA("[Measures].[Jrnl Posting Am]",'Historical Summary Cube'!$AA$5,"[Accounting Period].[Fisc Yr]","[Accounting Period].[Fisc Yr].&amp;[2019]","[Object].[Object Group]","[Object].[Object Group].&amp;[72]","[Object].[Obj Group Nm]","[Object].[Obj Group Nm].&amp;[EQUIPMENT]"),0)</f>
        <v>0</v>
      </c>
      <c r="Q61" s="25">
        <f>IFERROR(GETPIVOTDATA("[Measures].[Jrnl Posting Am]",'Historical Summary Cube'!$AA$5,"[Accounting Period].[Fisc Yr]","[Accounting Period].[Fisc Yr].&amp;[2020]","[Object].[Object Group]","[Object].[Object Group].&amp;[72]","[Object].[Obj Group Nm]","[Object].[Obj Group Nm].&amp;[EQUIPMENT]"),0)</f>
        <v>0</v>
      </c>
      <c r="R61" s="25">
        <f>IFERROR(GETPIVOTDATA("[Measures].[Jrnl Posting Am]",'Historical Summary Cube'!$AA$5,"[Accounting Period].[Fisc Yr]","[Accounting Period].[Fisc Yr].&amp;[2021]","[Object].[Object Group]","[Object].[Object Group].&amp;[72]","[Object].[Obj Group Nm]","[Object].[Obj Group Nm].&amp;[EQUIPMENT]"),0)</f>
        <v>0</v>
      </c>
      <c r="S61" s="25">
        <f>IFERROR(GETPIVOTDATA("[Measures].[Jrnl Posting Am]",'Historical Summary Cube'!$AA$5,"[Accounting Period].[Fisc Yr]","[Accounting Period].[Fisc Yr].&amp;[2022]","[Object].[Object Group]","[Object].[Object Group].&amp;[72]","[Object].[Obj Group Nm]","[Object].[Obj Group Nm].&amp;[EQUIPMENT]"),0)</f>
        <v>0</v>
      </c>
      <c r="T61" s="25">
        <f>IFERROR(GETPIVOTDATA("[Measures].[Jrnl Posting Am]",'Historical Summary Cube'!$AA$5,"[Accounting Period].[Fisc Yr]","[Accounting Period].[Fisc Yr].&amp;[2023]","[Object].[Object Group]","[Object].[Object Group].&amp;[72]","[Object].[Obj Group Nm]","[Object].[Obj Group Nm].&amp;[EQUIPMENT]"),0)</f>
        <v>0</v>
      </c>
      <c r="U61" s="55"/>
      <c r="V61" s="55"/>
    </row>
    <row r="62" spans="1:22" s="19" customFormat="1" ht="15.5" x14ac:dyDescent="0.35">
      <c r="A62" s="27" t="s">
        <v>76</v>
      </c>
      <c r="B62" s="30" t="s">
        <v>100</v>
      </c>
      <c r="C62" s="49"/>
      <c r="D62" s="49"/>
      <c r="E62" s="25">
        <f>IFERROR(GETPIVOTDATA("[Measures].[Jrnl Posting Am]",'Historical Summary Cube'!$AA$5,"[Accounting Period].[Fisc Yr]","[Accounting Period].[Fisc Yr].&amp;[2008]","[Object].[Object Group]","[Object].[Object Group].&amp;[82]","[Object].[Obj Group Nm]","[Object].[Obj Group Nm].&amp;[ADMINISTRATIVE CHARGES AND FEE]"),0)</f>
        <v>0</v>
      </c>
      <c r="F62" s="25">
        <f>IFERROR(GETPIVOTDATA("[Measures].[Jrnl Posting Am]",'Historical Summary Cube'!$AA$5,"[Accounting Period].[Fisc Yr]","[Accounting Period].[Fisc Yr].&amp;[2009]","[Object].[Object Group]","[Object].[Object Group].&amp;[82]","[Object].[Obj Group Nm]","[Object].[Obj Group Nm].&amp;[ADMINISTRATIVE CHARGES AND FEE]"),0)</f>
        <v>0</v>
      </c>
      <c r="G62" s="25">
        <f>IFERROR(GETPIVOTDATA("[Measures].[Jrnl Posting Am]",'Historical Summary Cube'!$AA$5,"[Accounting Period].[Fisc Yr]","[Accounting Period].[Fisc Yr].&amp;[2010]","[Object].[Object Group]","[Object].[Object Group].&amp;[82]","[Object].[Obj Group Nm]","[Object].[Obj Group Nm].&amp;[ADMINISTRATIVE CHARGES AND FEE]"),0)</f>
        <v>0</v>
      </c>
      <c r="H62" s="25">
        <f>IFERROR(GETPIVOTDATA("[Measures].[Jrnl Posting Am]",'Historical Summary Cube'!$AA$5,"[Accounting Period].[Fisc Yr]","[Accounting Period].[Fisc Yr].&amp;[2011]","[Object].[Object Group]","[Object].[Object Group].&amp;[82]","[Object].[Obj Group Nm]","[Object].[Obj Group Nm].&amp;[ADMINISTRATIVE CHARGES AND FEE]"),0)</f>
        <v>40</v>
      </c>
      <c r="I62" s="25">
        <f>IFERROR(GETPIVOTDATA("[Measures].[Jrnl Posting Am]",'Historical Summary Cube'!$AA$5,"[Accounting Period].[Fisc Yr]","[Accounting Period].[Fisc Yr].&amp;[2012]","[Object].[Object Group]","[Object].[Object Group].&amp;[82]","[Object].[Obj Group Nm]","[Object].[Obj Group Nm].&amp;[ADMINISTRATIVE CHARGES AND FEE]"),0)</f>
        <v>0</v>
      </c>
      <c r="J62" s="25">
        <f>IFERROR(GETPIVOTDATA("[Measures].[Jrnl Posting Am]",'Historical Summary Cube'!$AA$5,"[Accounting Period].[Fisc Yr]","[Accounting Period].[Fisc Yr].&amp;[2013]","[Object].[Object Group]","[Object].[Object Group].&amp;[82]","[Object].[Obj Group Nm]","[Object].[Obj Group Nm].&amp;[ADMINISTRATIVE CHARGES AND FEE]"),0)</f>
        <v>0</v>
      </c>
      <c r="K62" s="25">
        <f>IFERROR(GETPIVOTDATA("[Measures].[Jrnl Posting Am]",'Historical Summary Cube'!$AA$5,"[Accounting Period].[Fisc Yr]","[Accounting Period].[Fisc Yr].&amp;[2014]","[Object].[Object Group]","[Object].[Object Group].&amp;[82]","[Object].[Obj Group Nm]","[Object].[Obj Group Nm].&amp;[ADMINISTRATIVE CHARGES AND FEE]"),0)</f>
        <v>20</v>
      </c>
      <c r="L62" s="25">
        <f>IFERROR(GETPIVOTDATA("[Measures].[Jrnl Posting Am]",'Historical Summary Cube'!$AA$5,"[Accounting Period].[Fisc Yr]","[Accounting Period].[Fisc Yr].&amp;[2015]","[Object].[Object Group]","[Object].[Object Group].&amp;[82]","[Object].[Obj Group Nm]","[Object].[Obj Group Nm].&amp;[ADMINISTRATIVE CHARGES AND FEE]"),0)</f>
        <v>20</v>
      </c>
      <c r="M62" s="25">
        <f>IFERROR(GETPIVOTDATA("[Measures].[Jrnl Posting Am]",'Historical Summary Cube'!$AA$5,"[Accounting Period].[Fisc Yr]","[Accounting Period].[Fisc Yr].&amp;[2016]","[Object].[Object Group]","[Object].[Object Group].&amp;[82]","[Object].[Obj Group Nm]","[Object].[Obj Group Nm].&amp;[ADMINISTRATIVE CHARGES AND FEE]"),0)</f>
        <v>0</v>
      </c>
      <c r="N62" s="25">
        <f>IFERROR(GETPIVOTDATA("[Measures].[Jrnl Posting Am]",'Historical Summary Cube'!$AA$5,"[Accounting Period].[Fisc Yr]","[Accounting Period].[Fisc Yr].&amp;[2017]","[Object].[Object Group]","[Object].[Object Group].&amp;[82]","[Object].[Obj Group Nm]","[Object].[Obj Group Nm].&amp;[ADMINISTRATIVE CHARGES AND FEE]"),0)</f>
        <v>0</v>
      </c>
      <c r="O62" s="25">
        <f>IFERROR(GETPIVOTDATA("[Measures].[Jrnl Posting Am]",'Historical Summary Cube'!$AA$5,"[Accounting Period].[Fisc Yr]","[Accounting Period].[Fisc Yr].&amp;[2018]","[Object].[Object Group]","[Object].[Object Group].&amp;[82]","[Object].[Obj Group Nm]","[Object].[Obj Group Nm].&amp;[ADMINISTRATIVE CHARGES AND FEE]"),0)</f>
        <v>20</v>
      </c>
      <c r="P62" s="25">
        <f>IFERROR(GETPIVOTDATA("[Measures].[Jrnl Posting Am]",'Historical Summary Cube'!$AA$5,"[Accounting Period].[Fisc Yr]","[Accounting Period].[Fisc Yr].&amp;[2019]","[Object].[Object Group]","[Object].[Object Group].&amp;[82]","[Object].[Obj Group Nm]","[Object].[Obj Group Nm].&amp;[ADMINISTRATIVE CHARGES AND FEE]"),0)</f>
        <v>0</v>
      </c>
      <c r="Q62" s="25">
        <f>IFERROR(GETPIVOTDATA("[Measures].[Jrnl Posting Am]",'Historical Summary Cube'!$AA$5,"[Accounting Period].[Fisc Yr]","[Accounting Period].[Fisc Yr].&amp;[2020]","[Object].[Object Group]","[Object].[Object Group].&amp;[82]","[Object].[Obj Group Nm]","[Object].[Obj Group Nm].&amp;[ADMINISTRATIVE CHARGES AND FEE]"),0)</f>
        <v>0</v>
      </c>
      <c r="R62" s="25">
        <f>IFERROR(GETPIVOTDATA("[Measures].[Jrnl Posting Am]",'Historical Summary Cube'!$AA$5,"[Accounting Period].[Fisc Yr]","[Accounting Period].[Fisc Yr].&amp;[2021]","[Object].[Object Group]","[Object].[Object Group].&amp;[82]","[Object].[Obj Group Nm]","[Object].[Obj Group Nm].&amp;[ADMINISTRATIVE CHARGES AND FEE]"),0)</f>
        <v>20</v>
      </c>
      <c r="S62" s="25">
        <f>IFERROR(GETPIVOTDATA("[Measures].[Jrnl Posting Am]",'Historical Summary Cube'!$AA$5,"[Accounting Period].[Fisc Yr]","[Accounting Period].[Fisc Yr].&amp;[2022]","[Object].[Object Group]","[Object].[Object Group].&amp;[82]","[Object].[Obj Group Nm]","[Object].[Obj Group Nm].&amp;[ADMINISTRATIVE CHARGES AND FEE]"),0)</f>
        <v>20</v>
      </c>
      <c r="T62" s="25">
        <f>IFERROR(GETPIVOTDATA("[Measures].[Jrnl Posting Am]",'Historical Summary Cube'!$AA$5,"[Accounting Period].[Fisc Yr]","[Accounting Period].[Fisc Yr].&amp;[2023]","[Object].[Object Group]","[Object].[Object Group].&amp;[82]","[Object].[Obj Group Nm]","[Object].[Obj Group Nm].&amp;[ADMINISTRATIVE CHARGES AND FEE]"),0)</f>
        <v>-40</v>
      </c>
      <c r="U62" s="55"/>
      <c r="V62" s="55"/>
    </row>
    <row r="63" spans="1:22" s="19" customFormat="1" ht="15.5" x14ac:dyDescent="0.35">
      <c r="A63" s="27" t="s">
        <v>77</v>
      </c>
      <c r="B63" s="30" t="s">
        <v>101</v>
      </c>
      <c r="C63" s="49"/>
      <c r="D63" s="49"/>
      <c r="E63" s="25">
        <f>IFERROR(GETPIVOTDATA("[Measures].[Jrnl Posting Am]",'Historical Summary Cube'!$AA$5,"[Accounting Period].[Fisc Yr]","[Accounting Period].[Fisc Yr].&amp;[2008]","[Object].[Object Group]","[Object].[Object Group].&amp;[85]","[Object].[Obj Group Nm]","[Object].[Obj Group Nm].&amp;[TRANSFERS]"),0)</f>
        <v>10333.740000000002</v>
      </c>
      <c r="F63" s="25">
        <f>IFERROR(GETPIVOTDATA("[Measures].[Jrnl Posting Am]",'Historical Summary Cube'!$AA$5,"[Accounting Period].[Fisc Yr]","[Accounting Period].[Fisc Yr].&amp;[2009]","[Object].[Object Group]","[Object].[Object Group].&amp;[85]","[Object].[Obj Group Nm]","[Object].[Obj Group Nm].&amp;[TRANSFERS]"),0)</f>
        <v>14329.379999999994</v>
      </c>
      <c r="G63" s="25">
        <f>IFERROR(GETPIVOTDATA("[Measures].[Jrnl Posting Am]",'Historical Summary Cube'!$AA$5,"[Accounting Period].[Fisc Yr]","[Accounting Period].[Fisc Yr].&amp;[2010]","[Object].[Object Group]","[Object].[Object Group].&amp;[85]","[Object].[Obj Group Nm]","[Object].[Obj Group Nm].&amp;[TRANSFERS]"),0)</f>
        <v>9669.98</v>
      </c>
      <c r="H63" s="25">
        <f>IFERROR(GETPIVOTDATA("[Measures].[Jrnl Posting Am]",'Historical Summary Cube'!$AA$5,"[Accounting Period].[Fisc Yr]","[Accounting Period].[Fisc Yr].&amp;[2011]","[Object].[Object Group]","[Object].[Object Group].&amp;[85]","[Object].[Obj Group Nm]","[Object].[Obj Group Nm].&amp;[TRANSFERS]"),0)</f>
        <v>9386.09</v>
      </c>
      <c r="I63" s="25">
        <f>IFERROR(GETPIVOTDATA("[Measures].[Jrnl Posting Am]",'Historical Summary Cube'!$AA$5,"[Accounting Period].[Fisc Yr]","[Accounting Period].[Fisc Yr].&amp;[2012]","[Object].[Object Group]","[Object].[Object Group].&amp;[85]","[Object].[Obj Group Nm]","[Object].[Obj Group Nm].&amp;[TRANSFERS]"),0)</f>
        <v>11997.469999999998</v>
      </c>
      <c r="J63" s="25">
        <f>IFERROR(GETPIVOTDATA("[Measures].[Jrnl Posting Am]",'Historical Summary Cube'!$AA$5,"[Accounting Period].[Fisc Yr]","[Accounting Period].[Fisc Yr].&amp;[2013]","[Object].[Object Group]","[Object].[Object Group].&amp;[85]","[Object].[Obj Group Nm]","[Object].[Obj Group Nm].&amp;[TRANSFERS]"),0)</f>
        <v>18236.890000000007</v>
      </c>
      <c r="K63" s="25">
        <f>IFERROR(GETPIVOTDATA("[Measures].[Jrnl Posting Am]",'Historical Summary Cube'!$AA$5,"[Accounting Period].[Fisc Yr]","[Accounting Period].[Fisc Yr].&amp;[2014]","[Object].[Object Group]","[Object].[Object Group].&amp;[85]","[Object].[Obj Group Nm]","[Object].[Obj Group Nm].&amp;[TRANSFERS]"),0)</f>
        <v>49708.609999999986</v>
      </c>
      <c r="L63" s="25">
        <f>IFERROR(GETPIVOTDATA("[Measures].[Jrnl Posting Am]",'Historical Summary Cube'!$AA$5,"[Accounting Period].[Fisc Yr]","[Accounting Period].[Fisc Yr].&amp;[2015]","[Object].[Object Group]","[Object].[Object Group].&amp;[85]","[Object].[Obj Group Nm]","[Object].[Obj Group Nm].&amp;[TRANSFERS]"),0)</f>
        <v>68348.940000000017</v>
      </c>
      <c r="M63" s="25">
        <f>IFERROR(GETPIVOTDATA("[Measures].[Jrnl Posting Am]",'Historical Summary Cube'!$AA$5,"[Accounting Period].[Fisc Yr]","[Accounting Period].[Fisc Yr].&amp;[2016]","[Object].[Object Group]","[Object].[Object Group].&amp;[85]","[Object].[Obj Group Nm]","[Object].[Obj Group Nm].&amp;[TRANSFERS]"),0)</f>
        <v>87641.539999999979</v>
      </c>
      <c r="N63" s="25">
        <f>IFERROR(GETPIVOTDATA("[Measures].[Jrnl Posting Am]",'Historical Summary Cube'!$AA$5,"[Accounting Period].[Fisc Yr]","[Accounting Period].[Fisc Yr].&amp;[2017]","[Object].[Object Group]","[Object].[Object Group].&amp;[85]","[Object].[Obj Group Nm]","[Object].[Obj Group Nm].&amp;[TRANSFERS]"),0)</f>
        <v>72913.540000000008</v>
      </c>
      <c r="O63" s="25">
        <f>IFERROR(GETPIVOTDATA("[Measures].[Jrnl Posting Am]",'Historical Summary Cube'!$AA$5,"[Accounting Period].[Fisc Yr]","[Accounting Period].[Fisc Yr].&amp;[2018]","[Object].[Object Group]","[Object].[Object Group].&amp;[85]","[Object].[Obj Group Nm]","[Object].[Obj Group Nm].&amp;[TRANSFERS]"),0)</f>
        <v>38566.019999999997</v>
      </c>
      <c r="P63" s="25">
        <f>IFERROR(GETPIVOTDATA("[Measures].[Jrnl Posting Am]",'Historical Summary Cube'!$AA$5,"[Accounting Period].[Fisc Yr]","[Accounting Period].[Fisc Yr].&amp;[2019]","[Object].[Object Group]","[Object].[Object Group].&amp;[85]","[Object].[Obj Group Nm]","[Object].[Obj Group Nm].&amp;[TRANSFERS]"),0)</f>
        <v>30444.279999999992</v>
      </c>
      <c r="Q63" s="25">
        <f>IFERROR(GETPIVOTDATA("[Measures].[Jrnl Posting Am]",'Historical Summary Cube'!$AA$5,"[Accounting Period].[Fisc Yr]","[Accounting Period].[Fisc Yr].&amp;[2020]","[Object].[Object Group]","[Object].[Object Group].&amp;[85]","[Object].[Obj Group Nm]","[Object].[Obj Group Nm].&amp;[TRANSFERS]"),0)</f>
        <v>41108.630000000012</v>
      </c>
      <c r="R63" s="25">
        <f>IFERROR(GETPIVOTDATA("[Measures].[Jrnl Posting Am]",'Historical Summary Cube'!$AA$5,"[Accounting Period].[Fisc Yr]","[Accounting Period].[Fisc Yr].&amp;[2021]","[Object].[Object Group]","[Object].[Object Group].&amp;[85]","[Object].[Obj Group Nm]","[Object].[Obj Group Nm].&amp;[TRANSFERS]"),0)</f>
        <v>44542.280000000013</v>
      </c>
      <c r="S63" s="25">
        <f>IFERROR(GETPIVOTDATA("[Measures].[Jrnl Posting Am]",'Historical Summary Cube'!$AA$5,"[Accounting Period].[Fisc Yr]","[Accounting Period].[Fisc Yr].&amp;[2022]","[Object].[Object Group]","[Object].[Object Group].&amp;[85]","[Object].[Obj Group Nm]","[Object].[Obj Group Nm].&amp;[TRANSFERS]"),0)</f>
        <v>87322.290000000008</v>
      </c>
      <c r="T63" s="25">
        <f>IFERROR(GETPIVOTDATA("[Measures].[Jrnl Posting Am]",'Historical Summary Cube'!$AA$5,"[Accounting Period].[Fisc Yr]","[Accounting Period].[Fisc Yr].&amp;[2023]","[Object].[Object Group]","[Object].[Object Group].&amp;[85]","[Object].[Obj Group Nm]","[Object].[Obj Group Nm].&amp;[TRANSFERS]"),0)</f>
        <v>84471.91</v>
      </c>
      <c r="U63" s="55"/>
      <c r="V63" s="55"/>
    </row>
    <row r="64" spans="1:22" s="19" customFormat="1" ht="15.5" x14ac:dyDescent="0.35">
      <c r="A64" s="27" t="s">
        <v>78</v>
      </c>
      <c r="B64" s="30" t="s">
        <v>102</v>
      </c>
      <c r="C64" s="49"/>
      <c r="D64" s="49"/>
      <c r="E64" s="26">
        <f>IFERROR(GETPIVOTDATA("[Measures].[Jrnl Posting Am]",'Historical Summary Cube'!$AA$5,"[Accounting Period].[Fisc Yr]","[Accounting Period].[Fisc Yr].&amp;[2008]","[Object].[Object Group]","[Object].[Object Group].&amp;[90]","[Object].[Obj Group Nm]","[Object].[Obj Group Nm].&amp;[CHARGES TO ASSETS AND LIAB.]"),0)</f>
        <v>0</v>
      </c>
      <c r="F64" s="26">
        <f>IFERROR(GETPIVOTDATA("[Measures].[Jrnl Posting Am]",'Historical Summary Cube'!$AA$5,"[Accounting Period].[Fisc Yr]","[Accounting Period].[Fisc Yr].&amp;[2009]","[Object].[Object Group]","[Object].[Object Group].&amp;[90]","[Object].[Obj Group Nm]","[Object].[Obj Group Nm].&amp;[CHARGES TO ASSETS AND LIAB.]"),0)</f>
        <v>0</v>
      </c>
      <c r="G64" s="26">
        <f>IFERROR(GETPIVOTDATA("[Measures].[Jrnl Posting Am]",'Historical Summary Cube'!$AA$5,"[Accounting Period].[Fisc Yr]","[Accounting Period].[Fisc Yr].&amp;[2010]","[Object].[Object Group]","[Object].[Object Group].&amp;[90]","[Object].[Obj Group Nm]","[Object].[Obj Group Nm].&amp;[CHARGES TO ASSETS AND LIAB.]"),0)</f>
        <v>0</v>
      </c>
      <c r="H64" s="26">
        <f>IFERROR(GETPIVOTDATA("[Measures].[Jrnl Posting Am]",'Historical Summary Cube'!$AA$5,"[Accounting Period].[Fisc Yr]","[Accounting Period].[Fisc Yr].&amp;[2011]","[Object].[Object Group]","[Object].[Object Group].&amp;[90]","[Object].[Obj Group Nm]","[Object].[Obj Group Nm].&amp;[CHARGES TO ASSETS AND LIAB.]"),0)</f>
        <v>0</v>
      </c>
      <c r="I64" s="26">
        <f>IFERROR(GETPIVOTDATA("[Measures].[Jrnl Posting Am]",'Historical Summary Cube'!$AA$5,"[Accounting Period].[Fisc Yr]","[Accounting Period].[Fisc Yr].&amp;[2012]","[Object].[Object Group]","[Object].[Object Group].&amp;[90]","[Object].[Obj Group Nm]","[Object].[Obj Group Nm].&amp;[CHARGES TO ASSETS AND LIAB.]"),0)</f>
        <v>0</v>
      </c>
      <c r="J64" s="26">
        <f>IFERROR(GETPIVOTDATA("[Measures].[Jrnl Posting Am]",'Historical Summary Cube'!$AA$5,"[Accounting Period].[Fisc Yr]","[Accounting Period].[Fisc Yr].&amp;[2013]","[Object].[Object Group]","[Object].[Object Group].&amp;[90]","[Object].[Obj Group Nm]","[Object].[Obj Group Nm].&amp;[CHARGES TO ASSETS AND LIAB.]"),0)</f>
        <v>0</v>
      </c>
      <c r="K64" s="26">
        <f>IFERROR(GETPIVOTDATA("[Measures].[Jrnl Posting Am]",'Historical Summary Cube'!$AA$5,"[Accounting Period].[Fisc Yr]","[Accounting Period].[Fisc Yr].&amp;[2014]","[Object].[Object Group]","[Object].[Object Group].&amp;[90]","[Object].[Obj Group Nm]","[Object].[Obj Group Nm].&amp;[CHARGES TO ASSETS AND LIAB.]"),0)</f>
        <v>0</v>
      </c>
      <c r="L64" s="26">
        <f>IFERROR(GETPIVOTDATA("[Measures].[Jrnl Posting Am]",'Historical Summary Cube'!$AA$5,"[Accounting Period].[Fisc Yr]","[Accounting Period].[Fisc Yr].&amp;[2015]","[Object].[Object Group]","[Object].[Object Group].&amp;[90]","[Object].[Obj Group Nm]","[Object].[Obj Group Nm].&amp;[CHARGES TO ASSETS AND LIAB.]"),0)</f>
        <v>0</v>
      </c>
      <c r="M64" s="26">
        <f>IFERROR(GETPIVOTDATA("[Measures].[Jrnl Posting Am]",'Historical Summary Cube'!$AA$5,"[Accounting Period].[Fisc Yr]","[Accounting Period].[Fisc Yr].&amp;[2016]","[Object].[Object Group]","[Object].[Object Group].&amp;[90]","[Object].[Obj Group Nm]","[Object].[Obj Group Nm].&amp;[CHARGES TO ASSETS AND LIAB.]"),0)</f>
        <v>0</v>
      </c>
      <c r="N64" s="26">
        <f>IFERROR(GETPIVOTDATA("[Measures].[Jrnl Posting Am]",'Historical Summary Cube'!$AA$5,"[Accounting Period].[Fisc Yr]","[Accounting Period].[Fisc Yr].&amp;[2017]","[Object].[Object Group]","[Object].[Object Group].&amp;[90]","[Object].[Obj Group Nm]","[Object].[Obj Group Nm].&amp;[CHARGES TO ASSETS AND LIAB.]"),0)</f>
        <v>0</v>
      </c>
      <c r="O64" s="26">
        <f>IFERROR(GETPIVOTDATA("[Measures].[Jrnl Posting Am]",'Historical Summary Cube'!$AA$5,"[Accounting Period].[Fisc Yr]","[Accounting Period].[Fisc Yr].&amp;[2018]","[Object].[Object Group]","[Object].[Object Group].&amp;[90]","[Object].[Obj Group Nm]","[Object].[Obj Group Nm].&amp;[CHARGES TO ASSETS AND LIAB.]"),0)</f>
        <v>0</v>
      </c>
      <c r="P64" s="26">
        <f>IFERROR(GETPIVOTDATA("[Measures].[Jrnl Posting Am]",'Historical Summary Cube'!$AA$5,"[Accounting Period].[Fisc Yr]","[Accounting Period].[Fisc Yr].&amp;[2019]","[Object].[Object Group]","[Object].[Object Group].&amp;[90]","[Object].[Obj Group Nm]","[Object].[Obj Group Nm].&amp;[CHARGES TO ASSETS AND LIAB.]"),0)</f>
        <v>0</v>
      </c>
      <c r="Q64" s="26">
        <f>IFERROR(GETPIVOTDATA("[Measures].[Jrnl Posting Am]",'Historical Summary Cube'!$AA$5,"[Accounting Period].[Fisc Yr]","[Accounting Period].[Fisc Yr].&amp;[2020]","[Object].[Object Group]","[Object].[Object Group].&amp;[90]","[Object].[Obj Group Nm]","[Object].[Obj Group Nm].&amp;[CHARGES TO ASSETS AND LIAB.]"),0)</f>
        <v>0</v>
      </c>
      <c r="R64" s="26">
        <f>IFERROR(GETPIVOTDATA("[Measures].[Jrnl Posting Am]",'Historical Summary Cube'!$AA$5,"[Accounting Period].[Fisc Yr]","[Accounting Period].[Fisc Yr].&amp;[2021]","[Object].[Object Group]","[Object].[Object Group].&amp;[90]","[Object].[Obj Group Nm]","[Object].[Obj Group Nm].&amp;[CHARGES TO ASSETS AND LIAB.]"),0)</f>
        <v>0</v>
      </c>
      <c r="S64" s="26">
        <f>IFERROR(GETPIVOTDATA("[Measures].[Jrnl Posting Am]",'Historical Summary Cube'!$AA$5,"[Accounting Period].[Fisc Yr]","[Accounting Period].[Fisc Yr].&amp;[2022]","[Object].[Object Group]","[Object].[Object Group].&amp;[90]","[Object].[Obj Group Nm]","[Object].[Obj Group Nm].&amp;[CHARGES TO ASSETS AND LIAB.]"),0)</f>
        <v>0</v>
      </c>
      <c r="T64" s="26">
        <f>IFERROR(GETPIVOTDATA("[Measures].[Jrnl Posting Am]",'Historical Summary Cube'!$AA$5,"[Accounting Period].[Fisc Yr]","[Accounting Period].[Fisc Yr].&amp;[2023]","[Object].[Object Group]","[Object].[Object Group].&amp;[90]","[Object].[Obj Group Nm]","[Object].[Obj Group Nm].&amp;[CHARGES TO ASSETS AND LIAB.]"),0)</f>
        <v>14.82</v>
      </c>
      <c r="U64" s="55"/>
      <c r="V64" s="55"/>
    </row>
    <row r="65" spans="1:22" s="17" customFormat="1" ht="16" thickBot="1" x14ac:dyDescent="0.4">
      <c r="A65" s="23"/>
      <c r="B65" s="28" t="s">
        <v>109</v>
      </c>
      <c r="C65" s="36"/>
      <c r="D65" s="36"/>
      <c r="E65" s="29">
        <f>SUM(E34:E64)</f>
        <v>1132931.6700000002</v>
      </c>
      <c r="F65" s="29">
        <f t="shared" ref="F65:T65" si="2">SUM(F34:F64)</f>
        <v>1099529.8400000005</v>
      </c>
      <c r="G65" s="29">
        <f t="shared" si="2"/>
        <v>1120518.3700000001</v>
      </c>
      <c r="H65" s="29">
        <f t="shared" si="2"/>
        <v>1192442.6099999999</v>
      </c>
      <c r="I65" s="29">
        <f t="shared" si="2"/>
        <v>1284709.97</v>
      </c>
      <c r="J65" s="29">
        <f t="shared" si="2"/>
        <v>1212498.2799999998</v>
      </c>
      <c r="K65" s="29">
        <f t="shared" si="2"/>
        <v>1433421.96</v>
      </c>
      <c r="L65" s="29">
        <f t="shared" si="2"/>
        <v>1435113.5300000005</v>
      </c>
      <c r="M65" s="29">
        <f>SUM(M34:M64)</f>
        <v>2101756.6700000004</v>
      </c>
      <c r="N65" s="29">
        <f t="shared" si="2"/>
        <v>2009012.649999999</v>
      </c>
      <c r="O65" s="29">
        <f t="shared" si="2"/>
        <v>1650557.4699999997</v>
      </c>
      <c r="P65" s="29">
        <f t="shared" si="2"/>
        <v>1555253.4299999997</v>
      </c>
      <c r="Q65" s="29">
        <f t="shared" si="2"/>
        <v>1570835.86</v>
      </c>
      <c r="R65" s="29">
        <f t="shared" si="2"/>
        <v>1557387.4300000002</v>
      </c>
      <c r="S65" s="29">
        <f t="shared" si="2"/>
        <v>1731784.7100000004</v>
      </c>
      <c r="T65" s="29">
        <f t="shared" si="2"/>
        <v>1590743.19</v>
      </c>
      <c r="U65" s="55"/>
      <c r="V65" s="55"/>
    </row>
    <row r="66" spans="1:22" s="19" customFormat="1" ht="15.5" x14ac:dyDescent="0.35">
      <c r="A66" s="15"/>
      <c r="B66" s="16"/>
      <c r="C66" s="49" t="e">
        <f>IF(#REF!=GETPIVOTDATA("[Measures].[Jrnl Posting Am]",'Historical Summary Cube'!$AA$73),"","ERROR")</f>
        <v>#REF!</v>
      </c>
      <c r="D66" s="49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53" t="str">
        <f>IF(SUM(E65:T65)=GETPIVOTDATA("[Measures].[Jrnl Posting Am]",'Historical Summary Cube'!$AA$6),"","ERROR")</f>
        <v/>
      </c>
      <c r="V66" s="53"/>
    </row>
    <row r="67" spans="1:22" s="19" customFormat="1" ht="15.5" x14ac:dyDescent="0.35">
      <c r="A67" s="15"/>
      <c r="B67" s="16"/>
      <c r="C67" s="49"/>
      <c r="D67" s="49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53"/>
      <c r="V67" s="53"/>
    </row>
    <row r="68" spans="1:22" s="19" customFormat="1" ht="15.5" x14ac:dyDescent="0.35">
      <c r="A68" s="15"/>
      <c r="B68" s="16"/>
      <c r="C68" s="49"/>
      <c r="D68" s="49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53"/>
      <c r="V68" s="53"/>
    </row>
    <row r="69" spans="1:22" s="34" customFormat="1" ht="16" thickBot="1" x14ac:dyDescent="0.4">
      <c r="A69" s="31"/>
      <c r="B69" s="32" t="s">
        <v>105</v>
      </c>
      <c r="C69" s="38"/>
      <c r="D69" s="38"/>
      <c r="E69" s="33">
        <f t="shared" ref="E69:T69" si="3">E6+E29-E65</f>
        <v>821279.05999999982</v>
      </c>
      <c r="F69" s="33">
        <f t="shared" si="3"/>
        <v>971785.57999999914</v>
      </c>
      <c r="G69" s="33">
        <f t="shared" si="3"/>
        <v>1231982.8199999994</v>
      </c>
      <c r="H69" s="33">
        <f t="shared" si="3"/>
        <v>1119458.7899999996</v>
      </c>
      <c r="I69" s="33">
        <f t="shared" si="3"/>
        <v>957879.33999999915</v>
      </c>
      <c r="J69" s="33">
        <f t="shared" si="3"/>
        <v>1274930.0199999991</v>
      </c>
      <c r="K69" s="33">
        <f t="shared" si="3"/>
        <v>1384757.7399999993</v>
      </c>
      <c r="L69" s="33">
        <f t="shared" si="3"/>
        <v>1598681.1799999985</v>
      </c>
      <c r="M69" s="33">
        <f t="shared" si="3"/>
        <v>1227036.649999998</v>
      </c>
      <c r="N69" s="33">
        <f t="shared" si="3"/>
        <v>1031207.5099999988</v>
      </c>
      <c r="O69" s="33">
        <f t="shared" si="3"/>
        <v>1445067.0199999991</v>
      </c>
      <c r="P69" s="33">
        <f t="shared" si="3"/>
        <v>1625992.6899999995</v>
      </c>
      <c r="Q69" s="33">
        <f t="shared" si="3"/>
        <v>1755844.2299999988</v>
      </c>
      <c r="R69" s="35">
        <f t="shared" si="3"/>
        <v>1927321.9999999986</v>
      </c>
      <c r="S69" s="35">
        <f t="shared" si="3"/>
        <v>2082379.1399999983</v>
      </c>
      <c r="T69" s="35">
        <f t="shared" si="3"/>
        <v>1881981.5999999982</v>
      </c>
      <c r="U69" s="57"/>
      <c r="V69" s="57"/>
    </row>
  </sheetData>
  <mergeCells count="3">
    <mergeCell ref="C1:P1"/>
    <mergeCell ref="C2:P2"/>
    <mergeCell ref="E4:T4"/>
  </mergeCells>
  <conditionalFormatting sqref="U30">
    <cfRule type="cellIs" dxfId="308" priority="5" operator="equal">
      <formula>"ERROR"</formula>
    </cfRule>
  </conditionalFormatting>
  <conditionalFormatting sqref="U66">
    <cfRule type="cellIs" dxfId="307" priority="4" operator="equal">
      <formula>"ERROR"</formula>
    </cfRule>
  </conditionalFormatting>
  <conditionalFormatting sqref="C30">
    <cfRule type="cellIs" dxfId="306" priority="3" operator="equal">
      <formula>"ERROR"</formula>
    </cfRule>
  </conditionalFormatting>
  <conditionalFormatting sqref="C66">
    <cfRule type="cellIs" dxfId="305" priority="2" operator="equal">
      <formula>"ERROR"</formula>
    </cfRule>
  </conditionalFormatting>
  <conditionalFormatting sqref="A5">
    <cfRule type="cellIs" dxfId="304" priority="1" operator="equal">
      <formula>"ERROR"</formula>
    </cfRule>
  </conditionalFormatting>
  <pageMargins left="0.2" right="0.2" top="0.5" bottom="0.5" header="0.3" footer="0.3"/>
  <pageSetup paperSize="5"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Shared with BPC on 9-29-23</vt:lpstr>
      <vt:lpstr>Account Summary</vt:lpstr>
      <vt:lpstr>Change Package effects of Pay</vt:lpstr>
      <vt:lpstr>MEPERLS Monthly cost</vt:lpstr>
      <vt:lpstr>Cube</vt:lpstr>
      <vt:lpstr>Historical Summary Cube</vt:lpstr>
      <vt:lpstr>General Operating Exp</vt:lpstr>
      <vt:lpstr>Temp Services</vt:lpstr>
      <vt:lpstr>ytd 2008-2023</vt:lpstr>
      <vt:lpstr>Payroll</vt:lpstr>
      <vt:lpstr>Sheet1</vt:lpstr>
      <vt:lpstr>4003 Cube</vt:lpstr>
      <vt:lpstr>4302 Cube</vt:lpstr>
      <vt:lpstr>4343 Cube</vt:lpstr>
      <vt:lpstr>4373 Cube</vt:lpstr>
      <vt:lpstr>4403 Cube</vt:lpstr>
      <vt:lpstr>MOSQ Cube</vt:lpstr>
      <vt:lpstr>0287 Cube</vt:lpstr>
      <vt:lpstr>'Account Summary'!Print_Area</vt:lpstr>
      <vt:lpstr>'Shared with BPC on 9-29-23'!Print_Area</vt:lpstr>
      <vt:lpstr>'ytd 2008-2023'!Print_Area</vt:lpstr>
    </vt:vector>
  </TitlesOfParts>
  <Company>State of Maine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Daigneault, Cory M</dc:creator>
  <cp:lastModifiedBy>Couture, Amanda</cp:lastModifiedBy>
  <cp:lastPrinted>2023-08-08T15:57:19Z</cp:lastPrinted>
  <dcterms:created xsi:type="dcterms:W3CDTF">2017-01-10T12:59:43Z</dcterms:created>
  <dcterms:modified xsi:type="dcterms:W3CDTF">2023-11-28T14:16:22Z</dcterms:modified>
</cp:coreProperties>
</file>